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Fernando Rangel\My Drive\SBT Tool\Transport tool\"/>
    </mc:Choice>
  </mc:AlternateContent>
  <xr:revisionPtr revIDLastSave="0" documentId="13_ncr:1_{58FD8617-42BD-4E74-AEB5-B75455602568}" xr6:coauthVersionLast="47" xr6:coauthVersionMax="47" xr10:uidLastSave="{00000000-0000-0000-0000-000000000000}"/>
  <workbookProtection workbookAlgorithmName="SHA-512" workbookHashValue="TieeJaAtDjTpzEjPW62RSpnAkU/qKo+05I76TLX5ECQxquzYUrASqgXgXItCo6oz9Cet7iD4dtq3jqD8h4quNg==" workbookSaltValue="R8VQ+bv29YNrFEO5dN9ZcA==" workbookSpinCount="100000" lockStructure="1"/>
  <bookViews>
    <workbookView xWindow="-120" yWindow="-120" windowWidth="20730" windowHeight="11160" firstSheet="6" activeTab="7" xr2:uid="{00000000-000D-0000-FFFF-FFFF00000000}"/>
  </bookViews>
  <sheets>
    <sheet name="DataB2DS" sheetId="1" state="veryHidden" r:id="rId1"/>
    <sheet name="Data2DS" sheetId="2" state="veryHidden" r:id="rId2"/>
    <sheet name="Catalogues" sheetId="3" state="veryHidden" r:id="rId3"/>
    <sheet name="Calculations" sheetId="5" state="veryHidden" r:id="rId4"/>
    <sheet name="Graphs" sheetId="7" state="veryHidden" r:id="rId5"/>
    <sheet name="Notes" sheetId="6" state="veryHidden" r:id="rId6"/>
    <sheet name="Intro" sheetId="11" r:id="rId7"/>
    <sheet name="Tool" sheetId="4" r:id="rId8"/>
  </sheets>
  <externalReferences>
    <externalReference r:id="rId9"/>
  </externalReferences>
  <definedNames>
    <definedName name="_xlnm._FilterDatabase" localSheetId="2" hidden="1">Catalogues!$B$21:$F$28</definedName>
    <definedName name="A_by">'[1]Front-end'!$C$18</definedName>
    <definedName name="A_ty">'[1]Front-end'!$C$19</definedName>
    <definedName name="Activity">'[1]Back-end. Data'!$A$19:$AQ$33</definedName>
    <definedName name="Activity_2DS" localSheetId="6">'[1]Back-end. Data 2DS'!$A$19:$BA$33</definedName>
    <definedName name="ACTIVITY_2DS">Data2DS!$B$28:$BA$50</definedName>
    <definedName name="Activity_B2DS" localSheetId="6">'[1]Back-end. Data B2DS'!$A$19:$BA$33</definedName>
    <definedName name="ACTIVITY_B2DS">DataB2DS!$B$28:$BA$50</definedName>
    <definedName name="activity_by">Tool!$C$29</definedName>
    <definedName name="Activity_matrix">'[1]Back-end. Data'!$C$19:$AQ$42</definedName>
    <definedName name="Activity_matrix_2DS">'[1]Back-end. Data 2DS'!$C$19:$BA$42</definedName>
    <definedName name="Activity_matrix_B2DS">'[1]Back-end. Data B2DS'!$C$19:$BA$42</definedName>
    <definedName name="activity_ty">Tool!$C$30</definedName>
    <definedName name="Aluminum">#REF!</definedName>
    <definedName name="Aviation">#REF!</definedName>
    <definedName name="Aviation_emissions">Catalogues!$C$12</definedName>
    <definedName name="by" localSheetId="6">'[1]Front-end'!$C$14</definedName>
    <definedName name="by">Tool!$C$25</definedName>
    <definedName name="Cement">#REF!</definedName>
    <definedName name="Chemicals">#REF!</definedName>
    <definedName name="CI_ty">'[1]Back-end. Calculations'!#REF!</definedName>
    <definedName name="Disclaimer">Intro!$B$34</definedName>
    <definedName name="E_by">'[1]Front-end. Target Setting'!$J$80</definedName>
    <definedName name="Emissions_from_new_vehicles">Catalogues!$C$13:$C$20</definedName>
    <definedName name="Freight_transport_emissions">Catalogues!$C$21:$C$27</definedName>
    <definedName name="Fuel_economy">Tool!$C$31</definedName>
    <definedName name="growth">'[1]Front-end'!$C$22</definedName>
    <definedName name="Heavy_duty_road">#REF!</definedName>
    <definedName name="Iron">#REF!</definedName>
    <definedName name="LDAlow">Calculations!$D$112</definedName>
    <definedName name="Light_duty_road">#REF!</definedName>
    <definedName name="Load_2DS">Data2DS!$B$182:$BB$186</definedName>
    <definedName name="Load_B2DS">DataB2DS!$B$182:$BB$186</definedName>
    <definedName name="Method">'[1]Front-end'!$B$13</definedName>
    <definedName name="modes">Tool!$B$21</definedName>
    <definedName name="Other_Industry">#REF!</definedName>
    <definedName name="Other_Transport">#REF!</definedName>
    <definedName name="Passenger_transport_emissions">Catalogues!$C$3:$C$11</definedName>
    <definedName name="Power">#REF!</definedName>
    <definedName name="ptd">'[1]Front-end'!$C$23</definedName>
    <definedName name="ptdy">'[1]Front-end'!$C$24</definedName>
    <definedName name="Pulp">#REF!</definedName>
    <definedName name="Rail">#REF!</definedName>
    <definedName name="Reduction_target">'[1]Front-end'!$C$16</definedName>
    <definedName name="S1_by">'[1]Front-end'!$C$20</definedName>
    <definedName name="S1_CI_by">'[1]Back-end. Calculations'!$D$26</definedName>
    <definedName name="S1_CI_by_2DS">'[1]Back-end. Calculations 2DS'!$D$26</definedName>
    <definedName name="S1_CI_by_B2DS">'[1]Back-end. Calculations B2DS'!$D$26</definedName>
    <definedName name="S1_CI_ty">'[1]Back-end. Calculations'!#REF!</definedName>
    <definedName name="S1_CI_ty_SDA">'[1]Back-end. Calculations'!$E$26</definedName>
    <definedName name="S1_CI_ty_SDA_2DS">'[1]Back-end. Calculations 2DS'!$E$26</definedName>
    <definedName name="S1_CI_ty_SDA_B2DS">'[1]Back-end. Calculations B2DS'!$E$26</definedName>
    <definedName name="S1_Intensity">'[1]Back-end. Data'!$A$63:$AQ$77</definedName>
    <definedName name="S1_Intensity_2DS">'[1]Back-end. Data 2DS'!$A$63:$BA$77</definedName>
    <definedName name="S1_Intensity_B2DS">'[1]Back-end. Data B2DS'!$A$63:$BA$77</definedName>
    <definedName name="S1_SE">'[1]Back-end. Data'!$A$2:$AQ$16</definedName>
    <definedName name="S1_SE_2DS">'[1]Back-end. Data 2DS'!$A$2:$BA$16</definedName>
    <definedName name="S1_SE_B2DS">'[1]Back-end. Data B2DS'!$A$2:$BA$16</definedName>
    <definedName name="S1_ty">'[1]Back-end. Calculations'!#REF!</definedName>
    <definedName name="S1_ty_LERTY">'[1]Back-end. Calculations'!#REF!</definedName>
    <definedName name="S1_ty_SDA">'[1]Back-end. Calculations'!$E$21</definedName>
    <definedName name="S1_ty_SDA_2DS">'[1]Back-end. Calculations 2DS'!$E$21</definedName>
    <definedName name="S1_ty_SDA_B2DS">'[1]Back-end. Calculations B2DS'!$E$21</definedName>
    <definedName name="S2_by">'[1]Front-end'!$C$21</definedName>
    <definedName name="S2_CI_by">'[1]Back-end. Calculations'!$D$42</definedName>
    <definedName name="S2_CI_by_2DS">'[1]Back-end. Calculations 2DS'!$D$42</definedName>
    <definedName name="S2_CI_by_B2DS">'[1]Back-end. Calculations B2DS'!$D$42</definedName>
    <definedName name="S2_CI_ty_SDA">'[1]Back-end. Calculations'!$E$42</definedName>
    <definedName name="S2_CI_ty_SDA_2DS">'[1]Back-end. Calculations 2DS'!$E$42</definedName>
    <definedName name="S2_CI_ty_SDA_B2DS">'[1]Back-end. Calculations B2DS'!$E$42</definedName>
    <definedName name="S2_Intensity">'[1]Back-end. Data'!$A$119:$AR$133</definedName>
    <definedName name="S2_Intensity_2DS">'[1]Back-end. Data 2DS'!$A$119:$BA$133</definedName>
    <definedName name="S2_Intensity_B2DS">'[1]Back-end. Data B2DS'!$A$119:$BA$133</definedName>
    <definedName name="S2_SE">'[1]Back-end. Data'!$A$97:$AQ$111</definedName>
    <definedName name="S2_SE_2DS">'[1]Back-end. Data 2DS'!$A$97:$BA$111</definedName>
    <definedName name="S2_SE_B2DS">'[1]Back-end. Data B2DS'!$A$97:$BA$111</definedName>
    <definedName name="S2_ty_LERTY">'[1]Back-end. Calculations'!#REF!</definedName>
    <definedName name="S2_ty_SDA">'[1]Back-end. Calculations'!$E$37</definedName>
    <definedName name="S2_ty_SDA_2DS">'[1]Back-end. Calculations 2DS'!$E$37</definedName>
    <definedName name="S2_ty_SDA_B2DS">'[1]Back-end. Calculations B2DS'!$E$37</definedName>
    <definedName name="S3_CI_by">'[1]Front-end. Target Setting'!$J$76</definedName>
    <definedName name="S3_Intensity">'[1]Back-end. Data'!$C$137:$AQ$138</definedName>
    <definedName name="S3_Intensity_B2DS">'[1]Back-end. Data B2DS'!$C$137:$BA$138</definedName>
    <definedName name="sector">'[1]Front-end. Target Setting'!$O$17</definedName>
    <definedName name="sector_chose">'[1]Front-end'!$B$17</definedName>
    <definedName name="Sector_type">'[1]Back-end. Catalogues'!$E$1:$I$15</definedName>
    <definedName name="sector_units">'[1]Back-end. Catalogues'!$E$1:$I$15</definedName>
    <definedName name="Services">#REF!</definedName>
    <definedName name="Target">Graphs!$B$23:$I$23</definedName>
    <definedName name="Terms">Intro!$B$30</definedName>
    <definedName name="transport_type">Tool!$B$17</definedName>
    <definedName name="ttw_by">Tool!$C$33</definedName>
    <definedName name="ttwabs_2DS">Calculations!$D$67</definedName>
    <definedName name="ttwabs_B2DS">Calculations!$D$79</definedName>
    <definedName name="TTWEmissions_2DS">Data2DS!$B$128:$BA$146</definedName>
    <definedName name="TTWEmissions_B2DS">DataB2DS!$B$128:$BA$146</definedName>
    <definedName name="ttwint_2DS">Calculations!$D$72</definedName>
    <definedName name="ttwint_B2DS">Calculations!$D$84</definedName>
    <definedName name="TTWIntensity_2DS">Data2DS!$B$153:$BA$179</definedName>
    <definedName name="TTWIntensity_B2DS">DataB2DS!$B$153:$BA$179</definedName>
    <definedName name="ty" localSheetId="6">'[1]Front-end'!$C$15</definedName>
    <definedName name="ty">Tool!$C$26</definedName>
    <definedName name="types">Catalogues!$C$35:$C$38</definedName>
    <definedName name="unit">Tool!$D$29</definedName>
    <definedName name="units">'[1]Front-end. Target Setting'!$K$68</definedName>
    <definedName name="wtt_by">Tool!$C$32</definedName>
    <definedName name="wttabs_2DS">Calculations!$D$43</definedName>
    <definedName name="wttabs_B2DS">Calculations!$D$55</definedName>
    <definedName name="WTTEmissions_2DS">Data2DS!$B$78:$BA$100</definedName>
    <definedName name="WTTEmissions_B2DS">DataB2DS!$B$78:$BA$96</definedName>
    <definedName name="wttint_2DS">Calculations!$D$48</definedName>
    <definedName name="wttint_B2DS">Calculations!$D$60</definedName>
    <definedName name="WTTIntensity_2DS">Data2DS!$B$103:$BA$125</definedName>
    <definedName name="WTTIntensity_B2DS">DataB2DS!$B$103:$BA$125</definedName>
    <definedName name="wtw_by">Tool!$C$28</definedName>
    <definedName name="wtwabs_2DS">Calculations!$D$19</definedName>
    <definedName name="wtwabs_B2DS">Calculations!$D$31</definedName>
    <definedName name="WTWEmissions_2DS">Data2DS!$B$3:$BA$21</definedName>
    <definedName name="WTWEmissions_B2DS">DataB2DS!$B$3:$BA$21</definedName>
    <definedName name="wtwint_2DS">Calculations!$D$24</definedName>
    <definedName name="wtwint_B2DS">Calculations!$D$36</definedName>
    <definedName name="WTWIntensity_2DS">Data2DS!$B$53:$BA$75</definedName>
    <definedName name="WTWIntensity_B2DS">DataB2DS!$B$53:$BA$75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9" i="4" l="1"/>
  <c r="B41" i="4"/>
  <c r="G10" i="5"/>
  <c r="G9" i="5"/>
  <c r="C59" i="4"/>
  <c r="C57" i="4"/>
  <c r="E61" i="4"/>
  <c r="F61" i="4"/>
  <c r="G61" i="4"/>
  <c r="C62" i="4"/>
  <c r="D62" i="4"/>
  <c r="E62" i="4"/>
  <c r="H62" i="4"/>
  <c r="D63" i="4"/>
  <c r="E64" i="4"/>
  <c r="D65" i="4"/>
  <c r="G7" i="5"/>
  <c r="G6" i="5"/>
  <c r="C39" i="4"/>
  <c r="C41" i="4"/>
  <c r="D44" i="4"/>
  <c r="C44" i="4"/>
  <c r="B25" i="11"/>
  <c r="F30" i="4"/>
  <c r="C31" i="5"/>
  <c r="H101" i="5"/>
  <c r="G101" i="5"/>
  <c r="F101" i="5"/>
  <c r="E101" i="5"/>
  <c r="D101" i="5"/>
  <c r="C101" i="5"/>
  <c r="H89" i="5"/>
  <c r="G89" i="5"/>
  <c r="F89" i="5"/>
  <c r="E89" i="5"/>
  <c r="D89" i="5"/>
  <c r="C89" i="5"/>
  <c r="H107" i="5"/>
  <c r="G107" i="5"/>
  <c r="F107" i="5"/>
  <c r="E107" i="5"/>
  <c r="D107" i="5"/>
  <c r="C107" i="5"/>
  <c r="E95" i="5"/>
  <c r="F95" i="5"/>
  <c r="D95" i="5"/>
  <c r="B33" i="4"/>
  <c r="B32" i="4"/>
  <c r="D33" i="4"/>
  <c r="D32" i="4"/>
  <c r="C95" i="5"/>
  <c r="G95" i="5"/>
  <c r="H95" i="5"/>
  <c r="D30" i="4"/>
  <c r="D29" i="4"/>
  <c r="D8" i="5" s="1"/>
  <c r="D31" i="4"/>
  <c r="B30" i="4"/>
  <c r="B29" i="4"/>
  <c r="H44" i="4"/>
  <c r="I77" i="5"/>
  <c r="H77" i="5"/>
  <c r="G77" i="5"/>
  <c r="F77" i="5"/>
  <c r="E77" i="5"/>
  <c r="D77" i="5"/>
  <c r="C77" i="5"/>
  <c r="C65" i="5"/>
  <c r="D65" i="5"/>
  <c r="E65" i="5"/>
  <c r="F65" i="5"/>
  <c r="G65" i="5"/>
  <c r="H65" i="5"/>
  <c r="I65" i="5"/>
  <c r="I53" i="5"/>
  <c r="H53" i="5"/>
  <c r="G53" i="5"/>
  <c r="F53" i="5"/>
  <c r="E53" i="5"/>
  <c r="D53" i="5"/>
  <c r="C53" i="5"/>
  <c r="I41" i="5"/>
  <c r="H41" i="5"/>
  <c r="G41" i="5"/>
  <c r="F41" i="5"/>
  <c r="E41" i="5"/>
  <c r="D41" i="5"/>
  <c r="C41" i="5"/>
  <c r="C29" i="5"/>
  <c r="I29" i="5"/>
  <c r="H29" i="5"/>
  <c r="G29" i="5"/>
  <c r="F29" i="5"/>
  <c r="E29" i="5"/>
  <c r="D29" i="5"/>
  <c r="I17" i="5"/>
  <c r="H17" i="5"/>
  <c r="G17" i="5"/>
  <c r="F17" i="5"/>
  <c r="E17" i="5"/>
  <c r="D17" i="5"/>
  <c r="C17" i="5"/>
  <c r="B28" i="4"/>
  <c r="C102" i="5"/>
  <c r="I102" i="5"/>
  <c r="H102" i="5"/>
  <c r="G102" i="5"/>
  <c r="F102" i="5"/>
  <c r="E102" i="5"/>
  <c r="D102" i="5"/>
  <c r="D99" i="5"/>
  <c r="C99" i="5"/>
  <c r="G42" i="7"/>
  <c r="F42" i="7"/>
  <c r="E42" i="7"/>
  <c r="G41" i="7"/>
  <c r="F41" i="7"/>
  <c r="E41" i="7"/>
  <c r="G40" i="7"/>
  <c r="F40" i="7"/>
  <c r="E40" i="7"/>
  <c r="D22" i="7"/>
  <c r="E22" i="7"/>
  <c r="F22" i="7"/>
  <c r="G22" i="7"/>
  <c r="D21" i="7"/>
  <c r="E21" i="7"/>
  <c r="F21" i="7"/>
  <c r="G21" i="7"/>
  <c r="E20" i="7"/>
  <c r="F20" i="7"/>
  <c r="G20" i="7"/>
  <c r="D20" i="7"/>
  <c r="B43" i="7"/>
  <c r="B42" i="7"/>
  <c r="B41" i="7"/>
  <c r="B40" i="7"/>
  <c r="B39" i="7"/>
  <c r="B38" i="7"/>
  <c r="B37" i="7"/>
  <c r="B21" i="7"/>
  <c r="B20" i="7"/>
  <c r="B18" i="7"/>
  <c r="B19" i="7"/>
  <c r="B17" i="7"/>
  <c r="E44" i="4"/>
  <c r="B23" i="7"/>
  <c r="B22" i="7"/>
  <c r="C45" i="4"/>
  <c r="F90" i="5"/>
  <c r="G90" i="5"/>
  <c r="H90" i="5"/>
  <c r="I90" i="5"/>
  <c r="E90" i="5"/>
  <c r="D90" i="5"/>
  <c r="C90" i="5"/>
  <c r="B31" i="4"/>
  <c r="D28" i="4"/>
  <c r="D87" i="5"/>
  <c r="C87" i="5"/>
  <c r="D45" i="4"/>
  <c r="D67" i="4"/>
  <c r="E66" i="4"/>
  <c r="E48" i="4"/>
  <c r="E46" i="4"/>
  <c r="D47" i="4"/>
  <c r="D49" i="4"/>
  <c r="C112" i="5"/>
  <c r="D112" i="5" s="1"/>
  <c r="I16" i="5"/>
  <c r="I28" i="5"/>
  <c r="I40" i="5"/>
  <c r="I52" i="5"/>
  <c r="I64" i="5"/>
  <c r="I76" i="5"/>
  <c r="C79" i="5"/>
  <c r="H76" i="5"/>
  <c r="G76" i="5"/>
  <c r="F76" i="5"/>
  <c r="E76" i="5"/>
  <c r="D76" i="5"/>
  <c r="C76" i="5"/>
  <c r="H64" i="5"/>
  <c r="G64" i="5"/>
  <c r="F64" i="5"/>
  <c r="E64" i="5"/>
  <c r="D64" i="5"/>
  <c r="C64" i="5"/>
  <c r="C67" i="5"/>
  <c r="D75" i="5"/>
  <c r="C75" i="5"/>
  <c r="D63" i="5"/>
  <c r="C63" i="5"/>
  <c r="H40" i="5"/>
  <c r="G40" i="5"/>
  <c r="F40" i="5"/>
  <c r="E40" i="5"/>
  <c r="D40" i="5"/>
  <c r="C40" i="5"/>
  <c r="C55" i="5"/>
  <c r="H52" i="5"/>
  <c r="G52" i="5"/>
  <c r="F52" i="5"/>
  <c r="E52" i="5"/>
  <c r="D52" i="5"/>
  <c r="C52" i="5"/>
  <c r="C43" i="5"/>
  <c r="C28" i="5"/>
  <c r="H28" i="5"/>
  <c r="G28" i="5"/>
  <c r="F28" i="5"/>
  <c r="E28" i="5"/>
  <c r="D28" i="5"/>
  <c r="B44" i="4"/>
  <c r="C12" i="5"/>
  <c r="C5" i="5"/>
  <c r="C27" i="7" s="1"/>
  <c r="E43" i="4"/>
  <c r="G23" i="5"/>
  <c r="D83" i="5"/>
  <c r="F71" i="5"/>
  <c r="D47" i="5"/>
  <c r="D22" i="4"/>
  <c r="I36" i="7"/>
  <c r="C36" i="7"/>
  <c r="C40" i="7" s="1"/>
  <c r="I26" i="7"/>
  <c r="C26" i="7"/>
  <c r="I16" i="7"/>
  <c r="C16" i="7"/>
  <c r="C3" i="7"/>
  <c r="F30" i="7"/>
  <c r="G30" i="7"/>
  <c r="C30" i="7"/>
  <c r="I6" i="7"/>
  <c r="C6" i="7"/>
  <c r="D39" i="5"/>
  <c r="C39" i="5"/>
  <c r="D51" i="5"/>
  <c r="C51" i="5"/>
  <c r="BD5" i="2"/>
  <c r="BD6" i="2"/>
  <c r="BD7" i="2"/>
  <c r="BD8" i="2"/>
  <c r="BD9" i="2"/>
  <c r="BD10" i="2"/>
  <c r="BD11" i="2"/>
  <c r="BD12" i="2"/>
  <c r="BD13" i="2"/>
  <c r="BD14" i="2"/>
  <c r="BD15" i="2"/>
  <c r="BD4" i="2"/>
  <c r="D27" i="5"/>
  <c r="D15" i="5"/>
  <c r="C27" i="5"/>
  <c r="F16" i="5"/>
  <c r="G16" i="5"/>
  <c r="H16" i="5"/>
  <c r="E16" i="5"/>
  <c r="C19" i="5"/>
  <c r="C4" i="5"/>
  <c r="D16" i="5"/>
  <c r="C16" i="5"/>
  <c r="C15" i="5"/>
  <c r="C11" i="5"/>
  <c r="C10" i="5"/>
  <c r="C9" i="5"/>
  <c r="C8" i="5"/>
  <c r="C7" i="5"/>
  <c r="C6" i="5"/>
  <c r="G43" i="4"/>
  <c r="F43" i="4"/>
  <c r="F18" i="5"/>
  <c r="F23" i="5"/>
  <c r="E23" i="5"/>
  <c r="G18" i="5"/>
  <c r="C105" i="5" l="1"/>
  <c r="E30" i="5"/>
  <c r="D71" i="5"/>
  <c r="C8" i="7"/>
  <c r="F47" i="5"/>
  <c r="I42" i="5"/>
  <c r="C30" i="5"/>
  <c r="C78" i="5"/>
  <c r="C82" i="5" s="1"/>
  <c r="C18" i="5"/>
  <c r="G12" i="7"/>
  <c r="E31" i="7"/>
  <c r="D54" i="5"/>
  <c r="D9" i="5"/>
  <c r="G54" i="5"/>
  <c r="H83" i="5"/>
  <c r="C28" i="7"/>
  <c r="D59" i="5"/>
  <c r="D66" i="5"/>
  <c r="G66" i="5"/>
  <c r="E47" i="5"/>
  <c r="I59" i="5"/>
  <c r="H35" i="5"/>
  <c r="E54" i="5"/>
  <c r="I47" i="5"/>
  <c r="G35" i="5"/>
  <c r="H59" i="5"/>
  <c r="F59" i="5"/>
  <c r="I66" i="5"/>
  <c r="G78" i="5"/>
  <c r="E65" i="4"/>
  <c r="C38" i="7" s="1"/>
  <c r="F30" i="5"/>
  <c r="F42" i="5"/>
  <c r="G71" i="5"/>
  <c r="I54" i="5"/>
  <c r="H23" i="5"/>
  <c r="G31" i="7"/>
  <c r="D35" i="5"/>
  <c r="H47" i="5"/>
  <c r="E71" i="5"/>
  <c r="I71" i="5"/>
  <c r="C96" i="5"/>
  <c r="I92" i="5" s="1"/>
  <c r="G93" i="5"/>
  <c r="G105" i="5"/>
  <c r="H18" i="5"/>
  <c r="C32" i="7"/>
  <c r="F54" i="5"/>
  <c r="G30" i="5"/>
  <c r="C35" i="5"/>
  <c r="G33" i="5" s="1"/>
  <c r="E59" i="5"/>
  <c r="D42" i="5"/>
  <c r="D78" i="5"/>
  <c r="E83" i="5"/>
  <c r="I18" i="5"/>
  <c r="I22" i="5" s="1"/>
  <c r="I23" i="5"/>
  <c r="C23" i="5"/>
  <c r="C21" i="5" s="1"/>
  <c r="B15" i="7"/>
  <c r="E47" i="4"/>
  <c r="C18" i="7" s="1"/>
  <c r="D23" i="5"/>
  <c r="C59" i="5"/>
  <c r="C60" i="5" s="1"/>
  <c r="C47" i="5"/>
  <c r="E35" i="5"/>
  <c r="C42" i="5"/>
  <c r="H42" i="5"/>
  <c r="H78" i="5"/>
  <c r="F66" i="5"/>
  <c r="C83" i="5"/>
  <c r="C84" i="5" s="1"/>
  <c r="E49" i="4"/>
  <c r="C19" i="7" s="1"/>
  <c r="C9" i="7"/>
  <c r="B25" i="7"/>
  <c r="B35" i="7"/>
  <c r="H54" i="5"/>
  <c r="H66" i="5"/>
  <c r="I30" i="5"/>
  <c r="I35" i="5"/>
  <c r="C108" i="5"/>
  <c r="D104" i="5" s="1"/>
  <c r="B5" i="7"/>
  <c r="E18" i="5"/>
  <c r="C48" i="5"/>
  <c r="F44" i="5" s="1"/>
  <c r="G59" i="5"/>
  <c r="G47" i="5"/>
  <c r="D30" i="5"/>
  <c r="G42" i="5"/>
  <c r="H71" i="5"/>
  <c r="I78" i="5"/>
  <c r="E66" i="5"/>
  <c r="F78" i="5"/>
  <c r="G83" i="5"/>
  <c r="C29" i="7"/>
  <c r="D18" i="5"/>
  <c r="C24" i="5"/>
  <c r="E32" i="7"/>
  <c r="C36" i="5"/>
  <c r="E42" i="5"/>
  <c r="C54" i="5"/>
  <c r="C58" i="5" s="1"/>
  <c r="H30" i="5"/>
  <c r="C34" i="5" s="1"/>
  <c r="F35" i="5"/>
  <c r="C71" i="5"/>
  <c r="G69" i="5" s="1"/>
  <c r="F83" i="5"/>
  <c r="F81" i="5" s="1"/>
  <c r="E78" i="5"/>
  <c r="I83" i="5"/>
  <c r="I81" i="5" s="1"/>
  <c r="C66" i="5"/>
  <c r="E67" i="4"/>
  <c r="C39" i="7" s="1"/>
  <c r="C7" i="7"/>
  <c r="E105" i="5"/>
  <c r="E93" i="5"/>
  <c r="H105" i="5"/>
  <c r="F92" i="5"/>
  <c r="F105" i="5"/>
  <c r="G106" i="5"/>
  <c r="C41" i="7"/>
  <c r="D106" i="5"/>
  <c r="G22" i="5"/>
  <c r="D81" i="5"/>
  <c r="I106" i="5"/>
  <c r="C92" i="5"/>
  <c r="F94" i="5"/>
  <c r="D92" i="5"/>
  <c r="I104" i="5"/>
  <c r="E106" i="5"/>
  <c r="B40" i="4"/>
  <c r="E92" i="5"/>
  <c r="F104" i="5"/>
  <c r="G104" i="5"/>
  <c r="C106" i="5"/>
  <c r="H106" i="5"/>
  <c r="F106" i="5"/>
  <c r="B58" i="4"/>
  <c r="D105" i="5"/>
  <c r="E112" i="5"/>
  <c r="C72" i="5"/>
  <c r="F112" i="5"/>
  <c r="E10" i="7"/>
  <c r="F11" i="7"/>
  <c r="D12" i="7"/>
  <c r="G11" i="7"/>
  <c r="F12" i="7"/>
  <c r="E12" i="7"/>
  <c r="E11" i="7"/>
  <c r="F10" i="7"/>
  <c r="C11" i="7"/>
  <c r="C10" i="7"/>
  <c r="C94" i="5"/>
  <c r="I94" i="5"/>
  <c r="I96" i="5" s="1"/>
  <c r="E94" i="5"/>
  <c r="H94" i="5"/>
  <c r="G94" i="5"/>
  <c r="D10" i="7"/>
  <c r="C40" i="4"/>
  <c r="C58" i="4"/>
  <c r="D33" i="5"/>
  <c r="C57" i="5"/>
  <c r="G10" i="7"/>
  <c r="C22" i="7"/>
  <c r="C21" i="7"/>
  <c r="C20" i="7"/>
  <c r="D11" i="7"/>
  <c r="C12" i="7"/>
  <c r="C42" i="7"/>
  <c r="D94" i="5"/>
  <c r="D69" i="5"/>
  <c r="G32" i="7"/>
  <c r="C31" i="7"/>
  <c r="E30" i="7"/>
  <c r="F31" i="7"/>
  <c r="C69" i="5"/>
  <c r="D93" i="5"/>
  <c r="H93" i="5"/>
  <c r="F93" i="5"/>
  <c r="F32" i="7"/>
  <c r="F69" i="5"/>
  <c r="C93" i="5"/>
  <c r="C33" i="5" l="1"/>
  <c r="E82" i="5"/>
  <c r="F56" i="5"/>
  <c r="F82" i="5"/>
  <c r="E33" i="5"/>
  <c r="H32" i="5"/>
  <c r="H45" i="5"/>
  <c r="C22" i="5"/>
  <c r="D82" i="5"/>
  <c r="G80" i="5"/>
  <c r="D21" i="5"/>
  <c r="H104" i="5"/>
  <c r="H108" i="5" s="1"/>
  <c r="E104" i="5"/>
  <c r="E108" i="5" s="1"/>
  <c r="D20" i="5"/>
  <c r="E45" i="5"/>
  <c r="D22" i="5"/>
  <c r="D24" i="5" s="1"/>
  <c r="E45" i="4" s="1"/>
  <c r="C17" i="7" s="1"/>
  <c r="H22" i="5"/>
  <c r="D45" i="5"/>
  <c r="F45" i="5"/>
  <c r="C81" i="5"/>
  <c r="G92" i="5"/>
  <c r="G96" i="5" s="1"/>
  <c r="F22" i="5"/>
  <c r="H92" i="5"/>
  <c r="H96" i="5" s="1"/>
  <c r="I82" i="5"/>
  <c r="I45" i="5"/>
  <c r="C45" i="5"/>
  <c r="H57" i="5"/>
  <c r="C104" i="5"/>
  <c r="D57" i="5"/>
  <c r="E22" i="5"/>
  <c r="I57" i="5"/>
  <c r="I33" i="5"/>
  <c r="F33" i="5"/>
  <c r="G45" i="5"/>
  <c r="H33" i="5"/>
  <c r="C80" i="5"/>
  <c r="G44" i="5"/>
  <c r="G56" i="5"/>
  <c r="I56" i="5"/>
  <c r="F57" i="5"/>
  <c r="I69" i="5"/>
  <c r="F80" i="5"/>
  <c r="F84" i="5" s="1"/>
  <c r="F79" i="5" s="1"/>
  <c r="E29" i="7" s="1"/>
  <c r="H81" i="5"/>
  <c r="C44" i="5"/>
  <c r="I44" i="5"/>
  <c r="G82" i="5"/>
  <c r="D56" i="5"/>
  <c r="C56" i="5"/>
  <c r="H44" i="5"/>
  <c r="E58" i="5"/>
  <c r="H82" i="5"/>
  <c r="E56" i="5"/>
  <c r="H80" i="5"/>
  <c r="H56" i="5"/>
  <c r="I58" i="5"/>
  <c r="I20" i="5"/>
  <c r="G58" i="5"/>
  <c r="C46" i="5"/>
  <c r="E69" i="5"/>
  <c r="C70" i="5"/>
  <c r="G81" i="5"/>
  <c r="G57" i="5"/>
  <c r="I80" i="5"/>
  <c r="C20" i="5"/>
  <c r="H20" i="5"/>
  <c r="F20" i="5"/>
  <c r="G20" i="5"/>
  <c r="D80" i="5"/>
  <c r="E80" i="5"/>
  <c r="G21" i="5"/>
  <c r="E20" i="5"/>
  <c r="E21" i="5"/>
  <c r="I70" i="5"/>
  <c r="H69" i="5"/>
  <c r="E57" i="5"/>
  <c r="D34" i="5"/>
  <c r="E81" i="5"/>
  <c r="F58" i="5"/>
  <c r="G70" i="5"/>
  <c r="E46" i="5"/>
  <c r="E32" i="5"/>
  <c r="F21" i="5"/>
  <c r="D46" i="5"/>
  <c r="I46" i="5"/>
  <c r="F34" i="5"/>
  <c r="E34" i="5"/>
  <c r="H34" i="5"/>
  <c r="G34" i="5"/>
  <c r="I34" i="5"/>
  <c r="I32" i="5"/>
  <c r="E44" i="5"/>
  <c r="D44" i="5"/>
  <c r="C32" i="5"/>
  <c r="D32" i="5"/>
  <c r="I21" i="5"/>
  <c r="H46" i="5"/>
  <c r="H48" i="5" s="1"/>
  <c r="E70" i="5"/>
  <c r="F70" i="5"/>
  <c r="F32" i="5"/>
  <c r="G32" i="5"/>
  <c r="F46" i="5"/>
  <c r="H58" i="5"/>
  <c r="G46" i="5"/>
  <c r="D70" i="5"/>
  <c r="D58" i="5"/>
  <c r="H70" i="5"/>
  <c r="H21" i="5"/>
  <c r="I108" i="5"/>
  <c r="E96" i="5"/>
  <c r="I60" i="5"/>
  <c r="I55" i="5" s="1"/>
  <c r="D108" i="5"/>
  <c r="F96" i="5"/>
  <c r="G108" i="5"/>
  <c r="F108" i="5"/>
  <c r="H68" i="5"/>
  <c r="I68" i="5"/>
  <c r="F68" i="5"/>
  <c r="E68" i="5"/>
  <c r="G68" i="5"/>
  <c r="C68" i="5"/>
  <c r="D68" i="5"/>
  <c r="D96" i="5"/>
  <c r="I84" i="5" l="1"/>
  <c r="I79" i="5" s="1"/>
  <c r="G72" i="5"/>
  <c r="D60" i="5"/>
  <c r="D84" i="5"/>
  <c r="H36" i="5"/>
  <c r="G37" i="7" s="1"/>
  <c r="F48" i="5"/>
  <c r="E18" i="7" s="1"/>
  <c r="I72" i="5"/>
  <c r="I67" i="5" s="1"/>
  <c r="G84" i="5"/>
  <c r="F39" i="7" s="1"/>
  <c r="G48" i="5"/>
  <c r="F18" i="7" s="1"/>
  <c r="I48" i="5"/>
  <c r="I43" i="5" s="1"/>
  <c r="D79" i="5"/>
  <c r="F66" i="4" s="1"/>
  <c r="G66" i="4" s="1"/>
  <c r="F67" i="4"/>
  <c r="G67" i="4" s="1"/>
  <c r="H84" i="5"/>
  <c r="G39" i="7" s="1"/>
  <c r="G18" i="7"/>
  <c r="H43" i="5"/>
  <c r="G8" i="7" s="1"/>
  <c r="F65" i="4"/>
  <c r="G65" i="4" s="1"/>
  <c r="D55" i="5"/>
  <c r="F64" i="4" s="1"/>
  <c r="G64" i="4" s="1"/>
  <c r="F43" i="5"/>
  <c r="E8" i="7" s="1"/>
  <c r="E24" i="5"/>
  <c r="E19" i="5" s="1"/>
  <c r="D7" i="7" s="1"/>
  <c r="I24" i="5"/>
  <c r="I19" i="5" s="1"/>
  <c r="G60" i="5"/>
  <c r="H60" i="5"/>
  <c r="F60" i="5"/>
  <c r="H24" i="5"/>
  <c r="G17" i="7" s="1"/>
  <c r="F24" i="5"/>
  <c r="E17" i="7" s="1"/>
  <c r="E60" i="5"/>
  <c r="E55" i="5" s="1"/>
  <c r="E48" i="5"/>
  <c r="I36" i="5"/>
  <c r="I31" i="5" s="1"/>
  <c r="E39" i="7"/>
  <c r="D19" i="5"/>
  <c r="F44" i="4" s="1"/>
  <c r="G44" i="4" s="1"/>
  <c r="G24" i="5"/>
  <c r="G19" i="5" s="1"/>
  <c r="F7" i="7" s="1"/>
  <c r="I23" i="7"/>
  <c r="E84" i="5"/>
  <c r="H31" i="5"/>
  <c r="G27" i="7" s="1"/>
  <c r="F36" i="5"/>
  <c r="F31" i="5" s="1"/>
  <c r="E27" i="7" s="1"/>
  <c r="G36" i="5"/>
  <c r="D36" i="5"/>
  <c r="E36" i="5"/>
  <c r="F45" i="4"/>
  <c r="G45" i="4" s="1"/>
  <c r="D72" i="5"/>
  <c r="D48" i="5"/>
  <c r="D17" i="7"/>
  <c r="F72" i="5"/>
  <c r="E19" i="7" s="1"/>
  <c r="H72" i="5"/>
  <c r="G19" i="7" s="1"/>
  <c r="E72" i="5"/>
  <c r="D19" i="7" s="1"/>
  <c r="G67" i="5"/>
  <c r="F9" i="7" s="1"/>
  <c r="F19" i="7"/>
  <c r="F63" i="4" l="1"/>
  <c r="G63" i="4"/>
  <c r="G79" i="5"/>
  <c r="F29" i="7" s="1"/>
  <c r="H79" i="5"/>
  <c r="G29" i="7" s="1"/>
  <c r="G43" i="5"/>
  <c r="F8" i="7" s="1"/>
  <c r="D67" i="5"/>
  <c r="F48" i="4" s="1"/>
  <c r="G48" i="4" s="1"/>
  <c r="F49" i="4"/>
  <c r="G49" i="4" s="1"/>
  <c r="G38" i="7"/>
  <c r="H55" i="5"/>
  <c r="G28" i="7" s="1"/>
  <c r="F38" i="7"/>
  <c r="G55" i="5"/>
  <c r="F28" i="7" s="1"/>
  <c r="E38" i="7"/>
  <c r="F55" i="5"/>
  <c r="E28" i="7" s="1"/>
  <c r="D43" i="5"/>
  <c r="F46" i="4" s="1"/>
  <c r="G46" i="4" s="1"/>
  <c r="F47" i="4"/>
  <c r="G47" i="4" s="1"/>
  <c r="D18" i="7"/>
  <c r="E43" i="5"/>
  <c r="D8" i="7" s="1"/>
  <c r="I13" i="7"/>
  <c r="H19" i="5"/>
  <c r="G7" i="7" s="1"/>
  <c r="F19" i="5"/>
  <c r="E7" i="7" s="1"/>
  <c r="I43" i="7"/>
  <c r="E37" i="7"/>
  <c r="E63" i="4"/>
  <c r="C37" i="7" s="1"/>
  <c r="E79" i="5"/>
  <c r="F17" i="7"/>
  <c r="F67" i="5"/>
  <c r="E9" i="7" s="1"/>
  <c r="F37" i="7"/>
  <c r="G31" i="5"/>
  <c r="F27" i="7" s="1"/>
  <c r="D31" i="5"/>
  <c r="G62" i="4" s="1"/>
  <c r="E67" i="5"/>
  <c r="D9" i="7" s="1"/>
  <c r="H67" i="5"/>
  <c r="G9" i="7" s="1"/>
  <c r="E31" i="5"/>
  <c r="F62" i="4" l="1"/>
  <c r="I33" i="7"/>
</calcChain>
</file>

<file path=xl/sharedStrings.xml><?xml version="1.0" encoding="utf-8"?>
<sst xmlns="http://schemas.openxmlformats.org/spreadsheetml/2006/main" count="1114" uniqueCount="222">
  <si>
    <t>WTW emissions (MT CO2)</t>
  </si>
  <si>
    <t>Transport mode/category</t>
  </si>
  <si>
    <t>Total passenger transport</t>
  </si>
  <si>
    <t>Mt CO2 equivalent</t>
  </si>
  <si>
    <t>2-3 Wheelers - passenger</t>
  </si>
  <si>
    <t>Light vehicles - passenger</t>
  </si>
  <si>
    <t>Large road - passenger</t>
  </si>
  <si>
    <t>Rail - passenger</t>
  </si>
  <si>
    <t>Total freight transport</t>
  </si>
  <si>
    <t>2-3 Wheelers - freight</t>
  </si>
  <si>
    <t>Light vehicles - freight</t>
  </si>
  <si>
    <t>Large road - freight</t>
  </si>
  <si>
    <t>Rail - freight</t>
  </si>
  <si>
    <t>Shipping - freight</t>
  </si>
  <si>
    <t>New Light vehicle - passenger</t>
  </si>
  <si>
    <t>Activity (billion pkm, tkm)</t>
  </si>
  <si>
    <t>billion pkm/year</t>
  </si>
  <si>
    <t>billion tkm/year</t>
  </si>
  <si>
    <t>WTW carbon intensity</t>
  </si>
  <si>
    <t>gCO2/pkm</t>
  </si>
  <si>
    <t>gCO2/tkm</t>
  </si>
  <si>
    <t>gCO2/vkm</t>
  </si>
  <si>
    <t>WTT Emissions (MT CO2)</t>
  </si>
  <si>
    <t>WTT carbon intensity</t>
  </si>
  <si>
    <t>Base year</t>
  </si>
  <si>
    <t>Target year</t>
  </si>
  <si>
    <t>Activity indicator</t>
  </si>
  <si>
    <t>Type of Sector</t>
  </si>
  <si>
    <t>Intensity Indicator</t>
  </si>
  <si>
    <t>Homogeneous</t>
  </si>
  <si>
    <t>Heterogeneous</t>
  </si>
  <si>
    <t>Approach</t>
  </si>
  <si>
    <t>Sectoral Decarbonization Approach (SDA)</t>
  </si>
  <si>
    <t>Support:</t>
  </si>
  <si>
    <t>info@sciencebasedtargets.org</t>
  </si>
  <si>
    <t>Please fill in all orange cells below to model a target</t>
  </si>
  <si>
    <t>Section 3. Enter target details</t>
  </si>
  <si>
    <t>Section 4. Review target modelling results</t>
  </si>
  <si>
    <t>Sectoral Decarbonization Approach (2DS)</t>
  </si>
  <si>
    <t>Sectoral Decarbonization Approach (B2DS)</t>
  </si>
  <si>
    <t>Graph data</t>
  </si>
  <si>
    <t>Transport mode / Transport Category</t>
  </si>
  <si>
    <t>Type</t>
  </si>
  <si>
    <t>Please refer to guidance document</t>
  </si>
  <si>
    <t>Type of Transport</t>
  </si>
  <si>
    <t>d</t>
  </si>
  <si>
    <t>2DS</t>
  </si>
  <si>
    <t>B2DS</t>
  </si>
  <si>
    <t>Not required</t>
  </si>
  <si>
    <t>Linear Decarbonization Approach</t>
  </si>
  <si>
    <t>Forecast assuming a linear company growth</t>
  </si>
  <si>
    <t>Sector emissions</t>
  </si>
  <si>
    <t>Sector activity</t>
  </si>
  <si>
    <t>Sector intensity</t>
  </si>
  <si>
    <t>Company emissions</t>
  </si>
  <si>
    <t>m</t>
  </si>
  <si>
    <t>py</t>
  </si>
  <si>
    <t>Company activity</t>
  </si>
  <si>
    <t>Company intensity</t>
  </si>
  <si>
    <t>Transport Mode</t>
  </si>
  <si>
    <t>Base Year</t>
  </si>
  <si>
    <t>Target Year</t>
  </si>
  <si>
    <t>Base year activity:</t>
  </si>
  <si>
    <t>Expected target year activity:</t>
  </si>
  <si>
    <t>WTW Emissions</t>
  </si>
  <si>
    <t>WTT Emissions</t>
  </si>
  <si>
    <t>Air</t>
  </si>
  <si>
    <t>WTW - 2DS</t>
  </si>
  <si>
    <t>WTW - B2DS</t>
  </si>
  <si>
    <t>WTT - B2DS</t>
  </si>
  <si>
    <t>WTT - 2DS</t>
  </si>
  <si>
    <t>CALCULATIONS</t>
  </si>
  <si>
    <t>Type of sector</t>
  </si>
  <si>
    <t>WTT emissions</t>
  </si>
  <si>
    <t>Light trucks</t>
  </si>
  <si>
    <t>ok</t>
  </si>
  <si>
    <t>HDV</t>
  </si>
  <si>
    <t>Equivalent to LDV?</t>
  </si>
  <si>
    <t xml:space="preserve">Minibuses </t>
  </si>
  <si>
    <t>Buses</t>
  </si>
  <si>
    <t>BRT</t>
  </si>
  <si>
    <t>Rail - urban</t>
  </si>
  <si>
    <t>Rail - non-urban</t>
  </si>
  <si>
    <t>Medium trucks</t>
  </si>
  <si>
    <t>Heavy trucks</t>
  </si>
  <si>
    <t>LDA only</t>
  </si>
  <si>
    <t>TRANSPORT CATEGORY</t>
  </si>
  <si>
    <t>READY</t>
  </si>
  <si>
    <t>COMMENTS</t>
  </si>
  <si>
    <t>Sector WTW emissions (Indexed)</t>
  </si>
  <si>
    <t>Notes</t>
  </si>
  <si>
    <t>Catalogues</t>
  </si>
  <si>
    <t>Back end data 2DS</t>
  </si>
  <si>
    <t>Back end data B2DS</t>
  </si>
  <si>
    <t>New Heavy vehicle - passenger</t>
  </si>
  <si>
    <t>Sectoral Decarbonization Approach - Transport Tool</t>
  </si>
  <si>
    <t>Sector</t>
  </si>
  <si>
    <t>Sector WTT emissions (Indexed)</t>
  </si>
  <si>
    <t>scenario</t>
  </si>
  <si>
    <t xml:space="preserve">Target year emissions </t>
  </si>
  <si>
    <t>pkm</t>
  </si>
  <si>
    <t>vkm</t>
  </si>
  <si>
    <t>tkm</t>
  </si>
  <si>
    <t xml:space="preserve">Notes: </t>
  </si>
  <si>
    <t>Terms of use</t>
  </si>
  <si>
    <t>Disclaimer</t>
  </si>
  <si>
    <t xml:space="preserve">Please refer to: </t>
  </si>
  <si>
    <t>Air transport (passenger and freight)</t>
  </si>
  <si>
    <t>Aviation</t>
  </si>
  <si>
    <t>Metric tonnes of CO2 eq.</t>
  </si>
  <si>
    <t>Mejorar leyenda en graficos</t>
  </si>
  <si>
    <t xml:space="preserve">Mostrar crecimiento de sector </t>
  </si>
  <si>
    <t xml:space="preserve">Mostrar crecimiento de compañía </t>
  </si>
  <si>
    <t>Integrar new freight OK</t>
  </si>
  <si>
    <t>Subir aviación en menú principal OK</t>
  </si>
  <si>
    <t>Subir New vehicles en menú principal OK</t>
  </si>
  <si>
    <t xml:space="preserve">Incluir target energético para TTW (informative) – PLDVall – lge/100km </t>
  </si>
  <si>
    <t>Cambiar convergencia al 2050</t>
  </si>
  <si>
    <t>Agregar línea en tablas para absolute contraction target (enfocada a alcance 3)</t>
  </si>
  <si>
    <t>Freight density</t>
  </si>
  <si>
    <t>Buscar gap factor para on-road vs rated for freight</t>
  </si>
  <si>
    <t>not included</t>
  </si>
  <si>
    <t>PLDV includes PC and LT</t>
  </si>
  <si>
    <t>Comprises Buses and Mini-buses</t>
  </si>
  <si>
    <t>included in buses</t>
  </si>
  <si>
    <t>Not relevant</t>
  </si>
  <si>
    <t>Ok</t>
  </si>
  <si>
    <t>LCV, MFT and HFT included</t>
  </si>
  <si>
    <t>Comprised MFT and HFT</t>
  </si>
  <si>
    <t>LCV</t>
  </si>
  <si>
    <t>TTW emissions (MT CO2)</t>
  </si>
  <si>
    <t>TTW carbon intensity</t>
  </si>
  <si>
    <t>lge/100km</t>
  </si>
  <si>
    <t>Average New Passenger Light-duty vehicles (PLDVs) Fuel Economy (lge / 100km), INCLUDING the effect of ELECTRICITY</t>
  </si>
  <si>
    <t>Average New  LCV Fuel Economy (lge / 100km), INCLUDING the effect of ELECTRICITY</t>
  </si>
  <si>
    <t>Average New HFTs Fuel Economy (lge / 100km), INCLUDING the effect of ELECTRICITY</t>
  </si>
  <si>
    <t>Average New MFTs Fuel Economy (lge / 100km), INCLUDING the effect of ELECTRICITY</t>
  </si>
  <si>
    <t>Total heavy freight road (MFT &amp; HFT)</t>
  </si>
  <si>
    <t>Passenger_transport</t>
  </si>
  <si>
    <t>Freight_transport</t>
  </si>
  <si>
    <t>New_vehicles</t>
  </si>
  <si>
    <t>Section 2. Select a transport category</t>
  </si>
  <si>
    <t>Emissions from new vehicles</t>
  </si>
  <si>
    <t>Passenger transport emissions</t>
  </si>
  <si>
    <t>Freight transport emissions</t>
  </si>
  <si>
    <t>Aviation emissions</t>
  </si>
  <si>
    <t>Select a base year</t>
  </si>
  <si>
    <t>Select a target year</t>
  </si>
  <si>
    <t>Company WTW emissions</t>
  </si>
  <si>
    <t>Emissions category for target modelling</t>
  </si>
  <si>
    <t>TTW emissions</t>
  </si>
  <si>
    <t>Fuel Economy</t>
  </si>
  <si>
    <t>TTW - 2DS</t>
  </si>
  <si>
    <t>TTW - B2DS</t>
  </si>
  <si>
    <t>49% Reduction</t>
  </si>
  <si>
    <t>72% Reduction</t>
  </si>
  <si>
    <t>95% Reduction</t>
  </si>
  <si>
    <t>WTW - ABSOLUTE REDUCTION</t>
  </si>
  <si>
    <t>Revisar conversion de unidades</t>
  </si>
  <si>
    <t>Sector TTW emissions (Indexed)</t>
  </si>
  <si>
    <t>Go to B2DS results</t>
  </si>
  <si>
    <t>Mejoras de la version anterior</t>
  </si>
  <si>
    <t>Company WTT emissions</t>
  </si>
  <si>
    <t>Company TTW emissions</t>
  </si>
  <si>
    <t>Not available</t>
  </si>
  <si>
    <t>Passenger - Light duty vehicles</t>
  </si>
  <si>
    <t>Passenger - Mini-buses</t>
  </si>
  <si>
    <t>Passenger - Buses</t>
  </si>
  <si>
    <t>Passenger - Total large road vehicles (buses &amp; mini-buses)</t>
  </si>
  <si>
    <t>Passenger - Rail transport (total)</t>
  </si>
  <si>
    <t>Passenger - Urban rail</t>
  </si>
  <si>
    <t>Passenger - Non-urban rail</t>
  </si>
  <si>
    <t>Freight - Light commercial vehicles</t>
  </si>
  <si>
    <t>Freight - Rail</t>
  </si>
  <si>
    <t>Freight - Maritime</t>
  </si>
  <si>
    <t>Passenger - New light duty vehicles</t>
  </si>
  <si>
    <t>Freight - New light commercial vehicles</t>
  </si>
  <si>
    <t>Freight - New medium freight trucks (MFT)</t>
  </si>
  <si>
    <t>Freight - New heavy freight trucks (HFT)</t>
  </si>
  <si>
    <t>Freight - Heavy freight trucks (HFT)</t>
  </si>
  <si>
    <t>Freight - Medium freight trucks (MFT)</t>
  </si>
  <si>
    <t>Freight - 2-3 Wheelers</t>
  </si>
  <si>
    <t>Passenger - 2-3 Wheelers</t>
  </si>
  <si>
    <t>Passenger - New light duty vehicles (Fuel economy)</t>
  </si>
  <si>
    <t>Freight - New light commercial vehicles (Fuel economy)</t>
  </si>
  <si>
    <t>Freight - New medium freight trucks (Fuel economy)</t>
  </si>
  <si>
    <t>Freight - New heavy freight trucks (Fuel economy)</t>
  </si>
  <si>
    <t>Section 1. Select a type of transport related emissions</t>
  </si>
  <si>
    <t>no es necesario</t>
  </si>
  <si>
    <t>Sector fuel economy</t>
  </si>
  <si>
    <t>Fuel economy 2DS</t>
  </si>
  <si>
    <t>Company fuel economy</t>
  </si>
  <si>
    <t>Fuel economy B2DS</t>
  </si>
  <si>
    <t>Vehicle load</t>
  </si>
  <si>
    <t>PLDV Load factor  (average passengers per vehicle, cars and light trucks/vans/suvs)</t>
  </si>
  <si>
    <t>LCVs  load factor  (average tons per vehicle)</t>
  </si>
  <si>
    <t>MFTs load factor  (average tons per vehicle)</t>
  </si>
  <si>
    <t>HFTs load factor  (average tons per vehicle)</t>
  </si>
  <si>
    <t>Sector information</t>
  </si>
  <si>
    <t>2DS Load factor by</t>
  </si>
  <si>
    <t>2DS Load factor ty</t>
  </si>
  <si>
    <t>Default load factor - 2DS (avg. metric tonnes per vehicle)</t>
  </si>
  <si>
    <t>Default occupancy rate - 2DS (avg. passenger per vehicle)</t>
  </si>
  <si>
    <t>Default occupancy rate - B2DS (avg. passenger per vehicle)</t>
  </si>
  <si>
    <t>Default load factor - B2DS (avg. metric tonnes per vehicle)</t>
  </si>
  <si>
    <t>B2DS Load factor by</t>
  </si>
  <si>
    <t>B2DS Load factor ty</t>
  </si>
  <si>
    <t>Target modelling results - 2DS</t>
  </si>
  <si>
    <t>Target modelling results - B2DS</t>
  </si>
  <si>
    <r>
      <rPr>
        <b/>
        <sz val="20"/>
        <color theme="1"/>
        <rFont val="Arial"/>
        <family val="2"/>
      </rPr>
      <t>Terms of use</t>
    </r>
    <r>
      <rPr>
        <sz val="12"/>
        <color theme="1"/>
        <rFont val="Arial"/>
        <family val="2"/>
      </rPr>
      <t xml:space="preserve">
This Tool is intended to enable companies to develop appropriate science-based emissions reductions targets, as well as to assist companies and interested third parties in assessing and evaluating companies' targets.
These terms of use govern all access to and use of the Tool. Please read these terms carefully before accessing or using the Tool and any associated materials. By accepting these terms, you indicate that you have read and understood them and that you agree to abide by them. If you do not agree to these terms, you will not be able to use the Tool.
The Partner Organizations reserve the right, at their discretion, to withdraw or amend the Tool without notice, and will not be liable if for any reason the Tool is unavailable at any time or for any period. Further, the Partner Organizations reserve the right to modify or replace any part of these terms of use. It is your responsibility to check these terms periodically for changes. Your continued use of the Tool following the posting of any changes to these terms constitutes acceptance of those changes.
</t>
    </r>
  </si>
  <si>
    <r>
      <rPr>
        <b/>
        <sz val="20"/>
        <color theme="1"/>
        <rFont val="Arial"/>
        <family val="2"/>
      </rPr>
      <t>Disclaimer</t>
    </r>
    <r>
      <rPr>
        <b/>
        <sz val="12"/>
        <color theme="1"/>
        <rFont val="Arial"/>
        <family val="2"/>
      </rPr>
      <t xml:space="preserve">
</t>
    </r>
    <r>
      <rPr>
        <sz val="12"/>
        <color theme="1"/>
        <rFont val="Arial"/>
        <family val="2"/>
      </rPr>
      <t xml:space="preserve">The Tool and associated materials have been prepared by the Initiative with a high degree of expertise and professionalism, and reflect current best practice in science-based target setting. However, the Partner Organizations, collectively and individually, do not warrant the Tool for any purpose, nor do they make any representations regarding its accuracy, completeness, timeliness or fitness for any use or purpose whatsoever. Information generated by the tool is not intended to amount to advice on which reliance should be placed.
Developing science-based targets is a multi-step process and appropriate company-wide science-based targets can only be developed after careful consideration of the necessary input data on company emissions and activity. Only then should emissions targets be developed. The Initiative does not examine, verify or hold any such input data provided by users of the Tool.
The Tool relies on data obtained from a variety of third-party sources. This data was obtained from sources believed by the Initiative to be reliable, but there can be no assurance as to the accuracy or completeness of this data. Further, scenarios and assumptions included in the Tool are inherently uncertain due to events or combinations of events that cannot reasonably be foreseen, including, without limitation, the actions of governments, organizations and individuals. The Partner Organizations, collectively and individually, make no warranties or representations about the accuracy or completeness of the data or assumptions contained in this Tool.
You therefore understand that you use the Tool at your own discretion and risk. You agree that you are not entitled to rely on any information generated by the Tool. You further agree to hold the Partner Organizations, collectively and individually, harmless for loss you might suffer arising out of any inaccuracies in information generated by the Tool. Under no circumstances shall the Partner Organizations, collectively and individually, be liable for direct, indirect or consequential loss or damage arising from the use of the Tool or an inability to use it.
</t>
    </r>
  </si>
  <si>
    <r>
      <rPr>
        <b/>
        <sz val="18"/>
        <color theme="1"/>
        <rFont val="Arial"/>
        <family val="2"/>
      </rPr>
      <t>IMPORTANT:</t>
    </r>
    <r>
      <rPr>
        <sz val="18"/>
        <color theme="1"/>
        <rFont val="Arial"/>
        <family val="2"/>
      </rPr>
      <t xml:space="preserve"> </t>
    </r>
    <r>
      <rPr>
        <sz val="12"/>
        <color theme="1"/>
        <rFont val="Arial"/>
        <family val="2"/>
      </rPr>
      <t>By using this tool you acknowledge that you have read, understood and agree to our Terms of Use and Disclaimer.</t>
    </r>
  </si>
  <si>
    <t>The SDA transport tool uses proprietary data from the IEA Mobility Model and therefore these data is protected.</t>
  </si>
  <si>
    <t>gCO2e/pkm</t>
  </si>
  <si>
    <t>gCO2e/vkm</t>
  </si>
  <si>
    <t>gCO2e/tkm</t>
  </si>
  <si>
    <t>Version 1.1.1</t>
  </si>
  <si>
    <t xml:space="preserve">IMPORTANT NOTE: </t>
  </si>
  <si>
    <t xml:space="preserve">This revised version of the SBTi Transport Tool has been released to assist companies with modelling Scope 3 targets only. </t>
  </si>
  <si>
    <t xml:space="preserve">The tool outputs cannot be used to inform emission reduction requirements for owned/controlled transport operations. </t>
  </si>
  <si>
    <t>Any base year between 2015 and the current year is eligible</t>
  </si>
  <si>
    <t>Any target year between 5 and 10 years from year of submission is eligible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</si>
</sst>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3" formatCode="_(* #,##0.00_);_(* \(#,##0.00\);_(* &quot;-&quot;??_);_(@_)"/>
    <numFmt numFmtId="164" formatCode="0.00000000"/>
    <numFmt numFmtId="165" formatCode="0.000%"/>
    <numFmt numFmtId="166" formatCode="0.0000%"/>
    <numFmt numFmtId="167" formatCode="0.0000"/>
    <numFmt numFmtId="168" formatCode="#,##0.000"/>
    <numFmt numFmtId="169" formatCode="[$$-409]#,##0_);\([$$-409]#,##0\)"/>
    <numFmt numFmtId="170" formatCode="[$$-409]#,##0"/>
    <numFmt numFmtId="171" formatCode="_-* #,##0_-;\-* #,##0_-;_-* &quot;-&quot;_-;_-@_-"/>
    <numFmt numFmtId="172" formatCode="_-* #,##0.00_-;\-* #,##0.00_-;_-* &quot;-&quot;??_-;_-@_-"/>
    <numFmt numFmtId="173" formatCode="_-&quot;€&quot;* #,##0_-;\-&quot;€&quot;* #,##0_-;_-&quot;€&quot;* &quot;-&quot;_-;_-@_-"/>
    <numFmt numFmtId="174" formatCode="_-&quot;€&quot;* #,##0.00_-;\-&quot;€&quot;* #,##0.00_-;_-&quot;€&quot;* &quot;-&quot;??_-;_-@_-"/>
    <numFmt numFmtId="175" formatCode="#\,##0"/>
    <numFmt numFmtId="176" formatCode="General_);[Red]\-General_)"/>
    <numFmt numFmtId="177" formatCode="0.000000"/>
    <numFmt numFmtId="178" formatCode="0.00%;\(0.00%\)"/>
  </numFmts>
  <fonts count="87" x14ac:knownFonts="1">
    <font>
      <sz val="11"/>
      <color theme="1"/>
      <name val="Calibri"/>
      <family val="2"/>
      <scheme val="minor"/>
    </font>
    <font>
      <sz val="11"/>
      <color theme="1"/>
      <name val="Calibri"/>
      <family val="2"/>
      <scheme val="minor"/>
    </font>
    <font>
      <b/>
      <sz val="11"/>
      <color theme="1"/>
      <name val="Calibri"/>
      <family val="2"/>
      <scheme val="minor"/>
    </font>
    <font>
      <b/>
      <sz val="8"/>
      <color rgb="FFFF0000"/>
      <name val="Arial"/>
      <family val="2"/>
    </font>
    <font>
      <sz val="8"/>
      <name val="Arial"/>
      <family val="2"/>
    </font>
    <font>
      <b/>
      <sz val="8"/>
      <color rgb="FF000000"/>
      <name val="Arial"/>
      <family val="2"/>
    </font>
    <font>
      <sz val="8"/>
      <color rgb="FF000000"/>
      <name val="Arial"/>
      <family val="2"/>
    </font>
    <font>
      <b/>
      <sz val="11"/>
      <color rgb="FF000000"/>
      <name val="Arial"/>
      <family val="2"/>
    </font>
    <font>
      <b/>
      <sz val="11"/>
      <color theme="1"/>
      <name val="Arial"/>
      <family val="2"/>
    </font>
    <font>
      <sz val="11"/>
      <color theme="1"/>
      <name val="Arial"/>
      <family val="2"/>
    </font>
    <font>
      <sz val="11"/>
      <name val="Arial"/>
      <family val="2"/>
    </font>
    <font>
      <sz val="11"/>
      <color rgb="FFFF0000"/>
      <name val="Arial"/>
      <family val="2"/>
    </font>
    <font>
      <b/>
      <sz val="36"/>
      <color theme="1" tint="0.249977111117893"/>
      <name val="Arial"/>
      <family val="2"/>
    </font>
    <font>
      <u/>
      <sz val="12"/>
      <color theme="10"/>
      <name val="Calibri"/>
      <family val="2"/>
      <scheme val="minor"/>
    </font>
    <font>
      <u/>
      <sz val="11"/>
      <color rgb="FF0000FF"/>
      <name val="Arial"/>
      <family val="2"/>
    </font>
    <font>
      <sz val="12"/>
      <color theme="1"/>
      <name val="Arial"/>
      <family val="2"/>
    </font>
    <font>
      <b/>
      <sz val="16"/>
      <color theme="5" tint="-0.499984740745262"/>
      <name val="Arial"/>
      <family val="2"/>
    </font>
    <font>
      <i/>
      <sz val="11"/>
      <color theme="1" tint="0.499984740745262"/>
      <name val="Arial"/>
      <family val="2"/>
    </font>
    <font>
      <i/>
      <sz val="11"/>
      <color theme="1"/>
      <name val="Arial"/>
      <family val="2"/>
    </font>
    <font>
      <sz val="11"/>
      <color theme="1" tint="0.499984740745262"/>
      <name val="Arial"/>
      <family val="2"/>
    </font>
    <font>
      <b/>
      <sz val="14"/>
      <color theme="9"/>
      <name val="Arial"/>
      <family val="2"/>
    </font>
    <font>
      <b/>
      <sz val="14"/>
      <color theme="1"/>
      <name val="Arial"/>
      <family val="2"/>
    </font>
    <font>
      <b/>
      <sz val="10"/>
      <color theme="1"/>
      <name val="Arial"/>
      <family val="2"/>
    </font>
    <font>
      <sz val="11"/>
      <name val="Calibri"/>
      <family val="2"/>
      <scheme val="minor"/>
    </font>
    <font>
      <b/>
      <sz val="8"/>
      <color theme="1"/>
      <name val="Arial"/>
      <family val="2"/>
    </font>
    <font>
      <sz val="8"/>
      <color theme="1"/>
      <name val="Arial"/>
      <family val="2"/>
    </font>
    <font>
      <i/>
      <sz val="8"/>
      <color theme="1" tint="0.499984740745262"/>
      <name val="Arial"/>
      <family val="2"/>
    </font>
    <font>
      <b/>
      <sz val="8"/>
      <color theme="5" tint="-0.499984740745262"/>
      <name val="Arial"/>
      <family val="2"/>
    </font>
    <font>
      <sz val="9"/>
      <color theme="1"/>
      <name val="Arial"/>
      <family val="2"/>
    </font>
    <font>
      <sz val="8"/>
      <color rgb="FFFF0000"/>
      <name val="Arial"/>
      <family val="2"/>
    </font>
    <font>
      <b/>
      <sz val="9"/>
      <color theme="1"/>
      <name val="Arial"/>
      <family val="2"/>
    </font>
    <font>
      <sz val="10"/>
      <color theme="1"/>
      <name val="Arial"/>
      <family val="2"/>
    </font>
    <font>
      <b/>
      <sz val="18"/>
      <color theme="1"/>
      <name val="Arial"/>
      <family val="2"/>
    </font>
    <font>
      <b/>
      <sz val="20"/>
      <color theme="1"/>
      <name val="Arial"/>
      <family val="2"/>
    </font>
    <font>
      <u/>
      <sz val="8"/>
      <color theme="10"/>
      <name val="Arial"/>
      <family val="2"/>
    </font>
    <font>
      <u/>
      <sz val="8"/>
      <color rgb="FFFF0000"/>
      <name val="Arial"/>
      <family val="2"/>
    </font>
    <font>
      <sz val="10"/>
      <name val="Arial"/>
      <family val="2"/>
    </font>
    <font>
      <b/>
      <sz val="12"/>
      <name val="Arial"/>
      <family val="2"/>
    </font>
    <font>
      <u/>
      <sz val="6"/>
      <color indexed="12"/>
      <name val="Arial"/>
      <family val="2"/>
    </font>
    <font>
      <b/>
      <sz val="10"/>
      <name val="Arial"/>
      <family val="2"/>
    </font>
    <font>
      <sz val="12"/>
      <color theme="1"/>
      <name val="Calibri"/>
      <family val="2"/>
      <scheme val="minor"/>
    </font>
    <font>
      <u/>
      <sz val="11"/>
      <color theme="10"/>
      <name val="Calibri"/>
      <family val="2"/>
      <scheme val="minor"/>
    </font>
    <font>
      <sz val="8"/>
      <name val="Arial"/>
      <family val="2"/>
    </font>
    <font>
      <b/>
      <sz val="11"/>
      <color indexed="32"/>
      <name val="Verdana"/>
      <family val="2"/>
    </font>
    <font>
      <sz val="8"/>
      <color indexed="32"/>
      <name val="Arial"/>
      <family val="2"/>
    </font>
    <font>
      <b/>
      <sz val="8"/>
      <name val="Arial"/>
      <family val="2"/>
    </font>
    <font>
      <sz val="8"/>
      <name val="Verdana"/>
      <family val="2"/>
    </font>
    <font>
      <sz val="8"/>
      <color indexed="8"/>
      <name val="Arial"/>
      <family val="2"/>
    </font>
    <font>
      <sz val="6"/>
      <color indexed="54"/>
      <name val="Arial"/>
      <family val="2"/>
    </font>
    <font>
      <sz val="8"/>
      <color theme="0"/>
      <name val="Arial"/>
      <family val="2"/>
    </font>
    <font>
      <sz val="8"/>
      <color rgb="FF8D2EA5"/>
      <name val="Arial"/>
      <family val="2"/>
    </font>
    <font>
      <b/>
      <sz val="8"/>
      <color rgb="FFFFFFFF"/>
      <name val="Arial"/>
      <family val="2"/>
    </font>
    <font>
      <sz val="8"/>
      <color rgb="FF0039A6"/>
      <name val="Arial"/>
      <family val="2"/>
    </font>
    <font>
      <sz val="8"/>
      <color rgb="FF8B8D8E"/>
      <name val="Verdana"/>
      <family val="2"/>
    </font>
    <font>
      <sz val="8"/>
      <color rgb="FFA2A4A4"/>
      <name val="Arial"/>
      <family val="2"/>
    </font>
    <font>
      <b/>
      <sz val="10"/>
      <color rgb="FF8B8D8E"/>
      <name val="Verdana"/>
      <family val="2"/>
    </font>
    <font>
      <b/>
      <sz val="9"/>
      <color rgb="FF8B8D8E"/>
      <name val="Verdana"/>
      <family val="2"/>
    </font>
    <font>
      <sz val="7"/>
      <color rgb="FF8B8D8E"/>
      <name val="Arial"/>
      <family val="2"/>
    </font>
    <font>
      <b/>
      <sz val="8"/>
      <color theme="0"/>
      <name val="Verdana"/>
      <family val="2"/>
    </font>
    <font>
      <b/>
      <sz val="8"/>
      <color rgb="FF7AB800"/>
      <name val="Verdana"/>
      <family val="2"/>
    </font>
    <font>
      <sz val="8"/>
      <color rgb="FFBD0C30"/>
      <name val="Arial"/>
      <family val="2"/>
    </font>
    <font>
      <sz val="8"/>
      <color theme="4"/>
      <name val="Arial"/>
      <family val="2"/>
    </font>
    <font>
      <u/>
      <sz val="8"/>
      <color rgb="FF6688CA"/>
      <name val="Arial"/>
      <family val="2"/>
    </font>
    <font>
      <b/>
      <sz val="11"/>
      <color theme="4"/>
      <name val="Verdana"/>
      <family val="2"/>
    </font>
    <font>
      <b/>
      <sz val="10"/>
      <color theme="6"/>
      <name val="Verdana"/>
      <family val="2"/>
    </font>
    <font>
      <b/>
      <sz val="9"/>
      <color theme="6"/>
      <name val="Verdana"/>
      <family val="2"/>
    </font>
    <font>
      <b/>
      <sz val="9"/>
      <color rgb="FF6688CA"/>
      <name val="Verdana"/>
      <family val="2"/>
    </font>
    <font>
      <u/>
      <sz val="8"/>
      <color theme="4"/>
      <name val="Arial"/>
      <family val="2"/>
    </font>
    <font>
      <sz val="8"/>
      <color rgb="FF3F3F3F"/>
      <name val="Arial"/>
      <family val="2"/>
    </font>
    <font>
      <b/>
      <sz val="16"/>
      <color theme="6"/>
      <name val="Verdana"/>
      <family val="2"/>
    </font>
    <font>
      <b/>
      <sz val="8"/>
      <color theme="1"/>
      <name val="Verdana"/>
      <family val="2"/>
    </font>
    <font>
      <sz val="8"/>
      <color theme="7"/>
      <name val="Arial"/>
      <family val="2"/>
    </font>
    <font>
      <u/>
      <sz val="10"/>
      <color theme="10"/>
      <name val="Arial"/>
      <family val="2"/>
    </font>
    <font>
      <b/>
      <sz val="24"/>
      <color theme="1" tint="0.249977111117893"/>
      <name val="Arial"/>
      <family val="2"/>
    </font>
    <font>
      <i/>
      <sz val="10"/>
      <color theme="1" tint="0.499984740745262"/>
      <name val="Arial"/>
      <family val="2"/>
    </font>
    <font>
      <i/>
      <sz val="10"/>
      <color rgb="FFC00000"/>
      <name val="Arial"/>
      <family val="2"/>
    </font>
    <font>
      <i/>
      <sz val="10"/>
      <color rgb="FFFF0000"/>
      <name val="Arial"/>
      <family val="2"/>
    </font>
    <font>
      <b/>
      <sz val="24"/>
      <name val="Arial"/>
      <family val="2"/>
    </font>
    <font>
      <b/>
      <sz val="20"/>
      <color theme="1" tint="0.249977111117893"/>
      <name val="Arial"/>
      <family val="2"/>
    </font>
    <font>
      <b/>
      <sz val="16"/>
      <color theme="1" tint="0.249977111117893"/>
      <name val="Arial"/>
      <family val="2"/>
    </font>
    <font>
      <b/>
      <sz val="12"/>
      <color theme="1"/>
      <name val="Arial"/>
      <family val="2"/>
    </font>
    <font>
      <sz val="18"/>
      <color theme="1"/>
      <name val="Arial"/>
      <family val="2"/>
    </font>
    <font>
      <b/>
      <sz val="20"/>
      <name val="Arial"/>
      <family val="2"/>
    </font>
    <font>
      <u/>
      <sz val="11"/>
      <color rgb="FF0070C0"/>
      <name val="Arial"/>
      <family val="2"/>
    </font>
    <font>
      <b/>
      <sz val="11"/>
      <color rgb="FFFF0000"/>
      <name val="Arial"/>
      <family val="2"/>
    </font>
    <font>
      <b/>
      <sz val="14"/>
      <color theme="5" tint="-0.499984740745262"/>
      <name val="Arial"/>
      <family val="2"/>
    </font>
    <font>
      <sz val="9"/>
      <color rgb="FFFF0000"/>
      <name val="Arial"/>
      <family val="2"/>
    </font>
  </fonts>
  <fills count="84">
    <fill>
      <patternFill patternType="none"/>
    </fill>
    <fill>
      <patternFill patternType="gray125"/>
    </fill>
    <fill>
      <patternFill patternType="solid">
        <fgColor rgb="FFCFD0D1"/>
        <bgColor rgb="FF000000"/>
      </patternFill>
    </fill>
    <fill>
      <patternFill patternType="solid">
        <fgColor theme="1" tint="0.3499862666707357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13"/>
        <bgColor indexed="64"/>
      </patternFill>
    </fill>
    <fill>
      <patternFill patternType="solid">
        <fgColor indexed="46"/>
        <bgColor indexed="64"/>
      </patternFill>
    </fill>
    <fill>
      <patternFill patternType="solid">
        <fgColor indexed="18"/>
        <bgColor indexed="64"/>
      </patternFill>
    </fill>
    <fill>
      <patternFill patternType="solid">
        <fgColor indexed="54"/>
        <bgColor indexed="64"/>
      </patternFill>
    </fill>
    <fill>
      <patternFill patternType="solid">
        <fgColor indexed="10"/>
        <bgColor indexed="64"/>
      </patternFill>
    </fill>
    <fill>
      <patternFill patternType="solid">
        <fgColor indexed="17"/>
        <bgColor indexed="64"/>
      </patternFill>
    </fill>
    <fill>
      <patternFill patternType="solid">
        <fgColor indexed="52"/>
        <bgColor indexed="64"/>
      </patternFill>
    </fill>
    <fill>
      <patternFill patternType="solid">
        <fgColor indexed="55"/>
        <bgColor indexed="64"/>
      </patternFill>
    </fill>
    <fill>
      <patternFill patternType="solid">
        <fgColor indexed="32"/>
        <bgColor indexed="64"/>
      </patternFill>
    </fill>
    <fill>
      <patternFill patternType="solid">
        <fgColor indexed="56"/>
        <bgColor indexed="64"/>
      </patternFill>
    </fill>
    <fill>
      <patternFill patternType="solid">
        <fgColor indexed="62"/>
        <bgColor indexed="64"/>
      </patternFill>
    </fill>
    <fill>
      <patternFill patternType="solid">
        <fgColor indexed="33"/>
        <bgColor indexed="64"/>
      </patternFill>
    </fill>
    <fill>
      <patternFill patternType="solid">
        <fgColor indexed="50"/>
        <bgColor indexed="64"/>
      </patternFill>
    </fill>
    <fill>
      <patternFill patternType="solid">
        <fgColor rgb="FF99B0DB"/>
        <bgColor indexed="64"/>
      </patternFill>
    </fill>
    <fill>
      <patternFill patternType="solid">
        <fgColor rgb="FFCAE399"/>
        <bgColor indexed="64"/>
      </patternFill>
    </fill>
    <fill>
      <patternFill patternType="solid">
        <fgColor rgb="FFD1D1D2"/>
        <bgColor indexed="64"/>
      </patternFill>
    </fill>
    <fill>
      <patternFill patternType="solid">
        <fgColor rgb="FFE89EAC"/>
        <bgColor indexed="64"/>
      </patternFill>
    </fill>
    <fill>
      <patternFill patternType="solid">
        <fgColor rgb="FFFFC699"/>
        <bgColor indexed="64"/>
      </patternFill>
    </fill>
    <fill>
      <patternFill patternType="solid">
        <fgColor rgb="FFF7DD99"/>
        <bgColor indexed="64"/>
      </patternFill>
    </fill>
    <fill>
      <patternFill patternType="solid">
        <fgColor rgb="FF6688CA"/>
        <bgColor indexed="64"/>
      </patternFill>
    </fill>
    <fill>
      <patternFill patternType="solid">
        <fgColor rgb="FFAFD466"/>
        <bgColor indexed="64"/>
      </patternFill>
    </fill>
    <fill>
      <patternFill patternType="solid">
        <fgColor rgb="FFB9BBBB"/>
        <bgColor indexed="64"/>
      </patternFill>
    </fill>
    <fill>
      <patternFill patternType="solid">
        <fgColor rgb="FFDD6D83"/>
        <bgColor indexed="64"/>
      </patternFill>
    </fill>
    <fill>
      <patternFill patternType="solid">
        <fgColor rgb="FFFFA966"/>
        <bgColor indexed="64"/>
      </patternFill>
    </fill>
    <fill>
      <patternFill patternType="solid">
        <fgColor rgb="FFF3CD66"/>
        <bgColor indexed="64"/>
      </patternFill>
    </fill>
    <fill>
      <patternFill patternType="solid">
        <fgColor rgb="FF3361B8"/>
        <bgColor indexed="64"/>
      </patternFill>
    </fill>
    <fill>
      <patternFill patternType="solid">
        <fgColor rgb="FF95C633"/>
        <bgColor rgb="FF95C633"/>
      </patternFill>
    </fill>
    <fill>
      <patternFill patternType="solid">
        <fgColor rgb="FFA2A4A4"/>
        <bgColor indexed="64"/>
      </patternFill>
    </fill>
    <fill>
      <patternFill patternType="solid">
        <fgColor rgb="FFD13D5A"/>
        <bgColor indexed="64"/>
      </patternFill>
    </fill>
    <fill>
      <patternFill patternType="solid">
        <fgColor rgb="FFFF8D33"/>
        <bgColor indexed="64"/>
      </patternFill>
    </fill>
    <fill>
      <patternFill patternType="solid">
        <fgColor rgb="FFEEBC33"/>
        <bgColor indexed="64"/>
      </patternFill>
    </fill>
    <fill>
      <patternFill patternType="solid">
        <fgColor rgb="FFFFE2CC"/>
        <bgColor rgb="FFFFE2CC"/>
      </patternFill>
    </fill>
    <fill>
      <patternFill patternType="solid">
        <fgColor rgb="FFCCD7ED"/>
        <bgColor indexed="64"/>
      </patternFill>
    </fill>
    <fill>
      <patternFill patternType="solid">
        <fgColor rgb="FFE3D5ED"/>
        <bgColor indexed="64"/>
      </patternFill>
    </fill>
    <fill>
      <patternFill patternType="solid">
        <fgColor rgb="FFCAE399"/>
        <bgColor rgb="FFE4F1CC"/>
      </patternFill>
    </fill>
    <fill>
      <patternFill patternType="solid">
        <fgColor rgb="FFE8E8E8"/>
        <bgColor indexed="64"/>
      </patternFill>
    </fill>
    <fill>
      <patternFill patternType="solid">
        <fgColor rgb="FFFFEB9C"/>
        <bgColor indexed="48"/>
      </patternFill>
    </fill>
    <fill>
      <patternFill patternType="solid">
        <fgColor rgb="FFE4F1CC"/>
        <bgColor indexed="64"/>
      </patternFill>
    </fill>
    <fill>
      <patternFill patternType="solid">
        <fgColor theme="8" tint="0.79998168889431442"/>
        <bgColor indexed="64"/>
      </patternFill>
    </fill>
    <fill>
      <patternFill patternType="solid">
        <fgColor indexed="60"/>
        <bgColor indexed="64"/>
      </patternFill>
    </fill>
    <fill>
      <patternFill patternType="solid">
        <fgColor indexed="53"/>
        <bgColor indexed="64"/>
      </patternFill>
    </fill>
    <fill>
      <patternFill patternType="solid">
        <fgColor indexed="23"/>
        <bgColor indexed="64"/>
      </patternFill>
    </fill>
    <fill>
      <patternFill patternType="solid">
        <fgColor indexed="39"/>
        <bgColor indexed="64"/>
      </patternFill>
    </fill>
    <fill>
      <patternFill patternType="solid">
        <fgColor indexed="38"/>
        <bgColor indexed="64"/>
      </patternFill>
    </fill>
    <fill>
      <patternFill patternType="solid">
        <fgColor indexed="63"/>
        <bgColor indexed="64"/>
      </patternFill>
    </fill>
    <fill>
      <patternFill patternType="solid">
        <fgColor rgb="FFD1339D"/>
        <bgColor indexed="64"/>
      </patternFill>
    </fill>
    <fill>
      <patternFill patternType="solid">
        <fgColor rgb="FF8E58B7"/>
        <bgColor indexed="64"/>
      </patternFill>
    </fill>
    <fill>
      <patternFill patternType="solid">
        <fgColor rgb="FF50458F"/>
        <bgColor indexed="64"/>
      </patternFill>
    </fill>
    <fill>
      <patternFill patternType="solid">
        <fgColor indexed="31"/>
        <bgColor indexed="64"/>
      </patternFill>
    </fill>
    <fill>
      <patternFill patternType="solid">
        <fgColor indexed="30"/>
        <bgColor indexed="64"/>
      </patternFill>
    </fill>
    <fill>
      <patternFill patternType="solid">
        <fgColor rgb="FFE5E533"/>
        <bgColor indexed="64"/>
      </patternFill>
    </fill>
    <fill>
      <patternFill patternType="solid">
        <fgColor indexed="59"/>
        <bgColor indexed="64"/>
      </patternFill>
    </fill>
    <fill>
      <patternFill patternType="solid">
        <fgColor rgb="FFAA82C9"/>
        <bgColor indexed="64"/>
      </patternFill>
    </fill>
    <fill>
      <patternFill patternType="solid">
        <fgColor indexed="9"/>
        <bgColor indexed="64"/>
      </patternFill>
    </fill>
    <fill>
      <patternFill patternType="solid">
        <fgColor rgb="FFE899CE"/>
        <bgColor indexed="64"/>
      </patternFill>
    </fill>
    <fill>
      <patternFill patternType="solid">
        <fgColor indexed="19"/>
        <bgColor indexed="64"/>
      </patternFill>
    </fill>
    <fill>
      <patternFill patternType="solid">
        <fgColor indexed="12"/>
        <bgColor indexed="64"/>
      </patternFill>
    </fill>
    <fill>
      <patternFill patternType="solid">
        <fgColor indexed="61"/>
        <bgColor indexed="64"/>
      </patternFill>
    </fill>
    <fill>
      <patternFill patternType="solid">
        <fgColor indexed="24"/>
        <bgColor indexed="64"/>
      </patternFill>
    </fill>
    <fill>
      <patternFill patternType="solid">
        <fgColor indexed="40"/>
        <bgColor indexed="64"/>
      </patternFill>
    </fill>
    <fill>
      <patternFill patternType="solid">
        <fgColor indexed="11"/>
        <bgColor indexed="64"/>
      </patternFill>
    </fill>
    <fill>
      <patternFill patternType="solid">
        <fgColor indexed="26"/>
        <bgColor indexed="64"/>
      </patternFill>
    </fill>
    <fill>
      <patternFill patternType="solid">
        <fgColor indexed="43"/>
        <bgColor indexed="64"/>
      </patternFill>
    </fill>
    <fill>
      <patternFill patternType="solid">
        <fgColor rgb="FFD9D9D9"/>
        <bgColor rgb="FF000000"/>
      </patternFill>
    </fill>
    <fill>
      <patternFill patternType="solid">
        <fgColor theme="1" tint="0.249977111117893"/>
        <bgColor indexed="64"/>
      </patternFill>
    </fill>
  </fills>
  <borders count="24">
    <border>
      <left/>
      <right/>
      <top/>
      <bottom/>
      <diagonal/>
    </border>
    <border>
      <left style="thin">
        <color auto="1"/>
      </left>
      <right style="thin">
        <color auto="1"/>
      </right>
      <top style="thin">
        <color auto="1"/>
      </top>
      <bottom style="thin">
        <color auto="1"/>
      </bottom>
      <diagonal/>
    </border>
    <border>
      <left style="hair">
        <color indexed="43"/>
      </left>
      <right style="hair">
        <color indexed="43"/>
      </right>
      <top style="hair">
        <color indexed="43"/>
      </top>
      <bottom style="hair">
        <color indexed="43"/>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hair">
        <color indexed="13"/>
      </left>
      <right style="hair">
        <color indexed="13"/>
      </right>
      <top style="hair">
        <color indexed="13"/>
      </top>
      <bottom style="hair">
        <color indexed="13"/>
      </bottom>
      <diagonal/>
    </border>
    <border>
      <left/>
      <right/>
      <top style="thin">
        <color indexed="33"/>
      </top>
      <bottom/>
      <diagonal/>
    </border>
    <border>
      <left/>
      <right/>
      <top/>
      <bottom style="medium">
        <color indexed="33"/>
      </bottom>
      <diagonal/>
    </border>
    <border>
      <left/>
      <right/>
      <top/>
      <bottom style="thin">
        <color indexed="33"/>
      </bottom>
      <diagonal/>
    </border>
    <border>
      <left/>
      <right/>
      <top/>
      <bottom style="thin">
        <color indexed="34"/>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dotted">
        <color rgb="FFE8E8E8"/>
      </left>
      <right style="dotted">
        <color rgb="FFE8E8E8"/>
      </right>
      <top style="dotted">
        <color rgb="FFE8E8E8"/>
      </top>
      <bottom style="dotted">
        <color rgb="FFE8E8E8"/>
      </bottom>
      <diagonal/>
    </border>
    <border>
      <left/>
      <right/>
      <top/>
      <bottom style="medium">
        <color theme="5"/>
      </bottom>
      <diagonal/>
    </border>
    <border>
      <left/>
      <right/>
      <top/>
      <bottom style="thin">
        <color theme="6"/>
      </bottom>
      <diagonal/>
    </border>
    <border>
      <left style="dotted">
        <color theme="5"/>
      </left>
      <right style="dotted">
        <color theme="5"/>
      </right>
      <top style="thin">
        <color theme="5"/>
      </top>
      <bottom style="medium">
        <color theme="5"/>
      </bottom>
      <diagonal/>
    </border>
    <border>
      <left style="thin">
        <color auto="1"/>
      </left>
      <right style="thin">
        <color auto="1"/>
      </right>
      <top/>
      <bottom style="thin">
        <color auto="1"/>
      </bottom>
      <diagonal/>
    </border>
    <border>
      <left/>
      <right/>
      <top style="medium">
        <color auto="1"/>
      </top>
      <bottom/>
      <diagonal/>
    </border>
  </borders>
  <cellStyleXfs count="182">
    <xf numFmtId="0" fontId="0" fillId="0" borderId="0"/>
    <xf numFmtId="9" fontId="1" fillId="0" borderId="0" applyFont="0" applyFill="0" applyBorder="0" applyAlignment="0" applyProtection="0"/>
    <xf numFmtId="0" fontId="4" fillId="0" borderId="2" applyNumberFormat="0" applyFont="0" applyAlignment="0"/>
    <xf numFmtId="0" fontId="13" fillId="0" borderId="0" applyNumberFormat="0" applyFill="0" applyBorder="0" applyAlignment="0" applyProtection="0"/>
    <xf numFmtId="43" fontId="1" fillId="0" borderId="0" applyFont="0" applyFill="0" applyBorder="0" applyAlignment="0" applyProtection="0"/>
    <xf numFmtId="169" fontId="1" fillId="0" borderId="0"/>
    <xf numFmtId="0" fontId="25" fillId="33" borderId="0" applyNumberFormat="0" applyBorder="0" applyAlignment="0" applyProtection="0"/>
    <xf numFmtId="9" fontId="36" fillId="0" borderId="0" applyFont="0" applyFill="0" applyBorder="0" applyAlignment="0" applyProtection="0"/>
    <xf numFmtId="0" fontId="25" fillId="36" borderId="0" applyNumberFormat="0" applyBorder="0" applyAlignment="0" applyProtection="0"/>
    <xf numFmtId="169" fontId="1" fillId="0" borderId="0"/>
    <xf numFmtId="169" fontId="36" fillId="0" borderId="0">
      <alignment wrapText="1"/>
    </xf>
    <xf numFmtId="43" fontId="1" fillId="0" borderId="0" applyFont="0" applyFill="0" applyBorder="0" applyAlignment="0" applyProtection="0"/>
    <xf numFmtId="169" fontId="40" fillId="0" borderId="0">
      <alignment wrapText="1"/>
    </xf>
    <xf numFmtId="169" fontId="41" fillId="0" borderId="0" applyNumberFormat="0" applyFill="0" applyBorder="0" applyAlignment="0" applyProtection="0"/>
    <xf numFmtId="169" fontId="40" fillId="0" borderId="0"/>
    <xf numFmtId="0" fontId="25" fillId="38" borderId="0" applyNumberFormat="0" applyBorder="0" applyAlignment="0" applyProtection="0"/>
    <xf numFmtId="0" fontId="25" fillId="32" borderId="0" applyNumberFormat="0" applyBorder="0" applyAlignment="0" applyProtection="0"/>
    <xf numFmtId="0" fontId="42" fillId="0" borderId="0"/>
    <xf numFmtId="0" fontId="25" fillId="35" borderId="0" applyNumberFormat="0" applyBorder="0" applyAlignment="0" applyProtection="0"/>
    <xf numFmtId="0" fontId="25" fillId="40" borderId="0" applyNumberFormat="0" applyBorder="0" applyAlignment="0" applyProtection="0"/>
    <xf numFmtId="0" fontId="25" fillId="34" borderId="0" applyNumberFormat="0" applyBorder="0" applyAlignment="0" applyProtection="0"/>
    <xf numFmtId="0" fontId="25" fillId="39" borderId="0" applyNumberFormat="0" applyBorder="0" applyAlignment="0" applyProtection="0"/>
    <xf numFmtId="0" fontId="25" fillId="37"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49" fillId="44" borderId="0" applyNumberFormat="0" applyBorder="0" applyAlignment="0" applyProtection="0"/>
    <xf numFmtId="0" fontId="25" fillId="45"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1" borderId="0" applyNumberFormat="0" applyBorder="0" applyAlignment="0" applyProtection="0"/>
    <xf numFmtId="0" fontId="49" fillId="12" borderId="0" applyNumberFormat="0" applyBorder="0" applyAlignment="0" applyProtection="0"/>
    <xf numFmtId="0" fontId="4" fillId="13" borderId="0" applyNumberFormat="0" applyBorder="0" applyAlignment="0" applyProtection="0"/>
    <xf numFmtId="0" fontId="25" fillId="14" borderId="0" applyNumberFormat="0" applyBorder="0" applyAlignment="0" applyProtection="0"/>
    <xf numFmtId="0" fontId="4" fillId="50" borderId="0" applyNumberFormat="0" applyBorder="0" applyAlignment="0" applyProtection="0"/>
    <xf numFmtId="0" fontId="4" fillId="51" borderId="18" applyNumberFormat="0" applyAlignment="0" applyProtection="0"/>
    <xf numFmtId="0" fontId="50" fillId="52" borderId="0" applyNumberFormat="0" applyAlignment="0" applyProtection="0"/>
    <xf numFmtId="0" fontId="4" fillId="0" borderId="10" applyNumberFormat="0" applyFont="0" applyFill="0" applyAlignment="0"/>
    <xf numFmtId="0" fontId="4" fillId="23" borderId="10" applyNumberFormat="0" applyFont="0" applyAlignment="0"/>
    <xf numFmtId="0" fontId="4" fillId="25" borderId="10" applyNumberFormat="0" applyFont="0" applyAlignment="0"/>
    <xf numFmtId="0" fontId="4" fillId="26" borderId="10" applyNumberFormat="0" applyFont="0" applyAlignment="0"/>
    <xf numFmtId="0" fontId="4" fillId="24" borderId="10" applyNumberFormat="0" applyFont="0" applyAlignment="0"/>
    <xf numFmtId="0" fontId="51" fillId="27" borderId="10" applyNumberFormat="0" applyAlignment="0"/>
    <xf numFmtId="0" fontId="48" fillId="0" borderId="0" applyNumberFormat="0" applyFill="0" applyBorder="0" applyAlignment="0"/>
    <xf numFmtId="0" fontId="52" fillId="0" borderId="0" applyNumberFormat="0" applyFill="0" applyBorder="0" applyAlignment="0"/>
    <xf numFmtId="0" fontId="53" fillId="0" borderId="11" applyNumberFormat="0" applyFill="0" applyAlignment="0"/>
    <xf numFmtId="3" fontId="4" fillId="28" borderId="10" applyNumberFormat="0" applyFont="0" applyAlignment="0">
      <protection locked="0"/>
    </xf>
    <xf numFmtId="1" fontId="44" fillId="28" borderId="10" applyNumberFormat="0" applyAlignment="0">
      <protection locked="0"/>
    </xf>
    <xf numFmtId="0" fontId="4" fillId="29" borderId="10" applyNumberFormat="0" applyFont="0" applyAlignment="0"/>
    <xf numFmtId="3" fontId="4" fillId="21" borderId="10" applyNumberFormat="0" applyFont="0" applyAlignment="0">
      <protection locked="0"/>
    </xf>
    <xf numFmtId="1" fontId="4" fillId="0" borderId="10" applyNumberFormat="0" applyFont="0" applyAlignment="0">
      <protection locked="0"/>
    </xf>
    <xf numFmtId="0" fontId="54" fillId="0" borderId="0" applyNumberFormat="0" applyFill="0" applyBorder="0">
      <alignment horizontal="right"/>
    </xf>
    <xf numFmtId="0" fontId="43" fillId="0" borderId="12" applyNumberFormat="0" applyFill="0" applyAlignment="0"/>
    <xf numFmtId="0" fontId="55" fillId="0" borderId="13" applyNumberFormat="0" applyFill="0" applyAlignment="0"/>
    <xf numFmtId="0" fontId="56" fillId="0" borderId="14" applyNumberFormat="0" applyFill="0" applyAlignment="0"/>
    <xf numFmtId="0" fontId="57" fillId="0" borderId="0" applyNumberFormat="0" applyFill="0" applyBorder="0" applyAlignment="0"/>
    <xf numFmtId="0" fontId="46" fillId="0" borderId="15" applyNumberFormat="0" applyAlignment="0"/>
    <xf numFmtId="0" fontId="46" fillId="0" borderId="2" applyNumberFormat="0" applyAlignment="0"/>
    <xf numFmtId="0" fontId="45" fillId="0" borderId="16" applyNumberFormat="0">
      <alignment wrapText="1"/>
    </xf>
    <xf numFmtId="0" fontId="58" fillId="30" borderId="0" applyNumberFormat="0" applyBorder="0">
      <alignment wrapText="1"/>
    </xf>
    <xf numFmtId="0" fontId="59" fillId="0" borderId="17" applyNumberFormat="0">
      <alignment wrapText="1"/>
    </xf>
    <xf numFmtId="0" fontId="4" fillId="31" borderId="0" applyNumberFormat="0" applyFont="0" applyBorder="0" applyAlignment="0">
      <protection locked="0"/>
    </xf>
    <xf numFmtId="0" fontId="60" fillId="17" borderId="0" applyNumberFormat="0" applyBorder="0" applyAlignment="0">
      <protection locked="0"/>
    </xf>
    <xf numFmtId="0" fontId="61" fillId="0" borderId="0" applyNumberFormat="0" applyFill="0" applyBorder="0" applyAlignment="0" applyProtection="0"/>
    <xf numFmtId="0" fontId="62" fillId="0" borderId="0" applyNumberFormat="0" applyFill="0" applyBorder="0" applyAlignment="0" applyProtection="0">
      <alignment vertical="top"/>
      <protection locked="0"/>
    </xf>
    <xf numFmtId="0" fontId="25" fillId="53" borderId="0" applyNumberFormat="0" applyBorder="0" applyAlignment="0" applyProtection="0"/>
    <xf numFmtId="0" fontId="63" fillId="0" borderId="19" applyNumberFormat="0" applyFill="0" applyAlignment="0" applyProtection="0"/>
    <xf numFmtId="0" fontId="64" fillId="0" borderId="20" applyNumberFormat="0" applyFill="0" applyAlignment="0" applyProtection="0"/>
    <xf numFmtId="0" fontId="65" fillId="0" borderId="20" applyNumberFormat="0" applyFill="0" applyAlignment="0" applyProtection="0"/>
    <xf numFmtId="0" fontId="66" fillId="0" borderId="0" applyNumberFormat="0" applyBorder="0" applyAlignment="0" applyProtection="0"/>
    <xf numFmtId="0" fontId="67" fillId="0" borderId="0" applyNumberFormat="0" applyFill="0" applyBorder="0" applyAlignment="0" applyProtection="0">
      <alignment vertical="top"/>
      <protection locked="0"/>
    </xf>
    <xf numFmtId="0" fontId="4" fillId="28" borderId="0" applyNumberFormat="0" applyAlignment="0" applyProtection="0"/>
    <xf numFmtId="0" fontId="4" fillId="54" borderId="0" applyNumberFormat="0" applyAlignment="0" applyProtection="0"/>
    <xf numFmtId="0" fontId="25" fillId="55" borderId="0" applyNumberFormat="0" applyBorder="0" applyAlignment="0" applyProtection="0"/>
    <xf numFmtId="0" fontId="61" fillId="0" borderId="0" applyNumberFormat="0" applyAlignment="0" applyProtection="0"/>
    <xf numFmtId="0" fontId="68" fillId="56" borderId="0" applyNumberFormat="0" applyAlignment="0" applyProtection="0"/>
    <xf numFmtId="0" fontId="69" fillId="0" borderId="0" applyNumberFormat="0" applyFill="0" applyBorder="0" applyAlignment="0" applyProtection="0"/>
    <xf numFmtId="0" fontId="70" fillId="0" borderId="21" applyNumberFormat="0" applyFill="0" applyAlignment="0" applyProtection="0"/>
    <xf numFmtId="0" fontId="71" fillId="57" borderId="0" applyNumberFormat="0" applyBorder="0" applyAlignment="0" applyProtection="0"/>
    <xf numFmtId="0" fontId="49" fillId="58" borderId="0" applyNumberFormat="0" applyBorder="0" applyAlignment="0" applyProtection="0"/>
    <xf numFmtId="0" fontId="49" fillId="59" borderId="0" applyNumberFormat="0" applyBorder="0" applyAlignment="0" applyProtection="0"/>
    <xf numFmtId="0" fontId="49" fillId="60" borderId="0" applyNumberFormat="0" applyBorder="0" applyAlignment="0" applyProtection="0"/>
    <xf numFmtId="0" fontId="49" fillId="61" borderId="0" applyNumberFormat="0" applyBorder="0" applyAlignment="0" applyProtection="0"/>
    <xf numFmtId="0" fontId="49" fillId="62" borderId="0" applyNumberFormat="0" applyBorder="0" applyAlignment="0" applyProtection="0"/>
    <xf numFmtId="0" fontId="4" fillId="63" borderId="0" applyNumberFormat="0" applyBorder="0" applyAlignment="0" applyProtection="0"/>
    <xf numFmtId="0" fontId="49" fillId="64" borderId="0" applyNumberFormat="0" applyBorder="0" applyAlignment="0" applyProtection="0"/>
    <xf numFmtId="0" fontId="49" fillId="65" borderId="0" applyNumberFormat="0" applyBorder="0" applyAlignment="0" applyProtection="0"/>
    <xf numFmtId="0" fontId="49" fillId="66" borderId="0" applyNumberFormat="0" applyBorder="0" applyAlignment="0" applyProtection="0"/>
    <xf numFmtId="0" fontId="49" fillId="67" borderId="0" applyNumberFormat="0" applyBorder="0" applyAlignment="0" applyProtection="0"/>
    <xf numFmtId="0" fontId="49" fillId="68"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1" borderId="0" applyNumberFormat="0" applyBorder="0" applyAlignment="0" applyProtection="0"/>
    <xf numFmtId="0" fontId="4" fillId="22" borderId="0" applyNumberFormat="0" applyBorder="0" applyAlignment="0" applyProtection="0"/>
    <xf numFmtId="0" fontId="47" fillId="72" borderId="0" applyNumberFormat="0" applyBorder="0" applyAlignment="0" applyProtection="0"/>
    <xf numFmtId="0" fontId="47" fillId="20" borderId="0" applyNumberFormat="0" applyBorder="0" applyAlignment="0" applyProtection="0"/>
    <xf numFmtId="0" fontId="4" fillId="29" borderId="0" applyNumberFormat="0" applyBorder="0" applyAlignment="0" applyProtection="0"/>
    <xf numFmtId="0" fontId="4" fillId="73" borderId="0" applyNumberFormat="0" applyBorder="0" applyAlignment="0" applyProtection="0"/>
    <xf numFmtId="0" fontId="4" fillId="74" borderId="0" applyNumberFormat="0" applyBorder="0" applyAlignment="0" applyProtection="0"/>
    <xf numFmtId="0" fontId="4" fillId="75" borderId="0" applyNumberFormat="0" applyBorder="0" applyAlignment="0" applyProtection="0"/>
    <xf numFmtId="0" fontId="47" fillId="15" borderId="0" applyNumberFormat="0" applyBorder="0" applyAlignment="0" applyProtection="0"/>
    <xf numFmtId="0" fontId="47" fillId="76" borderId="0" applyNumberFormat="0" applyBorder="0" applyAlignment="0" applyProtection="0"/>
    <xf numFmtId="0" fontId="4" fillId="21" borderId="0" applyNumberFormat="0" applyBorder="0" applyAlignment="0" applyProtection="0"/>
    <xf numFmtId="172" fontId="4" fillId="0" borderId="0" applyFont="0" applyFill="0" applyBorder="0" applyAlignment="0" applyProtection="0"/>
    <xf numFmtId="0" fontId="4" fillId="50" borderId="0" applyNumberFormat="0" applyBorder="0" applyAlignment="0" applyProtection="0"/>
    <xf numFmtId="0" fontId="4" fillId="51" borderId="18" applyNumberFormat="0" applyAlignment="0" applyProtection="0"/>
    <xf numFmtId="172" fontId="4" fillId="0" borderId="0" applyFont="0" applyFill="0" applyBorder="0" applyAlignment="0" applyProtection="0"/>
    <xf numFmtId="171" fontId="4" fillId="0" borderId="0" applyFont="0" applyFill="0" applyBorder="0" applyAlignment="0" applyProtection="0"/>
    <xf numFmtId="174" fontId="4" fillId="0" borderId="0" applyFont="0" applyFill="0" applyBorder="0" applyAlignment="0" applyProtection="0"/>
    <xf numFmtId="173" fontId="4" fillId="0" borderId="0" applyFont="0" applyFill="0" applyBorder="0" applyAlignment="0" applyProtection="0"/>
    <xf numFmtId="174" fontId="4" fillId="0" borderId="0" applyFont="0" applyFill="0" applyBorder="0" applyAlignment="0" applyProtection="0"/>
    <xf numFmtId="172" fontId="4" fillId="0" borderId="0" applyFont="0" applyFill="0" applyBorder="0" applyAlignment="0" applyProtection="0"/>
    <xf numFmtId="1" fontId="4" fillId="0" borderId="10" applyNumberFormat="0" applyFont="0" applyAlignment="0">
      <protection locked="0"/>
    </xf>
    <xf numFmtId="0" fontId="4" fillId="0" borderId="2" applyNumberFormat="0" applyFont="0" applyAlignment="0"/>
    <xf numFmtId="0" fontId="4" fillId="28" borderId="0" applyNumberFormat="0" applyAlignment="0" applyProtection="0"/>
    <xf numFmtId="0" fontId="4" fillId="54" borderId="0" applyNumberFormat="0" applyAlignment="0" applyProtection="0"/>
    <xf numFmtId="9" fontId="4" fillId="0" borderId="0" applyFont="0" applyFill="0" applyBorder="0" applyAlignment="0" applyProtection="0"/>
    <xf numFmtId="174" fontId="4" fillId="0" borderId="0" applyFont="0" applyFill="0" applyBorder="0" applyAlignment="0" applyProtection="0"/>
    <xf numFmtId="0" fontId="1" fillId="0" borderId="0"/>
    <xf numFmtId="9" fontId="1" fillId="0" borderId="0" applyFont="0" applyFill="0" applyBorder="0" applyAlignment="0" applyProtection="0"/>
    <xf numFmtId="172" fontId="1" fillId="0" borderId="0" applyFont="0" applyFill="0" applyBorder="0" applyAlignment="0" applyProtection="0"/>
    <xf numFmtId="170" fontId="36" fillId="0" borderId="0"/>
    <xf numFmtId="9" fontId="36" fillId="0" borderId="0" applyFont="0" applyFill="0" applyBorder="0" applyAlignment="0" applyProtection="0"/>
    <xf numFmtId="170" fontId="36" fillId="0" borderId="0"/>
    <xf numFmtId="43" fontId="36" fillId="0" borderId="0" applyFont="0" applyFill="0" applyBorder="0" applyAlignment="0" applyProtection="0"/>
    <xf numFmtId="170" fontId="38" fillId="0" borderId="0" applyNumberFormat="0" applyFill="0" applyBorder="0" applyAlignment="0" applyProtection="0">
      <alignment vertical="top"/>
      <protection locked="0"/>
    </xf>
    <xf numFmtId="170" fontId="38" fillId="0" borderId="0" applyNumberFormat="0" applyFill="0" applyBorder="0" applyAlignment="0" applyProtection="0">
      <alignment vertical="top"/>
      <protection locked="0"/>
    </xf>
    <xf numFmtId="170" fontId="38" fillId="0" borderId="0" applyNumberFormat="0" applyFill="0" applyBorder="0" applyAlignment="0" applyProtection="0">
      <alignment vertical="top"/>
      <protection locked="0"/>
    </xf>
    <xf numFmtId="170" fontId="38" fillId="0" borderId="0" applyNumberFormat="0" applyFill="0" applyBorder="0" applyAlignment="0" applyProtection="0">
      <alignment vertical="top"/>
      <protection locked="0"/>
    </xf>
    <xf numFmtId="170" fontId="38" fillId="0" borderId="0" applyNumberFormat="0" applyFill="0" applyBorder="0" applyAlignment="0" applyProtection="0">
      <alignment vertical="top"/>
      <protection locked="0"/>
    </xf>
    <xf numFmtId="175" fontId="38" fillId="0" borderId="0" applyNumberFormat="0" applyFill="0" applyBorder="0" applyAlignment="0" applyProtection="0">
      <alignment vertical="top"/>
      <protection locked="0"/>
    </xf>
    <xf numFmtId="176" fontId="38" fillId="0" borderId="0" applyNumberFormat="0" applyFill="0" applyBorder="0" applyAlignment="0" applyProtection="0">
      <alignment vertical="top"/>
      <protection locked="0"/>
    </xf>
    <xf numFmtId="176" fontId="38" fillId="0" borderId="0" applyNumberFormat="0" applyFill="0" applyBorder="0" applyAlignment="0" applyProtection="0">
      <alignment vertical="top"/>
      <protection locked="0"/>
    </xf>
    <xf numFmtId="169" fontId="38" fillId="0" borderId="0" applyNumberFormat="0" applyFill="0" applyBorder="0" applyAlignment="0" applyProtection="0">
      <alignment vertical="top"/>
      <protection locked="0"/>
    </xf>
    <xf numFmtId="170" fontId="36" fillId="0" borderId="0"/>
    <xf numFmtId="170" fontId="36" fillId="0" borderId="0"/>
    <xf numFmtId="170" fontId="36" fillId="0" borderId="0"/>
    <xf numFmtId="170" fontId="36" fillId="0" borderId="0"/>
    <xf numFmtId="170" fontId="1" fillId="0" borderId="0"/>
    <xf numFmtId="170" fontId="1" fillId="0" borderId="0"/>
    <xf numFmtId="169" fontId="36" fillId="0" borderId="0"/>
    <xf numFmtId="9" fontId="3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2" fillId="0" borderId="0" applyNumberFormat="0" applyFill="0" applyBorder="0" applyAlignment="0" applyProtection="0"/>
    <xf numFmtId="0" fontId="1" fillId="0" borderId="0"/>
    <xf numFmtId="0" fontId="37" fillId="77" borderId="0" applyNumberFormat="0">
      <alignment horizontal="left"/>
    </xf>
    <xf numFmtId="0" fontId="37" fillId="19" borderId="0" applyNumberFormat="0">
      <alignment horizontal="left"/>
    </xf>
    <xf numFmtId="0" fontId="37" fillId="15" borderId="0" applyNumberFormat="0">
      <alignment horizontal="left"/>
    </xf>
    <xf numFmtId="0" fontId="37" fillId="67" borderId="0" applyNumberFormat="0">
      <alignment horizontal="left"/>
    </xf>
    <xf numFmtId="0" fontId="37" fillId="78" borderId="0" applyNumberFormat="0">
      <alignment horizontal="left"/>
    </xf>
    <xf numFmtId="0" fontId="37" fillId="79" borderId="0" applyNumberFormat="0">
      <alignment horizontal="left"/>
    </xf>
    <xf numFmtId="0" fontId="36" fillId="80" borderId="0" applyNumberFormat="0" applyBorder="0"/>
    <xf numFmtId="0" fontId="39" fillId="77" borderId="0" applyNumberFormat="0" applyBorder="0">
      <alignment horizontal="left" wrapText="1"/>
    </xf>
    <xf numFmtId="0" fontId="36" fillId="81" borderId="0" applyNumberFormat="0" applyBorder="0">
      <protection locked="0"/>
    </xf>
    <xf numFmtId="0" fontId="39" fillId="19" borderId="0" applyNumberFormat="0" applyBorder="0">
      <alignment horizontal="left" wrapText="1"/>
    </xf>
    <xf numFmtId="0" fontId="36" fillId="72" borderId="0" applyNumberFormat="0" applyBorder="0"/>
    <xf numFmtId="0" fontId="39" fillId="15" borderId="0" applyNumberFormat="0" applyBorder="0">
      <alignment horizontal="left" wrapText="1"/>
    </xf>
    <xf numFmtId="0" fontId="36" fillId="20" borderId="0" applyNumberFormat="0" applyBorder="0"/>
    <xf numFmtId="0" fontId="39" fillId="67" borderId="0" applyNumberFormat="0" applyBorder="0">
      <alignment horizontal="left" wrapText="1"/>
    </xf>
    <xf numFmtId="0" fontId="36" fillId="18" borderId="0" applyNumberFormat="0" applyBorder="0"/>
    <xf numFmtId="0" fontId="39" fillId="78" borderId="0" applyNumberFormat="0" applyBorder="0">
      <alignment horizontal="left" wrapText="1"/>
    </xf>
    <xf numFmtId="0" fontId="36" fillId="63" borderId="0" applyNumberFormat="0" applyBorder="0"/>
    <xf numFmtId="0" fontId="39" fillId="72" borderId="0" applyNumberFormat="0" applyBorder="0">
      <alignment horizontal="left" wrapText="1"/>
    </xf>
    <xf numFmtId="0" fontId="36" fillId="16" borderId="0" applyNumberFormat="0" applyBorder="0">
      <protection locked="0"/>
    </xf>
    <xf numFmtId="0" fontId="39" fillId="79" borderId="0" applyNumberFormat="0" applyBorder="0">
      <alignment horizontal="left" wrapText="1"/>
    </xf>
    <xf numFmtId="0" fontId="1" fillId="0" borderId="0"/>
    <xf numFmtId="0" fontId="69" fillId="0" borderId="0" applyNumberFormat="0" applyFill="0" applyBorder="0" applyAlignment="0" applyProtection="0"/>
    <xf numFmtId="0" fontId="67" fillId="0" borderId="0" applyNumberFormat="0" applyFill="0" applyBorder="0" applyAlignment="0" applyProtection="0">
      <alignment vertical="top"/>
      <protection locked="0"/>
    </xf>
    <xf numFmtId="0" fontId="69" fillId="0" borderId="0" applyNumberFormat="0" applyFill="0" applyBorder="0" applyAlignment="0" applyProtection="0"/>
    <xf numFmtId="172" fontId="1" fillId="0" borderId="0" applyFont="0" applyFill="0" applyBorder="0" applyAlignment="0" applyProtection="0"/>
    <xf numFmtId="0" fontId="1" fillId="0" borderId="0"/>
    <xf numFmtId="170" fontId="36" fillId="0" borderId="0"/>
    <xf numFmtId="0" fontId="72" fillId="0" borderId="0" applyNumberFormat="0" applyFill="0" applyBorder="0" applyAlignment="0" applyProtection="0"/>
    <xf numFmtId="170" fontId="36" fillId="0" borderId="0"/>
    <xf numFmtId="0" fontId="67" fillId="0" borderId="0" applyNumberFormat="0" applyFill="0" applyBorder="0" applyAlignment="0" applyProtection="0">
      <alignment vertical="top"/>
      <protection locked="0"/>
    </xf>
    <xf numFmtId="0" fontId="1" fillId="0" borderId="0"/>
    <xf numFmtId="0" fontId="40" fillId="0" borderId="0"/>
  </cellStyleXfs>
  <cellXfs count="167">
    <xf numFmtId="0" fontId="0" fillId="0" borderId="0" xfId="0"/>
    <xf numFmtId="0" fontId="3" fillId="0" borderId="0" xfId="0" applyFont="1" applyFill="1" applyBorder="1"/>
    <xf numFmtId="0" fontId="4" fillId="0" borderId="0" xfId="0" applyFont="1" applyFill="1" applyBorder="1"/>
    <xf numFmtId="0" fontId="5" fillId="0" borderId="0" xfId="0" applyFont="1" applyFill="1" applyBorder="1" applyAlignment="1">
      <alignment horizontal="center" vertical="center"/>
    </xf>
    <xf numFmtId="0" fontId="4" fillId="0" borderId="0" xfId="0" applyFont="1" applyFill="1" applyBorder="1" applyAlignment="1">
      <alignment horizontal="left"/>
    </xf>
    <xf numFmtId="0" fontId="5" fillId="0" borderId="0" xfId="0" applyFont="1" applyFill="1" applyBorder="1" applyAlignment="1">
      <alignment horizontal="left" vertical="center"/>
    </xf>
    <xf numFmtId="0" fontId="5" fillId="2" borderId="0" xfId="0" applyFont="1" applyFill="1" applyBorder="1" applyAlignment="1">
      <alignment horizontal="center" vertical="center"/>
    </xf>
    <xf numFmtId="0" fontId="6" fillId="0" borderId="0" xfId="0" applyFont="1" applyFill="1" applyBorder="1" applyAlignment="1">
      <alignment horizontal="center" vertical="center"/>
    </xf>
    <xf numFmtId="4" fontId="4" fillId="0" borderId="0" xfId="0" applyNumberFormat="1" applyFont="1" applyFill="1" applyBorder="1" applyAlignment="1">
      <alignment horizontal="center"/>
    </xf>
    <xf numFmtId="0" fontId="4" fillId="0" borderId="0" xfId="0" applyFont="1" applyFill="1" applyBorder="1" applyAlignment="1">
      <alignment horizontal="center"/>
    </xf>
    <xf numFmtId="4" fontId="4" fillId="0" borderId="0" xfId="0" applyNumberFormat="1" applyFont="1" applyFill="1" applyBorder="1" applyAlignment="1">
      <alignment horizontal="left"/>
    </xf>
    <xf numFmtId="4" fontId="6" fillId="0" borderId="0" xfId="0" applyNumberFormat="1" applyFont="1" applyFill="1" applyBorder="1" applyAlignment="1">
      <alignment horizontal="center" vertical="center"/>
    </xf>
    <xf numFmtId="0" fontId="8" fillId="0" borderId="0" xfId="0" applyFont="1" applyBorder="1" applyAlignment="1">
      <alignment horizontal="left"/>
    </xf>
    <xf numFmtId="0" fontId="6" fillId="0" borderId="0" xfId="0" applyFont="1" applyFill="1" applyBorder="1" applyAlignment="1">
      <alignment horizontal="left" vertical="center"/>
    </xf>
    <xf numFmtId="0" fontId="9" fillId="0" borderId="0" xfId="0" applyFont="1" applyFill="1" applyBorder="1" applyAlignment="1" applyProtection="1">
      <alignment vertical="center"/>
      <protection hidden="1"/>
    </xf>
    <xf numFmtId="0" fontId="9" fillId="0" borderId="0" xfId="0" applyFont="1" applyAlignment="1" applyProtection="1">
      <alignment vertical="center"/>
      <protection hidden="1"/>
    </xf>
    <xf numFmtId="0" fontId="11" fillId="0" borderId="0" xfId="0" applyFont="1" applyFill="1" applyBorder="1" applyAlignment="1" applyProtection="1">
      <alignment vertical="center"/>
      <protection hidden="1"/>
    </xf>
    <xf numFmtId="0" fontId="12" fillId="0" borderId="0" xfId="0"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9" fillId="3" borderId="0" xfId="0" applyFont="1" applyFill="1" applyBorder="1" applyAlignment="1" applyProtection="1">
      <alignment vertical="center"/>
      <protection hidden="1"/>
    </xf>
    <xf numFmtId="0" fontId="14" fillId="0" borderId="0" xfId="0" applyFont="1" applyFill="1" applyBorder="1" applyAlignment="1" applyProtection="1">
      <alignment vertical="center"/>
      <protection hidden="1"/>
    </xf>
    <xf numFmtId="0" fontId="15" fillId="0" borderId="0" xfId="0" applyFont="1" applyFill="1" applyAlignment="1" applyProtection="1">
      <alignment vertical="center"/>
      <protection hidden="1"/>
    </xf>
    <xf numFmtId="0" fontId="9" fillId="0" borderId="0" xfId="0" applyFont="1" applyFill="1" applyAlignment="1" applyProtection="1">
      <alignment vertical="center"/>
      <protection hidden="1"/>
    </xf>
    <xf numFmtId="0" fontId="16" fillId="0" borderId="3" xfId="0" applyFont="1" applyBorder="1" applyAlignment="1" applyProtection="1">
      <alignment vertical="center"/>
      <protection hidden="1"/>
    </xf>
    <xf numFmtId="0" fontId="8" fillId="0" borderId="3" xfId="0" applyFont="1" applyBorder="1" applyAlignment="1" applyProtection="1">
      <alignment vertical="center"/>
      <protection hidden="1"/>
    </xf>
    <xf numFmtId="0" fontId="9" fillId="0" borderId="3" xfId="0" applyFont="1" applyBorder="1" applyAlignment="1" applyProtection="1">
      <alignment vertical="center"/>
      <protection hidden="1"/>
    </xf>
    <xf numFmtId="0" fontId="17" fillId="0" borderId="3" xfId="0" applyFont="1" applyBorder="1" applyAlignment="1" applyProtection="1">
      <alignment horizontal="right" vertical="center"/>
      <protection hidden="1"/>
    </xf>
    <xf numFmtId="0" fontId="18" fillId="0" borderId="0" xfId="0" applyFont="1" applyAlignment="1" applyProtection="1">
      <alignment vertical="center"/>
      <protection hidden="1"/>
    </xf>
    <xf numFmtId="0" fontId="17" fillId="0" borderId="0" xfId="0" applyFont="1" applyAlignment="1" applyProtection="1">
      <alignment horizontal="right" vertical="center"/>
      <protection hidden="1"/>
    </xf>
    <xf numFmtId="0" fontId="17"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9" fillId="0" borderId="3" xfId="0" applyFont="1" applyFill="1" applyBorder="1" applyAlignment="1" applyProtection="1">
      <alignment vertical="center"/>
      <protection hidden="1"/>
    </xf>
    <xf numFmtId="0" fontId="9" fillId="0" borderId="3" xfId="0" applyFont="1" applyFill="1" applyBorder="1" applyAlignment="1" applyProtection="1">
      <alignment horizontal="left" vertical="center" indent="1"/>
      <protection hidden="1"/>
    </xf>
    <xf numFmtId="0" fontId="17" fillId="0" borderId="0" xfId="0" applyFont="1" applyAlignment="1" applyProtection="1">
      <alignment horizontal="left" vertical="center"/>
      <protection hidden="1"/>
    </xf>
    <xf numFmtId="0" fontId="8" fillId="0" borderId="0" xfId="0" applyFont="1" applyAlignment="1" applyProtection="1">
      <alignment horizontal="right" vertical="center" indent="1"/>
      <protection hidden="1"/>
    </xf>
    <xf numFmtId="164" fontId="9" fillId="0" borderId="0" xfId="0" applyNumberFormat="1" applyFont="1" applyAlignment="1" applyProtection="1">
      <alignment vertical="center"/>
      <protection hidden="1"/>
    </xf>
    <xf numFmtId="0" fontId="8" fillId="0" borderId="0" xfId="0" applyFont="1" applyAlignment="1" applyProtection="1">
      <alignment horizontal="right" vertical="center"/>
      <protection hidden="1"/>
    </xf>
    <xf numFmtId="0" fontId="9" fillId="4" borderId="0" xfId="0" applyFont="1" applyFill="1" applyAlignment="1">
      <alignment vertical="center"/>
    </xf>
    <xf numFmtId="0" fontId="22" fillId="0" borderId="0" xfId="0" applyFont="1" applyFill="1" applyBorder="1" applyAlignment="1">
      <alignment vertical="center"/>
    </xf>
    <xf numFmtId="0" fontId="8" fillId="0" borderId="0" xfId="0" applyFont="1" applyFill="1" applyBorder="1" applyAlignment="1">
      <alignment vertical="center"/>
    </xf>
    <xf numFmtId="0" fontId="24" fillId="0" borderId="0" xfId="0" applyFont="1"/>
    <xf numFmtId="0" fontId="25" fillId="0" borderId="0" xfId="0" applyFont="1"/>
    <xf numFmtId="0" fontId="25" fillId="0" borderId="0" xfId="0" applyFont="1" applyAlignment="1">
      <alignment horizontal="center"/>
    </xf>
    <xf numFmtId="0" fontId="26" fillId="0" borderId="0" xfId="0" applyFont="1" applyAlignment="1" applyProtection="1">
      <alignment horizontal="left" vertical="center" indent="1"/>
      <protection hidden="1"/>
    </xf>
    <xf numFmtId="2" fontId="25" fillId="0" borderId="0" xfId="0" applyNumberFormat="1" applyFont="1"/>
    <xf numFmtId="0" fontId="26" fillId="0" borderId="0" xfId="0" applyFont="1" applyAlignment="1">
      <alignment horizontal="left"/>
    </xf>
    <xf numFmtId="167" fontId="25" fillId="0" borderId="0" xfId="0" applyNumberFormat="1" applyFont="1"/>
    <xf numFmtId="0" fontId="24" fillId="0" borderId="0" xfId="0" applyFont="1" applyAlignment="1">
      <alignment horizontal="left"/>
    </xf>
    <xf numFmtId="0" fontId="25" fillId="0" borderId="0" xfId="0" applyFont="1" applyAlignment="1">
      <alignment horizontal="center" vertical="center"/>
    </xf>
    <xf numFmtId="0" fontId="25" fillId="0" borderId="1" xfId="0" applyFont="1" applyBorder="1" applyAlignment="1">
      <alignment horizontal="left"/>
    </xf>
    <xf numFmtId="4" fontId="25" fillId="0" borderId="1" xfId="0" applyNumberFormat="1" applyFont="1" applyBorder="1" applyAlignment="1">
      <alignment horizontal="left"/>
    </xf>
    <xf numFmtId="0" fontId="25" fillId="0" borderId="1" xfId="0" applyFont="1" applyBorder="1"/>
    <xf numFmtId="0" fontId="24" fillId="5" borderId="1" xfId="0" applyFont="1" applyFill="1" applyBorder="1" applyAlignment="1">
      <alignment horizontal="center" vertical="center"/>
    </xf>
    <xf numFmtId="0" fontId="24" fillId="6" borderId="1" xfId="0" applyFont="1" applyFill="1" applyBorder="1" applyAlignment="1">
      <alignment horizontal="center" vertical="center"/>
    </xf>
    <xf numFmtId="4" fontId="25" fillId="0" borderId="1" xfId="0" applyNumberFormat="1" applyFont="1" applyBorder="1" applyAlignment="1">
      <alignment horizontal="center" vertical="center"/>
    </xf>
    <xf numFmtId="4" fontId="24" fillId="6" borderId="1" xfId="0" applyNumberFormat="1" applyFont="1" applyFill="1" applyBorder="1" applyAlignment="1">
      <alignment horizontal="center" vertical="center"/>
    </xf>
    <xf numFmtId="9" fontId="4" fillId="0" borderId="0" xfId="1" applyFont="1" applyFill="1" applyBorder="1" applyAlignment="1">
      <alignment horizontal="center"/>
    </xf>
    <xf numFmtId="0" fontId="7" fillId="0" borderId="0" xfId="0" applyFont="1" applyFill="1" applyBorder="1" applyAlignment="1">
      <alignment horizontal="left"/>
    </xf>
    <xf numFmtId="0" fontId="25" fillId="0" borderId="8" xfId="0" applyFont="1" applyBorder="1" applyAlignment="1">
      <alignment horizontal="left"/>
    </xf>
    <xf numFmtId="0" fontId="2" fillId="0" borderId="0" xfId="0" applyFont="1"/>
    <xf numFmtId="0" fontId="29" fillId="0" borderId="0" xfId="0" applyFont="1" applyFill="1" applyBorder="1"/>
    <xf numFmtId="4" fontId="9" fillId="4" borderId="0" xfId="0" applyNumberFormat="1" applyFont="1" applyFill="1" applyAlignment="1">
      <alignment vertical="center"/>
    </xf>
    <xf numFmtId="0" fontId="28" fillId="0" borderId="0" xfId="0" applyFont="1" applyFill="1"/>
    <xf numFmtId="0" fontId="28" fillId="0" borderId="3" xfId="0" applyFont="1" applyFill="1" applyBorder="1" applyAlignment="1" applyProtection="1">
      <alignment vertical="center"/>
      <protection hidden="1"/>
    </xf>
    <xf numFmtId="0" fontId="28" fillId="0" borderId="0" xfId="0" applyFont="1" applyFill="1" applyAlignment="1">
      <alignment vertical="center"/>
    </xf>
    <xf numFmtId="0" fontId="30" fillId="0" borderId="0" xfId="0" applyFont="1" applyFill="1" applyAlignment="1">
      <alignment vertical="center"/>
    </xf>
    <xf numFmtId="0" fontId="30" fillId="0" borderId="0" xfId="0" applyFont="1" applyFill="1" applyAlignment="1">
      <alignment horizontal="center" vertical="center"/>
    </xf>
    <xf numFmtId="3" fontId="28" fillId="0" borderId="0" xfId="0" applyNumberFormat="1" applyFont="1" applyFill="1" applyAlignment="1">
      <alignment horizontal="center" vertical="center"/>
    </xf>
    <xf numFmtId="168" fontId="28" fillId="0" borderId="0" xfId="0" applyNumberFormat="1" applyFont="1" applyFill="1" applyAlignment="1">
      <alignment horizontal="center" vertical="center"/>
    </xf>
    <xf numFmtId="4" fontId="28" fillId="0" borderId="0" xfId="0" applyNumberFormat="1" applyFont="1" applyFill="1" applyAlignment="1">
      <alignment vertical="center"/>
    </xf>
    <xf numFmtId="4" fontId="28" fillId="0" borderId="0" xfId="0" applyNumberFormat="1" applyFont="1" applyFill="1" applyAlignment="1">
      <alignment horizontal="center" vertical="center"/>
    </xf>
    <xf numFmtId="2" fontId="28" fillId="0" borderId="0" xfId="0" applyNumberFormat="1" applyFont="1" applyFill="1" applyAlignment="1">
      <alignment horizontal="center" vertical="center"/>
    </xf>
    <xf numFmtId="0" fontId="28" fillId="0" borderId="0" xfId="0" applyFont="1" applyFill="1" applyAlignment="1">
      <alignment horizontal="center"/>
    </xf>
    <xf numFmtId="0" fontId="28" fillId="0" borderId="0" xfId="0" applyFont="1" applyFill="1" applyAlignment="1">
      <alignment horizontal="center" vertical="center"/>
    </xf>
    <xf numFmtId="0" fontId="8" fillId="0" borderId="0" xfId="0" applyFont="1" applyFill="1"/>
    <xf numFmtId="0" fontId="30" fillId="0" borderId="0" xfId="0" applyFont="1" applyFill="1" applyAlignment="1">
      <alignment horizontal="right" vertical="center" indent="1"/>
    </xf>
    <xf numFmtId="17" fontId="8" fillId="0"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right" vertical="top" indent="1"/>
      <protection hidden="1"/>
    </xf>
    <xf numFmtId="0" fontId="8" fillId="0" borderId="0" xfId="0" applyFont="1" applyFill="1" applyBorder="1" applyAlignment="1" applyProtection="1">
      <alignment horizontal="right" indent="1"/>
      <protection hidden="1"/>
    </xf>
    <xf numFmtId="0" fontId="9" fillId="0" borderId="0" xfId="0" applyFont="1" applyAlignment="1" applyProtection="1">
      <alignment vertical="center"/>
    </xf>
    <xf numFmtId="0" fontId="9" fillId="0" borderId="3" xfId="0" applyFont="1" applyBorder="1" applyAlignment="1" applyProtection="1">
      <alignment vertical="center"/>
    </xf>
    <xf numFmtId="0" fontId="19" fillId="0" borderId="0" xfId="0" applyFont="1" applyAlignment="1" applyProtection="1">
      <alignment vertical="center"/>
    </xf>
    <xf numFmtId="0" fontId="9" fillId="4" borderId="0" xfId="0" applyFont="1" applyFill="1" applyAlignment="1" applyProtection="1">
      <alignment vertical="center"/>
    </xf>
    <xf numFmtId="0" fontId="20" fillId="4" borderId="0" xfId="0" applyFont="1" applyFill="1" applyAlignment="1" applyProtection="1">
      <alignment vertical="center"/>
    </xf>
    <xf numFmtId="0" fontId="8" fillId="7" borderId="1" xfId="0" applyFont="1" applyFill="1" applyBorder="1" applyAlignment="1" applyProtection="1">
      <alignment horizontal="center" vertical="center" wrapText="1"/>
    </xf>
    <xf numFmtId="165" fontId="31" fillId="0" borderId="1" xfId="1" applyNumberFormat="1" applyFont="1" applyFill="1" applyBorder="1" applyAlignment="1" applyProtection="1">
      <alignment horizontal="center" vertical="center" wrapText="1"/>
    </xf>
    <xf numFmtId="4" fontId="31" fillId="0" borderId="1" xfId="1" applyNumberFormat="1" applyFont="1" applyFill="1" applyBorder="1" applyAlignment="1" applyProtection="1">
      <alignment horizontal="center" vertical="center" wrapText="1"/>
    </xf>
    <xf numFmtId="0" fontId="23" fillId="0" borderId="0" xfId="0" applyFont="1" applyProtection="1"/>
    <xf numFmtId="0" fontId="0" fillId="0" borderId="0" xfId="0" applyProtection="1"/>
    <xf numFmtId="9" fontId="9" fillId="4" borderId="0" xfId="0" applyNumberFormat="1" applyFont="1" applyFill="1" applyAlignment="1" applyProtection="1">
      <alignment vertical="center"/>
    </xf>
    <xf numFmtId="0" fontId="9" fillId="3" borderId="0" xfId="0" applyFont="1" applyFill="1" applyBorder="1" applyAlignment="1" applyProtection="1">
      <alignment vertical="center"/>
    </xf>
    <xf numFmtId="166" fontId="9" fillId="4" borderId="0" xfId="1" applyNumberFormat="1" applyFont="1" applyFill="1" applyAlignment="1" applyProtection="1">
      <alignment vertical="center"/>
    </xf>
    <xf numFmtId="9" fontId="9" fillId="4" borderId="0" xfId="1" applyFont="1" applyFill="1" applyAlignment="1" applyProtection="1">
      <alignment vertical="center"/>
    </xf>
    <xf numFmtId="0" fontId="8" fillId="8" borderId="1" xfId="0"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3" fontId="8" fillId="8" borderId="1" xfId="0" applyNumberFormat="1" applyFont="1" applyFill="1" applyBorder="1" applyAlignment="1" applyProtection="1">
      <alignment horizontal="center" vertical="center"/>
      <protection locked="0"/>
    </xf>
    <xf numFmtId="0" fontId="9" fillId="0" borderId="0" xfId="0" applyFont="1" applyAlignment="1" applyProtection="1">
      <alignment horizontal="left" vertical="center"/>
      <protection hidden="1"/>
    </xf>
    <xf numFmtId="0" fontId="25" fillId="0" borderId="3" xfId="0" applyFont="1" applyFill="1" applyBorder="1" applyAlignment="1" applyProtection="1">
      <alignment horizontal="center" vertical="center"/>
      <protection hidden="1"/>
    </xf>
    <xf numFmtId="0" fontId="25" fillId="0" borderId="0" xfId="0" applyFont="1" applyAlignment="1" applyProtection="1">
      <alignment vertical="center"/>
      <protection hidden="1"/>
    </xf>
    <xf numFmtId="0" fontId="35" fillId="0" borderId="0" xfId="0" applyFont="1" applyAlignment="1" applyProtection="1">
      <alignment horizontal="left" vertical="center" indent="1"/>
      <protection hidden="1"/>
    </xf>
    <xf numFmtId="0" fontId="0" fillId="0" borderId="0" xfId="0" applyAlignment="1">
      <alignment vertical="center"/>
    </xf>
    <xf numFmtId="0" fontId="4" fillId="0" borderId="0" xfId="180" applyFont="1" applyFill="1" applyBorder="1"/>
    <xf numFmtId="0" fontId="42" fillId="0" borderId="0" xfId="0" applyFont="1" applyFill="1" applyBorder="1"/>
    <xf numFmtId="4" fontId="4" fillId="82" borderId="0" xfId="0" applyNumberFormat="1" applyFont="1" applyFill="1" applyBorder="1" applyAlignment="1">
      <alignment horizontal="center"/>
    </xf>
    <xf numFmtId="4" fontId="42" fillId="0" borderId="0" xfId="0" applyNumberFormat="1" applyFont="1" applyFill="1" applyBorder="1" applyAlignment="1">
      <alignment horizontal="left"/>
    </xf>
    <xf numFmtId="4" fontId="42" fillId="0" borderId="0" xfId="0" applyNumberFormat="1" applyFont="1" applyFill="1" applyBorder="1" applyAlignment="1">
      <alignment horizontal="center"/>
    </xf>
    <xf numFmtId="4" fontId="6" fillId="82" borderId="0" xfId="0" applyNumberFormat="1" applyFont="1" applyFill="1" applyBorder="1" applyAlignment="1">
      <alignment horizontal="center" vertical="center"/>
    </xf>
    <xf numFmtId="0" fontId="4" fillId="82" borderId="0" xfId="0" applyFont="1" applyFill="1" applyBorder="1"/>
    <xf numFmtId="0" fontId="8" fillId="0" borderId="0" xfId="0" applyFont="1" applyFill="1" applyBorder="1" applyAlignment="1">
      <alignment horizontal="left"/>
    </xf>
    <xf numFmtId="0" fontId="21" fillId="7" borderId="4" xfId="0" applyFont="1" applyFill="1" applyBorder="1" applyAlignment="1" applyProtection="1">
      <alignment vertical="center"/>
    </xf>
    <xf numFmtId="0" fontId="72" fillId="0" borderId="0" xfId="3" applyFont="1" applyFill="1" applyBorder="1" applyAlignment="1" applyProtection="1">
      <alignment horizontal="left"/>
      <protection hidden="1"/>
    </xf>
    <xf numFmtId="0" fontId="72" fillId="0" borderId="0" xfId="3" applyFont="1" applyFill="1" applyBorder="1" applyAlignment="1" applyProtection="1">
      <alignment horizontal="left" vertical="center" wrapText="1"/>
      <protection hidden="1"/>
    </xf>
    <xf numFmtId="4" fontId="25" fillId="83" borderId="1" xfId="0" applyNumberFormat="1" applyFont="1" applyFill="1" applyBorder="1" applyAlignment="1">
      <alignment horizontal="center" vertical="center"/>
    </xf>
    <xf numFmtId="0" fontId="74" fillId="0" borderId="0" xfId="0" applyFont="1" applyAlignment="1" applyProtection="1">
      <alignment horizontal="left" vertical="center" indent="1"/>
      <protection hidden="1"/>
    </xf>
    <xf numFmtId="0" fontId="31" fillId="0" borderId="0" xfId="0" applyFont="1" applyAlignment="1" applyProtection="1">
      <alignment vertical="center"/>
      <protection hidden="1"/>
    </xf>
    <xf numFmtId="0" fontId="31" fillId="0" borderId="3" xfId="0" applyFont="1" applyFill="1" applyBorder="1" applyAlignment="1" applyProtection="1">
      <alignment vertical="center"/>
      <protection hidden="1"/>
    </xf>
    <xf numFmtId="0" fontId="75" fillId="0" borderId="0" xfId="0" applyFont="1" applyAlignment="1" applyProtection="1">
      <alignment horizontal="left" vertical="center"/>
      <protection hidden="1"/>
    </xf>
    <xf numFmtId="0" fontId="31" fillId="0" borderId="3" xfId="0" applyFont="1" applyBorder="1" applyAlignment="1" applyProtection="1">
      <alignment vertical="center"/>
      <protection hidden="1"/>
    </xf>
    <xf numFmtId="0" fontId="31" fillId="0" borderId="0" xfId="0" applyFont="1" applyAlignment="1" applyProtection="1">
      <alignment horizontal="left" vertical="center" indent="1"/>
      <protection hidden="1"/>
    </xf>
    <xf numFmtId="0" fontId="24" fillId="83" borderId="1" xfId="0" applyFont="1" applyFill="1" applyBorder="1" applyAlignment="1">
      <alignment horizontal="center" vertical="center"/>
    </xf>
    <xf numFmtId="0" fontId="0" fillId="0" borderId="0" xfId="0" applyAlignment="1">
      <alignment horizontal="right"/>
    </xf>
    <xf numFmtId="0" fontId="36" fillId="0" borderId="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165" fontId="31" fillId="0" borderId="0" xfId="1" applyNumberFormat="1" applyFont="1" applyFill="1" applyBorder="1" applyAlignment="1" applyProtection="1">
      <alignment horizontal="center" vertical="center" wrapText="1"/>
    </xf>
    <xf numFmtId="0" fontId="31" fillId="4" borderId="1" xfId="0" applyFont="1" applyFill="1" applyBorder="1" applyAlignment="1" applyProtection="1">
      <alignment vertical="center"/>
    </xf>
    <xf numFmtId="0" fontId="76" fillId="0" borderId="0" xfId="0" applyFont="1" applyAlignment="1" applyProtection="1">
      <alignment horizontal="left" vertical="center" indent="1"/>
      <protection hidden="1"/>
    </xf>
    <xf numFmtId="4" fontId="0" fillId="0" borderId="0" xfId="0" applyNumberFormat="1"/>
    <xf numFmtId="177" fontId="25" fillId="0" borderId="0" xfId="0" applyNumberFormat="1" applyFont="1"/>
    <xf numFmtId="178" fontId="31" fillId="0" borderId="1" xfId="1" applyNumberFormat="1"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protection hidden="1"/>
    </xf>
    <xf numFmtId="10" fontId="31" fillId="4" borderId="1" xfId="1" applyNumberFormat="1" applyFont="1" applyFill="1" applyBorder="1" applyAlignment="1" applyProtection="1">
      <alignment horizontal="center" vertical="center"/>
    </xf>
    <xf numFmtId="10" fontId="36" fillId="4" borderId="1" xfId="1" applyNumberFormat="1" applyFont="1" applyFill="1" applyBorder="1" applyAlignment="1" applyProtection="1">
      <alignment horizontal="center" vertical="center"/>
    </xf>
    <xf numFmtId="0" fontId="40" fillId="0" borderId="0" xfId="181" applyBorder="1"/>
    <xf numFmtId="0" fontId="40" fillId="0" borderId="23" xfId="181" applyBorder="1" applyAlignment="1">
      <alignment vertical="top" wrapText="1"/>
    </xf>
    <xf numFmtId="0" fontId="40" fillId="0" borderId="0" xfId="181" applyBorder="1" applyAlignment="1">
      <alignment vertical="top" wrapText="1"/>
    </xf>
    <xf numFmtId="0" fontId="9" fillId="4" borderId="0" xfId="0" applyFont="1" applyFill="1" applyAlignment="1" applyProtection="1">
      <alignment vertical="top" wrapText="1"/>
    </xf>
    <xf numFmtId="0" fontId="78" fillId="0" borderId="0" xfId="0" applyFont="1" applyFill="1" applyBorder="1" applyAlignment="1" applyProtection="1">
      <alignment vertical="center"/>
      <protection hidden="1"/>
    </xf>
    <xf numFmtId="0" fontId="79" fillId="0" borderId="0" xfId="0" applyFont="1" applyFill="1" applyBorder="1" applyAlignment="1" applyProtection="1">
      <alignment vertical="center"/>
      <protection hidden="1"/>
    </xf>
    <xf numFmtId="0" fontId="25" fillId="0" borderId="0" xfId="0" applyFont="1" applyFill="1" applyBorder="1" applyAlignment="1" applyProtection="1">
      <alignment horizontal="left" vertical="center" indent="1"/>
      <protection hidden="1"/>
    </xf>
    <xf numFmtId="0" fontId="34" fillId="0" borderId="0" xfId="3" applyFont="1" applyFill="1" applyBorder="1" applyAlignment="1" applyProtection="1">
      <alignment horizontal="center" vertical="center"/>
      <protection hidden="1"/>
    </xf>
    <xf numFmtId="0" fontId="10" fillId="0" borderId="0" xfId="0" applyFont="1" applyAlignment="1" applyProtection="1">
      <alignment horizontal="left" vertical="center" indent="1"/>
      <protection hidden="1"/>
    </xf>
    <xf numFmtId="0" fontId="82" fillId="0" borderId="3" xfId="0" applyFont="1" applyBorder="1" applyAlignment="1" applyProtection="1">
      <alignment vertical="center"/>
      <protection hidden="1"/>
    </xf>
    <xf numFmtId="0" fontId="83" fillId="4" borderId="0" xfId="3" applyFont="1" applyFill="1" applyAlignment="1" applyProtection="1">
      <alignment vertical="center"/>
    </xf>
    <xf numFmtId="17" fontId="40" fillId="0" borderId="0" xfId="181" applyNumberFormat="1" applyBorder="1"/>
    <xf numFmtId="0" fontId="84" fillId="0" borderId="0" xfId="0" applyFont="1" applyFill="1" applyBorder="1" applyAlignment="1" applyProtection="1">
      <alignment vertical="center"/>
      <protection hidden="1"/>
    </xf>
    <xf numFmtId="0" fontId="85" fillId="0" borderId="3" xfId="0" applyFont="1" applyBorder="1" applyAlignment="1" applyProtection="1">
      <alignment vertical="center"/>
      <protection hidden="1"/>
    </xf>
    <xf numFmtId="0" fontId="85" fillId="0" borderId="3" xfId="0" applyFont="1" applyBorder="1" applyAlignment="1" applyProtection="1">
      <alignment vertical="center"/>
    </xf>
    <xf numFmtId="0" fontId="86" fillId="0" borderId="0" xfId="0" applyFont="1" applyFill="1" applyBorder="1" applyAlignment="1" applyProtection="1">
      <alignment vertical="center"/>
      <protection hidden="1"/>
    </xf>
    <xf numFmtId="0" fontId="27" fillId="6" borderId="1" xfId="0" applyFont="1" applyFill="1" applyBorder="1" applyAlignment="1">
      <alignment horizontal="center" vertical="center"/>
    </xf>
    <xf numFmtId="0" fontId="30" fillId="0" borderId="1" xfId="0" applyFont="1" applyBorder="1" applyAlignment="1">
      <alignment horizontal="left"/>
    </xf>
    <xf numFmtId="0" fontId="77" fillId="0" borderId="0" xfId="0" applyFont="1" applyFill="1" applyBorder="1" applyAlignment="1" applyProtection="1">
      <alignment horizontal="left" vertical="center"/>
      <protection hidden="1"/>
    </xf>
    <xf numFmtId="0" fontId="81" fillId="0" borderId="0" xfId="181" applyFont="1" applyBorder="1" applyAlignment="1">
      <alignment horizontal="left" vertical="top" wrapText="1"/>
    </xf>
    <xf numFmtId="0" fontId="15" fillId="4" borderId="0" xfId="0" applyFont="1" applyFill="1" applyAlignment="1" applyProtection="1">
      <alignment horizontal="left" vertical="top"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73" fillId="0" borderId="0" xfId="0" applyFont="1" applyFill="1" applyBorder="1" applyAlignment="1" applyProtection="1">
      <alignment horizontal="left" vertical="center"/>
      <protection hidden="1"/>
    </xf>
    <xf numFmtId="0" fontId="8" fillId="8" borderId="1" xfId="0" applyFont="1" applyFill="1" applyBorder="1" applyAlignment="1" applyProtection="1">
      <alignment horizontal="center" vertical="center" wrapText="1"/>
      <protection locked="0"/>
    </xf>
    <xf numFmtId="0" fontId="8" fillId="8" borderId="4" xfId="0" applyFont="1" applyFill="1" applyBorder="1" applyAlignment="1" applyProtection="1">
      <alignment horizontal="center" vertical="center" wrapText="1"/>
      <protection locked="0"/>
    </xf>
    <xf numFmtId="0" fontId="8" fillId="8" borderId="5" xfId="0" applyFont="1" applyFill="1" applyBorder="1" applyAlignment="1" applyProtection="1">
      <alignment horizontal="center" vertical="center" wrapText="1"/>
      <protection locked="0"/>
    </xf>
    <xf numFmtId="0" fontId="21" fillId="7" borderId="4" xfId="0" applyFont="1" applyFill="1" applyBorder="1" applyAlignment="1" applyProtection="1">
      <alignment horizontal="left" vertical="center" indent="1"/>
    </xf>
    <xf numFmtId="0" fontId="21" fillId="7" borderId="9" xfId="0" applyFont="1" applyFill="1" applyBorder="1" applyAlignment="1" applyProtection="1">
      <alignment horizontal="left" vertical="center" indent="1"/>
    </xf>
    <xf numFmtId="0" fontId="21" fillId="7" borderId="5" xfId="0" applyFont="1" applyFill="1" applyBorder="1" applyAlignment="1" applyProtection="1">
      <alignment horizontal="left" vertical="center" indent="1"/>
    </xf>
    <xf numFmtId="0" fontId="36" fillId="0" borderId="6" xfId="0" applyFont="1" applyFill="1" applyBorder="1" applyAlignment="1" applyProtection="1">
      <alignment horizontal="center" vertical="center" wrapText="1"/>
    </xf>
    <xf numFmtId="0" fontId="36" fillId="0" borderId="7" xfId="0" applyFont="1" applyFill="1" applyBorder="1" applyAlignment="1" applyProtection="1">
      <alignment horizontal="center" vertical="center" wrapText="1"/>
    </xf>
    <xf numFmtId="0" fontId="36" fillId="0" borderId="22" xfId="0" applyFont="1" applyFill="1" applyBorder="1" applyAlignment="1" applyProtection="1">
      <alignment horizontal="center" vertical="center" wrapText="1"/>
    </xf>
  </cellXfs>
  <cellStyles count="182">
    <cellStyle name="20% - Accent10" xfId="104" xr:uid="{00000000-0005-0000-0000-000000000000}"/>
    <cellStyle name="20% - Accent11" xfId="105" xr:uid="{00000000-0005-0000-0000-000001000000}"/>
    <cellStyle name="20% - Accent12" xfId="106" xr:uid="{00000000-0005-0000-0000-000002000000}"/>
    <cellStyle name="20% - Accent7" xfId="101" xr:uid="{00000000-0005-0000-0000-000003000000}"/>
    <cellStyle name="20% - Accent8" xfId="102" xr:uid="{00000000-0005-0000-0000-000004000000}"/>
    <cellStyle name="20% - Accent9" xfId="103" xr:uid="{00000000-0005-0000-0000-000005000000}"/>
    <cellStyle name="20% - Énfasis1 2" xfId="16" xr:uid="{00000000-0005-0000-0000-000006000000}"/>
    <cellStyle name="20% - Énfasis2 2" xfId="6" xr:uid="{00000000-0005-0000-0000-000007000000}"/>
    <cellStyle name="20% - Énfasis3 2" xfId="20" xr:uid="{00000000-0005-0000-0000-000008000000}"/>
    <cellStyle name="20% - Énfasis4 2" xfId="18" xr:uid="{00000000-0005-0000-0000-000009000000}"/>
    <cellStyle name="20% - Énfasis5 2" xfId="8" xr:uid="{00000000-0005-0000-0000-00000A000000}"/>
    <cellStyle name="20% - Énfasis6 2" xfId="22" xr:uid="{00000000-0005-0000-0000-00000B000000}"/>
    <cellStyle name="40% - Accent10" xfId="98" xr:uid="{00000000-0005-0000-0000-00000C000000}"/>
    <cellStyle name="40% - Accent11" xfId="99" xr:uid="{00000000-0005-0000-0000-00000D000000}"/>
    <cellStyle name="40% - Accent12" xfId="100" xr:uid="{00000000-0005-0000-0000-00000E000000}"/>
    <cellStyle name="40% - Accent7" xfId="95" xr:uid="{00000000-0005-0000-0000-00000F000000}"/>
    <cellStyle name="40% - Accent8" xfId="96" xr:uid="{00000000-0005-0000-0000-000010000000}"/>
    <cellStyle name="40% - Accent9" xfId="97" xr:uid="{00000000-0005-0000-0000-000011000000}"/>
    <cellStyle name="40% - Énfasis1 2" xfId="15" xr:uid="{00000000-0005-0000-0000-000012000000}"/>
    <cellStyle name="40% - Énfasis2 2" xfId="21" xr:uid="{00000000-0005-0000-0000-000013000000}"/>
    <cellStyle name="40% - Énfasis3 2" xfId="19" xr:uid="{00000000-0005-0000-0000-000014000000}"/>
    <cellStyle name="40% - Énfasis4 2" xfId="23" xr:uid="{00000000-0005-0000-0000-000015000000}"/>
    <cellStyle name="40% - Énfasis5 2" xfId="24" xr:uid="{00000000-0005-0000-0000-000016000000}"/>
    <cellStyle name="40% - Énfasis6 2" xfId="25" xr:uid="{00000000-0005-0000-0000-000017000000}"/>
    <cellStyle name="60% - Accent10" xfId="92" xr:uid="{00000000-0005-0000-0000-000018000000}"/>
    <cellStyle name="60% - Accent11" xfId="93" xr:uid="{00000000-0005-0000-0000-000019000000}"/>
    <cellStyle name="60% - Accent12" xfId="94" xr:uid="{00000000-0005-0000-0000-00001A000000}"/>
    <cellStyle name="60% - Accent7" xfId="89" xr:uid="{00000000-0005-0000-0000-00001B000000}"/>
    <cellStyle name="60% - Accent8" xfId="90" xr:uid="{00000000-0005-0000-0000-00001C000000}"/>
    <cellStyle name="60% - Accent9" xfId="91" xr:uid="{00000000-0005-0000-0000-00001D000000}"/>
    <cellStyle name="60% - Énfasis1 2" xfId="26" xr:uid="{00000000-0005-0000-0000-00001E000000}"/>
    <cellStyle name="60% - Énfasis2 2" xfId="27" xr:uid="{00000000-0005-0000-0000-00001F000000}"/>
    <cellStyle name="60% - Énfasis3 2" xfId="28" xr:uid="{00000000-0005-0000-0000-000020000000}"/>
    <cellStyle name="60% - Énfasis4 2" xfId="29" xr:uid="{00000000-0005-0000-0000-000021000000}"/>
    <cellStyle name="60% - Énfasis5 2" xfId="30" xr:uid="{00000000-0005-0000-0000-000022000000}"/>
    <cellStyle name="60% - Énfasis6 2" xfId="31" xr:uid="{00000000-0005-0000-0000-000023000000}"/>
    <cellStyle name="Accent10" xfId="86" xr:uid="{00000000-0005-0000-0000-000024000000}"/>
    <cellStyle name="Accent11" xfId="87" xr:uid="{00000000-0005-0000-0000-000025000000}"/>
    <cellStyle name="Accent12" xfId="88" xr:uid="{00000000-0005-0000-0000-000026000000}"/>
    <cellStyle name="Accent7" xfId="83" xr:uid="{00000000-0005-0000-0000-000027000000}"/>
    <cellStyle name="Accent8" xfId="84" xr:uid="{00000000-0005-0000-0000-000028000000}"/>
    <cellStyle name="Accent9" xfId="85" xr:uid="{00000000-0005-0000-0000-000029000000}"/>
    <cellStyle name="Buena 2" xfId="69" xr:uid="{00000000-0005-0000-0000-00002A000000}"/>
    <cellStyle name="Cálculo 2" xfId="109" xr:uid="{00000000-0005-0000-0000-00002B000000}"/>
    <cellStyle name="Cálculo 3" xfId="39" xr:uid="{00000000-0005-0000-0000-00002C000000}"/>
    <cellStyle name="Celda de comprobación 2" xfId="40" xr:uid="{00000000-0005-0000-0000-00002D000000}"/>
    <cellStyle name="Celda vinculada 2" xfId="119" xr:uid="{00000000-0005-0000-0000-00002E000000}"/>
    <cellStyle name="Celda vinculada 3" xfId="76" xr:uid="{00000000-0005-0000-0000-00002F000000}"/>
    <cellStyle name="Comma" xfId="4" builtinId="3" customBuiltin="1"/>
    <cellStyle name="Comma 2" xfId="11" xr:uid="{00000000-0005-0000-0000-000030000000}"/>
    <cellStyle name="Comma 2 2" xfId="128" xr:uid="{00000000-0005-0000-0000-000031000000}"/>
    <cellStyle name="Comma 2 3" xfId="124" xr:uid="{00000000-0005-0000-0000-000032000000}"/>
    <cellStyle name="Comma 2_Hoja1" xfId="174" xr:uid="{00000000-0005-0000-0000-000033000000}"/>
    <cellStyle name="DividerBlue" xfId="150" xr:uid="{00000000-0005-0000-0000-000034000000}"/>
    <cellStyle name="DividerGreen" xfId="151" xr:uid="{00000000-0005-0000-0000-000035000000}"/>
    <cellStyle name="DividerGrey" xfId="152" xr:uid="{00000000-0005-0000-0000-000036000000}"/>
    <cellStyle name="DividerLilac" xfId="153" xr:uid="{00000000-0005-0000-0000-000037000000}"/>
    <cellStyle name="DividerPink" xfId="154" xr:uid="{00000000-0005-0000-0000-000038000000}"/>
    <cellStyle name="DividerYellow" xfId="155" xr:uid="{00000000-0005-0000-0000-000039000000}"/>
    <cellStyle name="E_Calculation0" xfId="41" xr:uid="{00000000-0005-0000-0000-00003A000000}"/>
    <cellStyle name="E_Calculation1" xfId="42" xr:uid="{00000000-0005-0000-0000-00003B000000}"/>
    <cellStyle name="E_Calculation2" xfId="43" xr:uid="{00000000-0005-0000-0000-00003C000000}"/>
    <cellStyle name="E_Calculation3" xfId="44" xr:uid="{00000000-0005-0000-0000-00003D000000}"/>
    <cellStyle name="E_Calculation4" xfId="45" xr:uid="{00000000-0005-0000-0000-00003E000000}"/>
    <cellStyle name="E_CalculationSum" xfId="46" xr:uid="{00000000-0005-0000-0000-00003F000000}"/>
    <cellStyle name="E_Check" xfId="47" xr:uid="{00000000-0005-0000-0000-000040000000}"/>
    <cellStyle name="E_Comment" xfId="48" xr:uid="{00000000-0005-0000-0000-000041000000}"/>
    <cellStyle name="E_Footer" xfId="49" xr:uid="{00000000-0005-0000-0000-000042000000}"/>
    <cellStyle name="E_Input1" xfId="50" xr:uid="{00000000-0005-0000-0000-000043000000}"/>
    <cellStyle name="E_Input2" xfId="51" xr:uid="{00000000-0005-0000-0000-000044000000}"/>
    <cellStyle name="E_InputFixed" xfId="52" xr:uid="{00000000-0005-0000-0000-000045000000}"/>
    <cellStyle name="E_InputList" xfId="53" xr:uid="{00000000-0005-0000-0000-000046000000}"/>
    <cellStyle name="E_InputWhite" xfId="54" xr:uid="{00000000-0005-0000-0000-000047000000}"/>
    <cellStyle name="E_InputWhite 2" xfId="116" xr:uid="{00000000-0005-0000-0000-000048000000}"/>
    <cellStyle name="E_RangeName" xfId="55" xr:uid="{00000000-0005-0000-0000-000049000000}"/>
    <cellStyle name="E_SecTitle1" xfId="56" xr:uid="{00000000-0005-0000-0000-00004A000000}"/>
    <cellStyle name="E_SecTitle2" xfId="57" xr:uid="{00000000-0005-0000-0000-00004B000000}"/>
    <cellStyle name="E_SecTitle3" xfId="58" xr:uid="{00000000-0005-0000-0000-00004C000000}"/>
    <cellStyle name="E_Source" xfId="59" xr:uid="{00000000-0005-0000-0000-00004D000000}"/>
    <cellStyle name="E_TableCell0" xfId="2" xr:uid="{00000000-0005-0000-0000-00004E000000}"/>
    <cellStyle name="E_TableCell0 2" xfId="117" xr:uid="{00000000-0005-0000-0000-00004F000000}"/>
    <cellStyle name="E_TableCell1" xfId="60" xr:uid="{00000000-0005-0000-0000-000050000000}"/>
    <cellStyle name="E_TableCell2" xfId="61" xr:uid="{00000000-0005-0000-0000-000051000000}"/>
    <cellStyle name="E_TableHeader0" xfId="62" xr:uid="{00000000-0005-0000-0000-000052000000}"/>
    <cellStyle name="E_TableHeader1" xfId="63" xr:uid="{00000000-0005-0000-0000-000053000000}"/>
    <cellStyle name="E_TableHeader2" xfId="64" xr:uid="{00000000-0005-0000-0000-000054000000}"/>
    <cellStyle name="E_VBACommunication" xfId="65" xr:uid="{00000000-0005-0000-0000-000055000000}"/>
    <cellStyle name="E_Warning" xfId="66" xr:uid="{00000000-0005-0000-0000-000056000000}"/>
    <cellStyle name="Encabezado 1 2" xfId="70" xr:uid="{00000000-0005-0000-0000-000057000000}"/>
    <cellStyle name="Encabezado 4 2" xfId="73" xr:uid="{00000000-0005-0000-0000-000058000000}"/>
    <cellStyle name="Énfasis1 2" xfId="32" xr:uid="{00000000-0005-0000-0000-000059000000}"/>
    <cellStyle name="Énfasis2 2" xfId="33" xr:uid="{00000000-0005-0000-0000-00005A000000}"/>
    <cellStyle name="Énfasis3 2" xfId="34" xr:uid="{00000000-0005-0000-0000-00005B000000}"/>
    <cellStyle name="Énfasis4 2" xfId="35" xr:uid="{00000000-0005-0000-0000-00005C000000}"/>
    <cellStyle name="Énfasis5 2" xfId="36" xr:uid="{00000000-0005-0000-0000-00005D000000}"/>
    <cellStyle name="Énfasis6 2" xfId="37" xr:uid="{00000000-0005-0000-0000-00005E000000}"/>
    <cellStyle name="Entrada 2" xfId="118" xr:uid="{00000000-0005-0000-0000-00005F000000}"/>
    <cellStyle name="Entrada 3" xfId="75" xr:uid="{00000000-0005-0000-0000-000060000000}"/>
    <cellStyle name="Followed Hyperlink" xfId="68" builtinId="9" customBuiltin="1"/>
    <cellStyle name="Hipervínculo 2" xfId="13" xr:uid="{00000000-0005-0000-0000-000062000000}"/>
    <cellStyle name="Hipervínculo 2 2" xfId="148" xr:uid="{00000000-0005-0000-0000-000063000000}"/>
    <cellStyle name="Hipervínculo 2_Hoja1" xfId="177" xr:uid="{00000000-0005-0000-0000-000064000000}"/>
    <cellStyle name="Hipervínculo 3" xfId="74" xr:uid="{00000000-0005-0000-0000-000065000000}"/>
    <cellStyle name="Hipervínculo 4" xfId="172" xr:uid="{00000000-0005-0000-0000-000066000000}"/>
    <cellStyle name="Hipervínculo 5" xfId="179" xr:uid="{00000000-0005-0000-0000-000067000000}"/>
    <cellStyle name="Hyperlink" xfId="3" builtinId="8"/>
    <cellStyle name="Hyperlink 2" xfId="129" xr:uid="{00000000-0005-0000-0000-000069000000}"/>
    <cellStyle name="Hyperlink 3" xfId="130" xr:uid="{00000000-0005-0000-0000-00006A000000}"/>
    <cellStyle name="Hyperlink 4" xfId="131" xr:uid="{00000000-0005-0000-0000-00006B000000}"/>
    <cellStyle name="Hyperlink 5" xfId="132" xr:uid="{00000000-0005-0000-0000-00006C000000}"/>
    <cellStyle name="Hyperlink 6" xfId="133" xr:uid="{00000000-0005-0000-0000-00006D000000}"/>
    <cellStyle name="Hyperlink 7" xfId="134" xr:uid="{00000000-0005-0000-0000-00006E000000}"/>
    <cellStyle name="Hyperlink 7 2" xfId="135" xr:uid="{00000000-0005-0000-0000-00006F000000}"/>
    <cellStyle name="Hyperlink 7 2 2" xfId="136" xr:uid="{00000000-0005-0000-0000-000070000000}"/>
    <cellStyle name="Hyperlink 8" xfId="137" xr:uid="{00000000-0005-0000-0000-000071000000}"/>
    <cellStyle name="Incorrecto 2" xfId="108" xr:uid="{00000000-0005-0000-0000-000072000000}"/>
    <cellStyle name="Incorrecto 3" xfId="38" xr:uid="{00000000-0005-0000-0000-000073000000}"/>
    <cellStyle name="Millares [0] 2" xfId="111" xr:uid="{00000000-0005-0000-0000-000075000000}"/>
    <cellStyle name="Millares 2" xfId="110" xr:uid="{00000000-0005-0000-0000-000076000000}"/>
    <cellStyle name="Millares 3" xfId="115" xr:uid="{00000000-0005-0000-0000-000077000000}"/>
    <cellStyle name="Millares 4" xfId="107" xr:uid="{00000000-0005-0000-0000-000078000000}"/>
    <cellStyle name="Moneda [0] 2" xfId="113" xr:uid="{00000000-0005-0000-0000-000079000000}"/>
    <cellStyle name="Moneda 2" xfId="112" xr:uid="{00000000-0005-0000-0000-00007A000000}"/>
    <cellStyle name="Moneda 3" xfId="114" xr:uid="{00000000-0005-0000-0000-00007B000000}"/>
    <cellStyle name="Moneda 4" xfId="121" xr:uid="{00000000-0005-0000-0000-00007C000000}"/>
    <cellStyle name="Neutral 2" xfId="77" xr:uid="{00000000-0005-0000-0000-00007D000000}"/>
    <cellStyle name="Normal" xfId="0" builtinId="0"/>
    <cellStyle name="Normal 10" xfId="170" xr:uid="{00000000-0005-0000-0000-00007F000000}"/>
    <cellStyle name="Normal 10 2" xfId="180" xr:uid="{00000000-0005-0000-0000-000080000000}"/>
    <cellStyle name="Normal 11" xfId="125" xr:uid="{00000000-0005-0000-0000-000081000000}"/>
    <cellStyle name="Normal 12" xfId="17" xr:uid="{00000000-0005-0000-0000-000082000000}"/>
    <cellStyle name="Normal 13" xfId="181" xr:uid="{00000000-0005-0000-0000-000083000000}"/>
    <cellStyle name="Normal 2" xfId="14" xr:uid="{00000000-0005-0000-0000-000084000000}"/>
    <cellStyle name="Normal 2 2" xfId="138" xr:uid="{00000000-0005-0000-0000-000085000000}"/>
    <cellStyle name="Normal 2 3" xfId="122" xr:uid="{00000000-0005-0000-0000-000086000000}"/>
    <cellStyle name="Normal 2_Hoja1" xfId="175" xr:uid="{00000000-0005-0000-0000-000087000000}"/>
    <cellStyle name="Normal 3" xfId="5" xr:uid="{00000000-0005-0000-0000-000088000000}"/>
    <cellStyle name="Normal 3 2" xfId="139" xr:uid="{00000000-0005-0000-0000-000089000000}"/>
    <cellStyle name="Normal 3_Hoja1" xfId="176" xr:uid="{00000000-0005-0000-0000-00008A000000}"/>
    <cellStyle name="Normal 4" xfId="9" xr:uid="{00000000-0005-0000-0000-00008B000000}"/>
    <cellStyle name="Normal 4 2" xfId="140" xr:uid="{00000000-0005-0000-0000-00008C000000}"/>
    <cellStyle name="Normal 4_Hoja1" xfId="178" xr:uid="{00000000-0005-0000-0000-00008D000000}"/>
    <cellStyle name="Normal 5" xfId="127" xr:uid="{00000000-0005-0000-0000-00008E000000}"/>
    <cellStyle name="Normal 6" xfId="141" xr:uid="{00000000-0005-0000-0000-00008F000000}"/>
    <cellStyle name="Normal 7" xfId="142" xr:uid="{00000000-0005-0000-0000-000090000000}"/>
    <cellStyle name="Normal 7 2" xfId="143" xr:uid="{00000000-0005-0000-0000-000091000000}"/>
    <cellStyle name="Normal 8" xfId="144" xr:uid="{00000000-0005-0000-0000-000092000000}"/>
    <cellStyle name="Normal 9" xfId="149" xr:uid="{00000000-0005-0000-0000-000093000000}"/>
    <cellStyle name="Notas 2" xfId="78" xr:uid="{00000000-0005-0000-0000-000094000000}"/>
    <cellStyle name="Percent" xfId="1" builtinId="5"/>
    <cellStyle name="Percent 2" xfId="123" xr:uid="{00000000-0005-0000-0000-000095000000}"/>
    <cellStyle name="Percent 2 2" xfId="145" xr:uid="{00000000-0005-0000-0000-000096000000}"/>
    <cellStyle name="Percent 3" xfId="146" xr:uid="{00000000-0005-0000-0000-000097000000}"/>
    <cellStyle name="Percent 3 2" xfId="147" xr:uid="{00000000-0005-0000-0000-000098000000}"/>
    <cellStyle name="Porcentaje 2" xfId="7" xr:uid="{00000000-0005-0000-0000-00009A000000}"/>
    <cellStyle name="Porcentaje 2 2" xfId="120" xr:uid="{00000000-0005-0000-0000-00009B000000}"/>
    <cellStyle name="Porcentaje 3" xfId="126" xr:uid="{00000000-0005-0000-0000-00009C000000}"/>
    <cellStyle name="Salida 2" xfId="79" xr:uid="{00000000-0005-0000-0000-00009D000000}"/>
    <cellStyle name="TableBlueBody" xfId="156" xr:uid="{00000000-0005-0000-0000-00009E000000}"/>
    <cellStyle name="TableBlueHeader" xfId="157" xr:uid="{00000000-0005-0000-0000-00009F000000}"/>
    <cellStyle name="TableGreenBody" xfId="158" xr:uid="{00000000-0005-0000-0000-0000A0000000}"/>
    <cellStyle name="TableGreenHeader" xfId="159" xr:uid="{00000000-0005-0000-0000-0000A1000000}"/>
    <cellStyle name="TableGreyBody" xfId="160" xr:uid="{00000000-0005-0000-0000-0000A2000000}"/>
    <cellStyle name="TableGreyHeader" xfId="161" xr:uid="{00000000-0005-0000-0000-0000A3000000}"/>
    <cellStyle name="TableLilacBody" xfId="162" xr:uid="{00000000-0005-0000-0000-0000A4000000}"/>
    <cellStyle name="TableLilacHeader" xfId="163" xr:uid="{00000000-0005-0000-0000-0000A5000000}"/>
    <cellStyle name="TablePinkBody" xfId="164" xr:uid="{00000000-0005-0000-0000-0000A6000000}"/>
    <cellStyle name="TablePinkHeader" xfId="165" xr:uid="{00000000-0005-0000-0000-0000A7000000}"/>
    <cellStyle name="TableWhiteBody" xfId="166" xr:uid="{00000000-0005-0000-0000-0000A8000000}"/>
    <cellStyle name="TableWhiteHeader" xfId="167" xr:uid="{00000000-0005-0000-0000-0000A9000000}"/>
    <cellStyle name="TableYellowBody" xfId="168" xr:uid="{00000000-0005-0000-0000-0000AA000000}"/>
    <cellStyle name="TableYellowHeader" xfId="169" xr:uid="{00000000-0005-0000-0000-0000AB000000}"/>
    <cellStyle name="Texto de advertencia 2" xfId="82" xr:uid="{00000000-0005-0000-0000-0000AC000000}"/>
    <cellStyle name="Texto explicativo 2" xfId="67" xr:uid="{00000000-0005-0000-0000-0000AD000000}"/>
    <cellStyle name="Título 2 2" xfId="71" xr:uid="{00000000-0005-0000-0000-0000AE000000}"/>
    <cellStyle name="Título 3 2" xfId="72" xr:uid="{00000000-0005-0000-0000-0000AF000000}"/>
    <cellStyle name="Título 4" xfId="80" xr:uid="{00000000-0005-0000-0000-0000B0000000}"/>
    <cellStyle name="Título 5" xfId="173" xr:uid="{00000000-0005-0000-0000-0000B1000000}"/>
    <cellStyle name="Título 6" xfId="171" xr:uid="{00000000-0005-0000-0000-0000B2000000}"/>
    <cellStyle name="Total 2" xfId="81" xr:uid="{00000000-0005-0000-0000-0000B3000000}"/>
    <cellStyle name="XLConnect.Numeric" xfId="10" xr:uid="{00000000-0005-0000-0000-0000B4000000}"/>
    <cellStyle name="XLConnect.String" xfId="12" xr:uid="{00000000-0005-0000-0000-0000B5000000}"/>
  </cellStyles>
  <dxfs count="59">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patternFill>
      </fill>
      <border>
        <left/>
        <right/>
        <top/>
        <bottom/>
        <vertical/>
        <horizontal/>
      </border>
    </dxf>
    <dxf>
      <fill>
        <patternFill>
          <bgColor theme="0"/>
        </patternFill>
      </fill>
      <border>
        <left/>
        <right/>
        <bottom/>
        <vertical/>
        <horizontal/>
      </border>
    </dxf>
    <dxf>
      <border>
        <bottom style="thin">
          <color auto="1"/>
        </bottom>
        <vertical/>
        <horizontal/>
      </border>
    </dxf>
    <dxf>
      <font>
        <color theme="0"/>
      </font>
      <fill>
        <patternFill>
          <bgColor theme="0"/>
        </patternFill>
      </fill>
      <border>
        <left/>
        <right/>
        <top/>
        <bottom style="thin">
          <color auto="1"/>
        </bottom>
        <vertical/>
        <horizontal/>
      </border>
    </dxf>
    <dxf>
      <fill>
        <patternFill>
          <bgColor theme="0" tint="-0.14996795556505021"/>
        </patternFill>
      </fill>
    </dxf>
    <dxf>
      <border>
        <top style="thin">
          <color auto="1"/>
        </top>
        <vertical/>
        <horizontal/>
      </border>
    </dxf>
    <dxf>
      <font>
        <color theme="0"/>
      </font>
      <fill>
        <patternFill>
          <bgColor theme="0"/>
        </patternFill>
      </fill>
      <border>
        <left/>
        <right/>
        <top/>
        <bottom/>
        <vertical/>
        <horizontal/>
      </border>
    </dxf>
    <dxf>
      <fill>
        <patternFill>
          <bgColor theme="0" tint="-0.14996795556505021"/>
        </patternFill>
      </fill>
    </dxf>
    <dxf>
      <fill>
        <patternFill>
          <bgColor theme="0"/>
        </patternFill>
      </fill>
      <border>
        <left/>
        <right/>
        <top style="thin">
          <color auto="1"/>
        </top>
        <bottom/>
        <vertical/>
        <horizontal/>
      </border>
    </dxf>
    <dxf>
      <fill>
        <patternFill>
          <bgColor theme="0"/>
        </patternFill>
      </fill>
      <border>
        <left/>
        <right/>
        <top/>
        <bottom/>
        <vertical/>
        <horizontal/>
      </border>
    </dxf>
    <dxf>
      <font>
        <color theme="0"/>
      </font>
      <fill>
        <patternFill>
          <bgColor theme="0"/>
        </patternFill>
      </fill>
      <border>
        <left/>
        <right/>
        <top/>
        <bottom/>
        <vertical/>
        <horizontal/>
      </border>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strike val="0"/>
        <color theme="0"/>
      </font>
    </dxf>
    <dxf>
      <font>
        <strike val="0"/>
        <color theme="0"/>
      </font>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E4F1CC"/>
        </patternFill>
      </fill>
    </dxf>
    <dxf>
      <fill>
        <patternFill>
          <bgColor rgb="FFE4F1CC"/>
        </patternFill>
      </fill>
    </dxf>
    <dxf>
      <font>
        <color theme="0"/>
      </font>
      <fill>
        <patternFill>
          <bgColor theme="2"/>
        </patternFill>
      </fill>
    </dxf>
    <dxf>
      <font>
        <color theme="0"/>
      </font>
      <fill>
        <patternFill>
          <bgColor theme="2"/>
        </patternFill>
      </fill>
    </dxf>
    <dxf>
      <font>
        <b/>
        <i val="0"/>
        <color theme="0"/>
      </font>
      <fill>
        <patternFill>
          <bgColor theme="2"/>
        </patternFill>
      </fill>
    </dxf>
    <dxf>
      <font>
        <b/>
        <i val="0"/>
        <color theme="2"/>
      </font>
      <fill>
        <patternFill patternType="none">
          <bgColor auto="1"/>
        </patternFill>
      </fill>
      <border>
        <bottom style="thin">
          <color theme="2"/>
        </bottom>
      </border>
    </dxf>
    <dxf>
      <border diagonalUp="0" diagonalDown="0">
        <left style="hair">
          <color theme="6"/>
        </left>
        <right style="hair">
          <color theme="6"/>
        </right>
        <top style="hair">
          <color theme="6"/>
        </top>
        <bottom style="hair">
          <color theme="6"/>
        </bottom>
        <vertical style="hair">
          <color theme="6"/>
        </vertical>
        <horizontal style="hair">
          <color theme="6"/>
        </horizontal>
      </border>
    </dxf>
    <dxf>
      <fill>
        <patternFill>
          <bgColor rgb="FFE4F1CC"/>
        </patternFill>
      </fill>
    </dxf>
    <dxf>
      <fill>
        <patternFill>
          <bgColor rgb="FFE4F1CC"/>
        </patternFill>
      </fill>
    </dxf>
    <dxf>
      <font>
        <color theme="0"/>
      </font>
      <fill>
        <patternFill>
          <bgColor theme="2"/>
        </patternFill>
      </fill>
    </dxf>
    <dxf>
      <font>
        <color theme="0"/>
      </font>
      <fill>
        <patternFill>
          <bgColor theme="2"/>
        </patternFill>
      </fill>
    </dxf>
    <dxf>
      <font>
        <b/>
        <i val="0"/>
        <color theme="0"/>
      </font>
      <fill>
        <patternFill>
          <bgColor theme="2"/>
        </patternFill>
      </fill>
    </dxf>
    <dxf>
      <font>
        <b/>
        <i val="0"/>
        <color theme="0"/>
      </font>
      <fill>
        <patternFill>
          <bgColor theme="2"/>
        </patternFill>
      </fill>
    </dxf>
    <dxf>
      <border diagonalUp="0" diagonalDown="0">
        <left style="hair">
          <color theme="2"/>
        </left>
        <right style="hair">
          <color theme="2"/>
        </right>
        <top style="hair">
          <color theme="2"/>
        </top>
        <bottom style="hair">
          <color theme="2"/>
        </bottom>
        <vertical style="hair">
          <color theme="2"/>
        </vertical>
        <horizontal style="hair">
          <color theme="2"/>
        </horizontal>
      </border>
    </dxf>
  </dxfs>
  <tableStyles count="2" defaultTableStyle="TableStyleMedium2" defaultPivotStyle="PivotStyleLight16">
    <tableStyle name="E_Table1_Green" pivot="0" count="7" xr9:uid="{00000000-0011-0000-FFFF-FFFF00000000}">
      <tableStyleElement type="wholeTable" dxfId="58"/>
      <tableStyleElement type="headerRow" dxfId="57"/>
      <tableStyleElement type="totalRow" dxfId="56"/>
      <tableStyleElement type="firstColumn" dxfId="55"/>
      <tableStyleElement type="lastColumn" dxfId="54"/>
      <tableStyleElement type="secondRowStripe" dxfId="53"/>
      <tableStyleElement type="secondColumnStripe" dxfId="52"/>
    </tableStyle>
    <tableStyle name="E_Table2_Green" pivot="0" count="7" xr9:uid="{00000000-0011-0000-FFFF-FFFF01000000}">
      <tableStyleElement type="wholeTable" dxfId="51"/>
      <tableStyleElement type="headerRow" dxfId="50"/>
      <tableStyleElement type="totalRow" dxfId="49"/>
      <tableStyleElement type="firstColumn" dxfId="48"/>
      <tableStyleElement type="lastColumn" dxfId="47"/>
      <tableStyleElement type="secondRowStripe" dxfId="46"/>
      <tableStyleElement type="secondColumnStripe" dxfId="45"/>
    </tableStyle>
  </tableStyles>
  <colors>
    <mruColors>
      <color rgb="FF333F50"/>
      <color rgb="FFEFB30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Graphs!$B$5</c:f>
          <c:strCache>
            <c:ptCount val="1"/>
            <c:pt idx="0">
              <c:v>#N/A</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areaChart>
        <c:grouping val="stacked"/>
        <c:varyColors val="0"/>
        <c:ser>
          <c:idx val="0"/>
          <c:order val="0"/>
          <c:tx>
            <c:strRef>
              <c:f>Graphs!$B$7</c:f>
              <c:strCache>
                <c:ptCount val="1"/>
                <c:pt idx="0">
                  <c:v>Company WTW emissions</c:v>
                </c:pt>
              </c:strCache>
            </c:strRef>
          </c:tx>
          <c:spPr>
            <a:solidFill>
              <a:srgbClr val="333F50">
                <a:alpha val="74902"/>
              </a:srgbClr>
            </a:solidFill>
            <a:ln w="19050">
              <a:solidFill>
                <a:srgbClr val="333F50"/>
              </a:solidFill>
            </a:ln>
            <a:effectLst/>
          </c:spPr>
          <c:cat>
            <c:numRef>
              <c:f>Graphs!$C$6:$G$6</c:f>
              <c:numCache>
                <c:formatCode>General</c:formatCode>
                <c:ptCount val="5"/>
                <c:pt idx="0">
                  <c:v>0</c:v>
                </c:pt>
                <c:pt idx="1">
                  <c:v>2020</c:v>
                </c:pt>
                <c:pt idx="2">
                  <c:v>2030</c:v>
                </c:pt>
                <c:pt idx="3">
                  <c:v>2040</c:v>
                </c:pt>
                <c:pt idx="4">
                  <c:v>2050</c:v>
                </c:pt>
              </c:numCache>
            </c:numRef>
          </c:cat>
          <c:val>
            <c:numRef>
              <c:f>Graphs!$C$7:$G$7</c:f>
              <c:numCache>
                <c:formatCode>#,##0.00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08-4476-B089-C63D91047B93}"/>
            </c:ext>
          </c:extLst>
        </c:ser>
        <c:dLbls>
          <c:showLegendKey val="0"/>
          <c:showVal val="0"/>
          <c:showCatName val="0"/>
          <c:showSerName val="0"/>
          <c:showPercent val="0"/>
          <c:showBubbleSize val="0"/>
        </c:dLbls>
        <c:axId val="346457536"/>
        <c:axId val="346458096"/>
      </c:areaChart>
      <c:lineChart>
        <c:grouping val="standard"/>
        <c:varyColors val="0"/>
        <c:ser>
          <c:idx val="2"/>
          <c:order val="1"/>
          <c:tx>
            <c:strRef>
              <c:f>Graphs!$B$10</c:f>
              <c:strCache>
                <c:ptCount val="1"/>
                <c:pt idx="0">
                  <c:v>Sector WTW emissions (Indexed)</c:v>
                </c:pt>
              </c:strCache>
            </c:strRef>
          </c:tx>
          <c:spPr>
            <a:ln w="19050" cap="rnd">
              <a:solidFill>
                <a:srgbClr val="EFB300"/>
              </a:solidFill>
              <a:prstDash val="sysDot"/>
              <a:round/>
            </a:ln>
            <a:effectLst/>
          </c:spPr>
          <c:marker>
            <c:symbol val="none"/>
          </c:marker>
          <c:cat>
            <c:numRef>
              <c:f>Graphs!$C$6:$G$6</c:f>
              <c:numCache>
                <c:formatCode>General</c:formatCode>
                <c:ptCount val="5"/>
                <c:pt idx="0">
                  <c:v>0</c:v>
                </c:pt>
                <c:pt idx="1">
                  <c:v>2020</c:v>
                </c:pt>
                <c:pt idx="2">
                  <c:v>2030</c:v>
                </c:pt>
                <c:pt idx="3">
                  <c:v>2040</c:v>
                </c:pt>
                <c:pt idx="4">
                  <c:v>2050</c:v>
                </c:pt>
              </c:numCache>
            </c:numRef>
          </c:cat>
          <c:val>
            <c:numRef>
              <c:f>Graphs!$C$10:$G$10</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08-4476-B089-C63D91047B93}"/>
            </c:ext>
          </c:extLst>
        </c:ser>
        <c:ser>
          <c:idx val="3"/>
          <c:order val="2"/>
          <c:tx>
            <c:strRef>
              <c:f>Graphs!$B$11</c:f>
              <c:strCache>
                <c:ptCount val="1"/>
                <c:pt idx="0">
                  <c:v>Sector WTT emissions (Indexed)</c:v>
                </c:pt>
              </c:strCache>
            </c:strRef>
          </c:tx>
          <c:spPr>
            <a:ln w="19050" cap="rnd">
              <a:solidFill>
                <a:schemeClr val="bg1">
                  <a:lumMod val="75000"/>
                </a:schemeClr>
              </a:solidFill>
              <a:prstDash val="sysDot"/>
              <a:round/>
            </a:ln>
            <a:effectLst/>
          </c:spPr>
          <c:marker>
            <c:symbol val="none"/>
          </c:marker>
          <c:cat>
            <c:numRef>
              <c:f>Graphs!$C$6:$G$6</c:f>
              <c:numCache>
                <c:formatCode>General</c:formatCode>
                <c:ptCount val="5"/>
                <c:pt idx="0">
                  <c:v>0</c:v>
                </c:pt>
                <c:pt idx="1">
                  <c:v>2020</c:v>
                </c:pt>
                <c:pt idx="2">
                  <c:v>2030</c:v>
                </c:pt>
                <c:pt idx="3">
                  <c:v>2040</c:v>
                </c:pt>
                <c:pt idx="4">
                  <c:v>2050</c:v>
                </c:pt>
              </c:numCache>
            </c:numRef>
          </c:cat>
          <c:val>
            <c:numRef>
              <c:f>Graphs!$C$11:$G$11</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2-CE08-4476-B089-C63D91047B93}"/>
            </c:ext>
          </c:extLst>
        </c:ser>
        <c:ser>
          <c:idx val="1"/>
          <c:order val="3"/>
          <c:tx>
            <c:strRef>
              <c:f>Graphs!$B$12</c:f>
              <c:strCache>
                <c:ptCount val="1"/>
                <c:pt idx="0">
                  <c:v>Sector TTW emissions (Indexed)</c:v>
                </c:pt>
              </c:strCache>
            </c:strRef>
          </c:tx>
          <c:spPr>
            <a:ln w="19050" cap="rnd">
              <a:solidFill>
                <a:schemeClr val="accent2"/>
              </a:solidFill>
              <a:prstDash val="sysDot"/>
              <a:round/>
            </a:ln>
            <a:effectLst/>
          </c:spPr>
          <c:marker>
            <c:symbol val="none"/>
          </c:marker>
          <c:cat>
            <c:numRef>
              <c:f>Graphs!$C$6:$G$6</c:f>
              <c:numCache>
                <c:formatCode>General</c:formatCode>
                <c:ptCount val="5"/>
                <c:pt idx="0">
                  <c:v>0</c:v>
                </c:pt>
                <c:pt idx="1">
                  <c:v>2020</c:v>
                </c:pt>
                <c:pt idx="2">
                  <c:v>2030</c:v>
                </c:pt>
                <c:pt idx="3">
                  <c:v>2040</c:v>
                </c:pt>
                <c:pt idx="4">
                  <c:v>2050</c:v>
                </c:pt>
              </c:numCache>
            </c:numRef>
          </c:cat>
          <c:val>
            <c:numRef>
              <c:f>Graphs!$C$12:$G$12</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3-CE08-4476-B089-C63D91047B93}"/>
            </c:ext>
          </c:extLst>
        </c:ser>
        <c:dLbls>
          <c:showLegendKey val="0"/>
          <c:showVal val="0"/>
          <c:showCatName val="0"/>
          <c:showSerName val="0"/>
          <c:showPercent val="0"/>
          <c:showBubbleSize val="0"/>
        </c:dLbls>
        <c:marker val="1"/>
        <c:smooth val="0"/>
        <c:axId val="346459216"/>
        <c:axId val="346458656"/>
      </c:lineChart>
      <c:catAx>
        <c:axId val="3464575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6458096"/>
        <c:crosses val="autoZero"/>
        <c:auto val="1"/>
        <c:lblAlgn val="ctr"/>
        <c:lblOffset val="100"/>
        <c:noMultiLvlLbl val="1"/>
      </c:catAx>
      <c:valAx>
        <c:axId val="346458096"/>
        <c:scaling>
          <c:orientation val="minMax"/>
        </c:scaling>
        <c:delete val="0"/>
        <c:axPos val="l"/>
        <c:majorGridlines>
          <c:spPr>
            <a:ln w="9525" cap="flat" cmpd="sng" algn="ctr">
              <a:solidFill>
                <a:schemeClr val="tx1">
                  <a:lumMod val="15000"/>
                  <a:lumOff val="85000"/>
                </a:schemeClr>
              </a:solidFill>
              <a:round/>
            </a:ln>
            <a:effectLst/>
          </c:spPr>
        </c:majorGridlines>
        <c:title>
          <c:tx>
            <c:strRef>
              <c:f>Tool!$D$44</c:f>
              <c:strCache>
                <c:ptCount val="1"/>
                <c:pt idx="0">
                  <c:v>Metric tonnes of CO2 eq.</c:v>
                </c:pt>
              </c:strCache>
            </c:strRef>
          </c:tx>
          <c:layout>
            <c:manualLayout>
              <c:xMode val="edge"/>
              <c:yMode val="edge"/>
              <c:x val="1.1081634943675416E-2"/>
              <c:y val="0.31492163832361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6457536"/>
        <c:crosses val="autoZero"/>
        <c:crossBetween val="between"/>
      </c:valAx>
      <c:valAx>
        <c:axId val="346458656"/>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6459216"/>
        <c:crosses val="max"/>
        <c:crossBetween val="between"/>
      </c:valAx>
      <c:catAx>
        <c:axId val="346459216"/>
        <c:scaling>
          <c:orientation val="minMax"/>
        </c:scaling>
        <c:delete val="1"/>
        <c:axPos val="b"/>
        <c:numFmt formatCode="General" sourceLinked="1"/>
        <c:majorTickMark val="out"/>
        <c:minorTickMark val="none"/>
        <c:tickLblPos val="nextTo"/>
        <c:crossAx val="346458656"/>
        <c:crosses val="autoZero"/>
        <c:auto val="1"/>
        <c:lblAlgn val="ctr"/>
        <c:lblOffset val="100"/>
        <c:noMultiLvlLbl val="0"/>
      </c:catAx>
      <c:spPr>
        <a:noFill/>
        <a:ln>
          <a:noFill/>
        </a:ln>
        <a:effectLst/>
      </c:spPr>
    </c:plotArea>
    <c:legend>
      <c:legendPos val="b"/>
      <c:layout>
        <c:manualLayout>
          <c:xMode val="edge"/>
          <c:yMode val="edge"/>
          <c:x val="5.8900865209544691E-2"/>
          <c:y val="0.87422906557815971"/>
          <c:w val="0.89123177754391592"/>
          <c:h val="0.115828444289957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Graphs!$B$15</c:f>
          <c:strCache>
            <c:ptCount val="1"/>
            <c:pt idx="0">
              <c:v>#N/A</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scatterChart>
        <c:scatterStyle val="smoothMarker"/>
        <c:varyColors val="0"/>
        <c:ser>
          <c:idx val="0"/>
          <c:order val="0"/>
          <c:tx>
            <c:v>Company WTW carbon intensity</c:v>
          </c:tx>
          <c:spPr>
            <a:ln w="19050" cap="rnd">
              <a:solidFill>
                <a:srgbClr val="333F50"/>
              </a:solidFill>
              <a:round/>
            </a:ln>
            <a:effectLst/>
          </c:spPr>
          <c:marker>
            <c:symbol val="none"/>
          </c:marker>
          <c:xVal>
            <c:numRef>
              <c:f>Graphs!$C$16:$G$16</c:f>
              <c:numCache>
                <c:formatCode>General</c:formatCode>
                <c:ptCount val="5"/>
                <c:pt idx="0">
                  <c:v>0</c:v>
                </c:pt>
                <c:pt idx="1">
                  <c:v>2020</c:v>
                </c:pt>
                <c:pt idx="2">
                  <c:v>2030</c:v>
                </c:pt>
                <c:pt idx="3">
                  <c:v>2040</c:v>
                </c:pt>
                <c:pt idx="4">
                  <c:v>2050</c:v>
                </c:pt>
              </c:numCache>
            </c:numRef>
          </c:xVal>
          <c:yVal>
            <c:numRef>
              <c:f>Graphs!$C$17:$G$17</c:f>
              <c:numCache>
                <c:formatCode>#,##0.00</c:formatCode>
                <c:ptCount val="5"/>
                <c:pt idx="0">
                  <c:v>0</c:v>
                </c:pt>
                <c:pt idx="1">
                  <c:v>#N/A</c:v>
                </c:pt>
                <c:pt idx="2">
                  <c:v>#N/A</c:v>
                </c:pt>
                <c:pt idx="3">
                  <c:v>#N/A</c:v>
                </c:pt>
                <c:pt idx="4">
                  <c:v>#N/A</c:v>
                </c:pt>
              </c:numCache>
            </c:numRef>
          </c:yVal>
          <c:smooth val="1"/>
          <c:extLst>
            <c:ext xmlns:c16="http://schemas.microsoft.com/office/drawing/2014/chart" uri="{C3380CC4-5D6E-409C-BE32-E72D297353CC}">
              <c16:uniqueId val="{00000000-47D2-4C3D-9DFF-F8BA3A8068E6}"/>
            </c:ext>
          </c:extLst>
        </c:ser>
        <c:dLbls>
          <c:showLegendKey val="0"/>
          <c:showVal val="0"/>
          <c:showCatName val="0"/>
          <c:showSerName val="0"/>
          <c:showPercent val="0"/>
          <c:showBubbleSize val="0"/>
        </c:dLbls>
        <c:axId val="346623184"/>
        <c:axId val="346623744"/>
      </c:scatterChart>
      <c:scatterChart>
        <c:scatterStyle val="lineMarker"/>
        <c:varyColors val="0"/>
        <c:ser>
          <c:idx val="1"/>
          <c:order val="1"/>
          <c:tx>
            <c:strRef>
              <c:f>Graphs!$B$20</c:f>
              <c:strCache>
                <c:ptCount val="1"/>
                <c:pt idx="0">
                  <c:v>Sector WTW carbon intensity</c:v>
                </c:pt>
              </c:strCache>
            </c:strRef>
          </c:tx>
          <c:spPr>
            <a:ln w="19050" cap="rnd">
              <a:solidFill>
                <a:schemeClr val="accent4"/>
              </a:solidFill>
              <a:round/>
            </a:ln>
            <a:effectLst/>
          </c:spPr>
          <c:marker>
            <c:symbol val="none"/>
          </c:marker>
          <c:xVal>
            <c:numRef>
              <c:f>Graphs!$C$6:$G$6</c:f>
              <c:numCache>
                <c:formatCode>General</c:formatCode>
                <c:ptCount val="5"/>
                <c:pt idx="0">
                  <c:v>0</c:v>
                </c:pt>
                <c:pt idx="1">
                  <c:v>2020</c:v>
                </c:pt>
                <c:pt idx="2">
                  <c:v>2030</c:v>
                </c:pt>
                <c:pt idx="3">
                  <c:v>2040</c:v>
                </c:pt>
                <c:pt idx="4">
                  <c:v>2050</c:v>
                </c:pt>
              </c:numCache>
            </c:numRef>
          </c:xVal>
          <c:yVal>
            <c:numRef>
              <c:f>Graphs!$C$20:$G$20</c:f>
              <c:numCache>
                <c:formatCode>0.00</c:formatCode>
                <c:ptCount val="5"/>
                <c:pt idx="0">
                  <c:v>#N/A</c:v>
                </c:pt>
                <c:pt idx="1">
                  <c:v>#N/A</c:v>
                </c:pt>
                <c:pt idx="2">
                  <c:v>#N/A</c:v>
                </c:pt>
                <c:pt idx="3">
                  <c:v>#N/A</c:v>
                </c:pt>
                <c:pt idx="4">
                  <c:v>#N/A</c:v>
                </c:pt>
              </c:numCache>
            </c:numRef>
          </c:yVal>
          <c:smooth val="0"/>
          <c:extLst>
            <c:ext xmlns:c16="http://schemas.microsoft.com/office/drawing/2014/chart" uri="{C3380CC4-5D6E-409C-BE32-E72D297353CC}">
              <c16:uniqueId val="{00000001-47D2-4C3D-9DFF-F8BA3A8068E6}"/>
            </c:ext>
          </c:extLst>
        </c:ser>
        <c:ser>
          <c:idx val="2"/>
          <c:order val="2"/>
          <c:tx>
            <c:strRef>
              <c:f>Graphs!$B$23</c:f>
              <c:strCache>
                <c:ptCount val="1"/>
                <c:pt idx="0">
                  <c:v>Target year carbon intensity</c:v>
                </c:pt>
              </c:strCache>
            </c:strRef>
          </c:tx>
          <c:spPr>
            <a:ln w="25400" cap="rnd">
              <a:noFill/>
              <a:round/>
            </a:ln>
            <a:effectLst/>
          </c:spPr>
          <c:marker>
            <c:symbol val="circle"/>
            <c:size val="5"/>
            <c:spPr>
              <a:solidFill>
                <a:srgbClr val="C00000"/>
              </a:solidFill>
              <a:ln w="9525">
                <a:solidFill>
                  <a:schemeClr val="accent4">
                    <a:tint val="65000"/>
                  </a:schemeClr>
                </a:solidFill>
              </a:ln>
              <a:effectLst/>
            </c:spPr>
          </c:marker>
          <c:dLbls>
            <c:dLbl>
              <c:idx val="0"/>
              <c:layout>
                <c:manualLayout>
                  <c:x val="-1.4772580055824784E-2"/>
                  <c:y val="-4.9697912348535503E-2"/>
                </c:manualLayout>
              </c:layout>
              <c:tx>
                <c:rich>
                  <a:bodyPr/>
                  <a:lstStyle/>
                  <a:p>
                    <a:r>
                      <a:rPr lang="en-US"/>
                      <a:t>Target</a:t>
                    </a:r>
                  </a:p>
                </c:rich>
              </c:tx>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7D2-4C3D-9DFF-F8BA3A8068E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s-MX"/>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Graphs!$I$16</c:f>
              <c:numCache>
                <c:formatCode>General</c:formatCode>
                <c:ptCount val="1"/>
                <c:pt idx="0">
                  <c:v>0</c:v>
                </c:pt>
              </c:numCache>
            </c:numRef>
          </c:xVal>
          <c:yVal>
            <c:numRef>
              <c:f>Graphs!$I$23</c:f>
              <c:numCache>
                <c:formatCode>#,##0.00</c:formatCode>
                <c:ptCount val="1"/>
                <c:pt idx="0">
                  <c:v>#N/A</c:v>
                </c:pt>
              </c:numCache>
            </c:numRef>
          </c:yVal>
          <c:smooth val="0"/>
          <c:extLst>
            <c:ext xmlns:c16="http://schemas.microsoft.com/office/drawing/2014/chart" uri="{C3380CC4-5D6E-409C-BE32-E72D297353CC}">
              <c16:uniqueId val="{00000003-47D2-4C3D-9DFF-F8BA3A8068E6}"/>
            </c:ext>
          </c:extLst>
        </c:ser>
        <c:dLbls>
          <c:showLegendKey val="0"/>
          <c:showVal val="0"/>
          <c:showCatName val="0"/>
          <c:showSerName val="0"/>
          <c:showPercent val="0"/>
          <c:showBubbleSize val="0"/>
        </c:dLbls>
        <c:axId val="346623184"/>
        <c:axId val="346623744"/>
      </c:scatterChart>
      <c:valAx>
        <c:axId val="346623184"/>
        <c:scaling>
          <c:orientation val="minMax"/>
          <c:max val="2050"/>
          <c:min val="20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6623744"/>
        <c:crosses val="autoZero"/>
        <c:crossBetween val="midCat"/>
        <c:majorUnit val="10"/>
      </c:valAx>
      <c:valAx>
        <c:axId val="346623744"/>
        <c:scaling>
          <c:orientation val="minMax"/>
        </c:scaling>
        <c:delete val="0"/>
        <c:axPos val="l"/>
        <c:majorGridlines>
          <c:spPr>
            <a:ln w="9525" cap="flat" cmpd="sng" algn="ctr">
              <a:solidFill>
                <a:schemeClr val="tx1">
                  <a:lumMod val="15000"/>
                  <a:lumOff val="85000"/>
                </a:schemeClr>
              </a:solidFill>
              <a:round/>
            </a:ln>
            <a:effectLst/>
          </c:spPr>
        </c:majorGridlines>
        <c:title>
          <c:tx>
            <c:strRef>
              <c:f>Tool!$D$63</c:f>
              <c:strCache>
                <c:ptCount val="1"/>
                <c:pt idx="0">
                  <c:v>Select a transport mode / category</c:v>
                </c:pt>
              </c:strCache>
            </c:strRef>
          </c:tx>
          <c:layout>
            <c:manualLayout>
              <c:xMode val="edge"/>
              <c:yMode val="edge"/>
              <c:x val="9.2328625348904059E-3"/>
              <c:y val="0.4143464959319454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6623184"/>
        <c:crosses val="autoZero"/>
        <c:crossBetween val="midCat"/>
      </c:valAx>
      <c:spPr>
        <a:noFill/>
        <a:ln>
          <a:noFill/>
        </a:ln>
        <a:effectLst/>
      </c:spPr>
    </c:plotArea>
    <c:legend>
      <c:legendPos val="b"/>
      <c:layout>
        <c:manualLayout>
          <c:xMode val="edge"/>
          <c:yMode val="edge"/>
          <c:x val="0.15688889841616904"/>
          <c:y val="0.94051233312404514"/>
          <c:w val="0.75705336755019115"/>
          <c:h val="5.28593263273155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Graphs!$B$35</c:f>
          <c:strCache>
            <c:ptCount val="1"/>
            <c:pt idx="0">
              <c:v>#N/A</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scatterChart>
        <c:scatterStyle val="lineMarker"/>
        <c:varyColors val="0"/>
        <c:ser>
          <c:idx val="2"/>
          <c:order val="2"/>
          <c:tx>
            <c:strRef>
              <c:f>Graphs!$B$43</c:f>
              <c:strCache>
                <c:ptCount val="1"/>
                <c:pt idx="0">
                  <c:v>Target year carbon intensity</c:v>
                </c:pt>
              </c:strCache>
            </c:strRef>
          </c:tx>
          <c:spPr>
            <a:ln w="25400" cap="rnd">
              <a:noFill/>
              <a:round/>
            </a:ln>
            <a:effectLst/>
          </c:spPr>
          <c:marker>
            <c:symbol val="circle"/>
            <c:size val="5"/>
            <c:spPr>
              <a:solidFill>
                <a:srgbClr val="C00000"/>
              </a:solidFill>
              <a:ln w="9525">
                <a:solidFill>
                  <a:schemeClr val="accent4">
                    <a:tint val="65000"/>
                  </a:schemeClr>
                </a:solidFill>
              </a:ln>
              <a:effectLst/>
            </c:spPr>
          </c:marker>
          <c:dLbls>
            <c:dLbl>
              <c:idx val="0"/>
              <c:layout>
                <c:manualLayout>
                  <c:x val="-1.2947102856358151E-2"/>
                  <c:y val="-5.6324300661673571E-2"/>
                </c:manualLayout>
              </c:layout>
              <c:tx>
                <c:rich>
                  <a:bodyPr/>
                  <a:lstStyle/>
                  <a:p>
                    <a:r>
                      <a:rPr lang="en-US"/>
                      <a:t>Target</a:t>
                    </a:r>
                  </a:p>
                </c:rich>
              </c:tx>
              <c:showLegendKey val="0"/>
              <c:showVal val="1"/>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501-4EE7-B95D-B1478BF343A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s-MX"/>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xVal>
            <c:numRef>
              <c:f>Graphs!$I$36</c:f>
              <c:numCache>
                <c:formatCode>General</c:formatCode>
                <c:ptCount val="1"/>
                <c:pt idx="0">
                  <c:v>0</c:v>
                </c:pt>
              </c:numCache>
            </c:numRef>
          </c:xVal>
          <c:yVal>
            <c:numRef>
              <c:f>Graphs!$I$43</c:f>
              <c:numCache>
                <c:formatCode>#,##0.00</c:formatCode>
                <c:ptCount val="1"/>
                <c:pt idx="0">
                  <c:v>#N/A</c:v>
                </c:pt>
              </c:numCache>
            </c:numRef>
          </c:yVal>
          <c:smooth val="0"/>
          <c:extLst>
            <c:ext xmlns:c16="http://schemas.microsoft.com/office/drawing/2014/chart" uri="{C3380CC4-5D6E-409C-BE32-E72D297353CC}">
              <c16:uniqueId val="{00000001-F501-4EE7-B95D-B1478BF343AA}"/>
            </c:ext>
          </c:extLst>
        </c:ser>
        <c:dLbls>
          <c:showLegendKey val="0"/>
          <c:showVal val="0"/>
          <c:showCatName val="0"/>
          <c:showSerName val="0"/>
          <c:showPercent val="0"/>
          <c:showBubbleSize val="0"/>
        </c:dLbls>
        <c:axId val="346962256"/>
        <c:axId val="347012144"/>
      </c:scatterChart>
      <c:scatterChart>
        <c:scatterStyle val="smoothMarker"/>
        <c:varyColors val="0"/>
        <c:ser>
          <c:idx val="0"/>
          <c:order val="0"/>
          <c:tx>
            <c:v>Company WTW carbon intensity</c:v>
          </c:tx>
          <c:spPr>
            <a:ln w="19050" cap="rnd">
              <a:solidFill>
                <a:srgbClr val="333F50"/>
              </a:solidFill>
              <a:round/>
            </a:ln>
            <a:effectLst/>
          </c:spPr>
          <c:marker>
            <c:symbol val="none"/>
          </c:marker>
          <c:xVal>
            <c:numRef>
              <c:f>Graphs!$C$36:$G$36</c:f>
              <c:numCache>
                <c:formatCode>General</c:formatCode>
                <c:ptCount val="5"/>
                <c:pt idx="0">
                  <c:v>0</c:v>
                </c:pt>
                <c:pt idx="2">
                  <c:v>2030</c:v>
                </c:pt>
                <c:pt idx="3">
                  <c:v>2040</c:v>
                </c:pt>
                <c:pt idx="4">
                  <c:v>2050</c:v>
                </c:pt>
              </c:numCache>
            </c:numRef>
          </c:xVal>
          <c:yVal>
            <c:numRef>
              <c:f>Graphs!$C$37:$G$37</c:f>
              <c:numCache>
                <c:formatCode>#,##0.00</c:formatCode>
                <c:ptCount val="5"/>
                <c:pt idx="0">
                  <c:v>0</c:v>
                </c:pt>
                <c:pt idx="2">
                  <c:v>#N/A</c:v>
                </c:pt>
                <c:pt idx="3">
                  <c:v>#N/A</c:v>
                </c:pt>
                <c:pt idx="4">
                  <c:v>#N/A</c:v>
                </c:pt>
              </c:numCache>
            </c:numRef>
          </c:yVal>
          <c:smooth val="1"/>
          <c:extLst>
            <c:ext xmlns:c16="http://schemas.microsoft.com/office/drawing/2014/chart" uri="{C3380CC4-5D6E-409C-BE32-E72D297353CC}">
              <c16:uniqueId val="{00000002-F501-4EE7-B95D-B1478BF343AA}"/>
            </c:ext>
          </c:extLst>
        </c:ser>
        <c:ser>
          <c:idx val="1"/>
          <c:order val="1"/>
          <c:tx>
            <c:strRef>
              <c:f>Graphs!$B$40</c:f>
              <c:strCache>
                <c:ptCount val="1"/>
                <c:pt idx="0">
                  <c:v>Sector WTW carbon intensity</c:v>
                </c:pt>
              </c:strCache>
            </c:strRef>
          </c:tx>
          <c:spPr>
            <a:ln w="19050" cap="rnd">
              <a:solidFill>
                <a:schemeClr val="accent4"/>
              </a:solidFill>
              <a:round/>
            </a:ln>
            <a:effectLst/>
          </c:spPr>
          <c:marker>
            <c:symbol val="none"/>
          </c:marker>
          <c:xVal>
            <c:numRef>
              <c:f>Graphs!$C$36:$G$36</c:f>
              <c:numCache>
                <c:formatCode>General</c:formatCode>
                <c:ptCount val="5"/>
                <c:pt idx="0">
                  <c:v>0</c:v>
                </c:pt>
                <c:pt idx="2">
                  <c:v>2030</c:v>
                </c:pt>
                <c:pt idx="3">
                  <c:v>2040</c:v>
                </c:pt>
                <c:pt idx="4">
                  <c:v>2050</c:v>
                </c:pt>
              </c:numCache>
            </c:numRef>
          </c:xVal>
          <c:yVal>
            <c:numRef>
              <c:f>Graphs!$C$40:$G$40</c:f>
              <c:numCache>
                <c:formatCode>0.00</c:formatCode>
                <c:ptCount val="5"/>
                <c:pt idx="0">
                  <c:v>#N/A</c:v>
                </c:pt>
                <c:pt idx="2">
                  <c:v>#N/A</c:v>
                </c:pt>
                <c:pt idx="3">
                  <c:v>#N/A</c:v>
                </c:pt>
                <c:pt idx="4">
                  <c:v>#N/A</c:v>
                </c:pt>
              </c:numCache>
            </c:numRef>
          </c:yVal>
          <c:smooth val="1"/>
          <c:extLst>
            <c:ext xmlns:c16="http://schemas.microsoft.com/office/drawing/2014/chart" uri="{C3380CC4-5D6E-409C-BE32-E72D297353CC}">
              <c16:uniqueId val="{00000003-F501-4EE7-B95D-B1478BF343AA}"/>
            </c:ext>
          </c:extLst>
        </c:ser>
        <c:dLbls>
          <c:showLegendKey val="0"/>
          <c:showVal val="0"/>
          <c:showCatName val="0"/>
          <c:showSerName val="0"/>
          <c:showPercent val="0"/>
          <c:showBubbleSize val="0"/>
        </c:dLbls>
        <c:axId val="346962256"/>
        <c:axId val="347012144"/>
      </c:scatterChart>
      <c:valAx>
        <c:axId val="346962256"/>
        <c:scaling>
          <c:orientation val="minMax"/>
          <c:max val="2050"/>
          <c:min val="20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7012144"/>
        <c:crosses val="autoZero"/>
        <c:crossBetween val="midCat"/>
        <c:majorUnit val="10"/>
      </c:valAx>
      <c:valAx>
        <c:axId val="347012144"/>
        <c:scaling>
          <c:orientation val="minMax"/>
        </c:scaling>
        <c:delete val="0"/>
        <c:axPos val="l"/>
        <c:majorGridlines>
          <c:spPr>
            <a:ln w="9525" cap="flat" cmpd="sng" algn="ctr">
              <a:solidFill>
                <a:schemeClr val="tx1">
                  <a:lumMod val="15000"/>
                  <a:lumOff val="85000"/>
                </a:schemeClr>
              </a:solidFill>
              <a:round/>
            </a:ln>
            <a:effectLst/>
          </c:spPr>
        </c:majorGridlines>
        <c:title>
          <c:tx>
            <c:strRef>
              <c:f>Tool!$D$63</c:f>
              <c:strCache>
                <c:ptCount val="1"/>
                <c:pt idx="0">
                  <c:v>Select a transport mode / category</c:v>
                </c:pt>
              </c:strCache>
            </c:strRef>
          </c:tx>
          <c:layout>
            <c:manualLayout>
              <c:xMode val="edge"/>
              <c:yMode val="edge"/>
              <c:x val="9.2328625348904059E-3"/>
              <c:y val="0.4143464959319454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6962256"/>
        <c:crosses val="autoZero"/>
        <c:crossBetween val="midCat"/>
      </c:valAx>
      <c:spPr>
        <a:noFill/>
        <a:ln>
          <a:noFill/>
        </a:ln>
        <a:effectLst/>
      </c:spPr>
    </c:plotArea>
    <c:legend>
      <c:legendPos val="b"/>
      <c:legendEntry>
        <c:idx val="0"/>
        <c:delete val="1"/>
      </c:legendEntry>
      <c:layout>
        <c:manualLayout>
          <c:xMode val="edge"/>
          <c:yMode val="edge"/>
          <c:x val="0.15688889841616904"/>
          <c:y val="0.94051233312404514"/>
          <c:w val="0.7558198658341484"/>
          <c:h val="5.28438815086981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span"/>
    <c:showDLblsOverMax val="0"/>
  </c:chart>
  <c:spPr>
    <a:solidFill>
      <a:schemeClr val="bg1"/>
    </a:solidFill>
    <a:ln w="9525" cap="flat" cmpd="sng" algn="ctr">
      <a:solidFill>
        <a:schemeClr val="bg1">
          <a:lumMod val="50000"/>
        </a:schemeClr>
      </a:solid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Graphs!$B$25</c:f>
          <c:strCache>
            <c:ptCount val="1"/>
            <c:pt idx="0">
              <c:v>#N/A</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lineChart>
        <c:grouping val="standard"/>
        <c:varyColors val="0"/>
        <c:ser>
          <c:idx val="0"/>
          <c:order val="0"/>
          <c:tx>
            <c:strRef>
              <c:f>Graphs!$B$27</c:f>
              <c:strCache>
                <c:ptCount val="1"/>
                <c:pt idx="0">
                  <c:v>Company WTW emissions</c:v>
                </c:pt>
              </c:strCache>
            </c:strRef>
          </c:tx>
          <c:spPr>
            <a:ln w="28575" cap="rnd">
              <a:solidFill>
                <a:srgbClr val="333F50"/>
              </a:solidFill>
              <a:round/>
            </a:ln>
            <a:effectLst/>
          </c:spPr>
          <c:marker>
            <c:symbol val="none"/>
          </c:marker>
          <c:cat>
            <c:numRef>
              <c:extLst>
                <c:ext xmlns:c15="http://schemas.microsoft.com/office/drawing/2012/chart" uri="{02D57815-91ED-43cb-92C2-25804820EDAC}">
                  <c15:fullRef>
                    <c15:sqref>Graphs!$C$26:$G$26</c15:sqref>
                  </c15:fullRef>
                </c:ext>
              </c:extLst>
              <c:f>(Graphs!$C$26,Graphs!$E$26:$G$26)</c:f>
              <c:numCache>
                <c:formatCode>General</c:formatCode>
                <c:ptCount val="4"/>
                <c:pt idx="0">
                  <c:v>0</c:v>
                </c:pt>
                <c:pt idx="1">
                  <c:v>2030</c:v>
                </c:pt>
                <c:pt idx="2">
                  <c:v>2040</c:v>
                </c:pt>
                <c:pt idx="3">
                  <c:v>2050</c:v>
                </c:pt>
              </c:numCache>
            </c:numRef>
          </c:cat>
          <c:val>
            <c:numRef>
              <c:extLst>
                <c:ext xmlns:c15="http://schemas.microsoft.com/office/drawing/2012/chart" uri="{02D57815-91ED-43cb-92C2-25804820EDAC}">
                  <c15:fullRef>
                    <c15:sqref>Graphs!$C$27:$G$27</c15:sqref>
                  </c15:fullRef>
                </c:ext>
              </c:extLst>
              <c:f>(Graphs!$C$27,Graphs!$E$27:$G$27)</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C79F-417A-A620-1BDC75D0AB27}"/>
            </c:ext>
          </c:extLst>
        </c:ser>
        <c:ser>
          <c:idx val="3"/>
          <c:order val="2"/>
          <c:tx>
            <c:strRef>
              <c:f>Graphs!$B$31</c:f>
              <c:strCache>
                <c:ptCount val="1"/>
                <c:pt idx="0">
                  <c:v>Sector WTT emissions (Indexed)</c:v>
                </c:pt>
              </c:strCache>
            </c:strRef>
          </c:tx>
          <c:spPr>
            <a:ln w="19050" cap="rnd">
              <a:solidFill>
                <a:schemeClr val="bg1">
                  <a:lumMod val="75000"/>
                </a:schemeClr>
              </a:solidFill>
              <a:prstDash val="sysDot"/>
              <a:round/>
            </a:ln>
            <a:effectLst/>
          </c:spPr>
          <c:marker>
            <c:symbol val="none"/>
          </c:marker>
          <c:cat>
            <c:numRef>
              <c:extLst>
                <c:ext xmlns:c15="http://schemas.microsoft.com/office/drawing/2012/chart" uri="{02D57815-91ED-43cb-92C2-25804820EDAC}">
                  <c15:fullRef>
                    <c15:sqref>Graphs!$C$26:$G$26</c15:sqref>
                  </c15:fullRef>
                </c:ext>
              </c:extLst>
              <c:f>(Graphs!$C$26,Graphs!$E$26:$G$26)</c:f>
              <c:numCache>
                <c:formatCode>General</c:formatCode>
                <c:ptCount val="4"/>
                <c:pt idx="0">
                  <c:v>0</c:v>
                </c:pt>
                <c:pt idx="1">
                  <c:v>2030</c:v>
                </c:pt>
                <c:pt idx="2">
                  <c:v>2040</c:v>
                </c:pt>
                <c:pt idx="3">
                  <c:v>2050</c:v>
                </c:pt>
              </c:numCache>
            </c:numRef>
          </c:cat>
          <c:val>
            <c:numRef>
              <c:extLst>
                <c:ext xmlns:c15="http://schemas.microsoft.com/office/drawing/2012/chart" uri="{02D57815-91ED-43cb-92C2-25804820EDAC}">
                  <c15:fullRef>
                    <c15:sqref>Graphs!$C$31:$G$31</c15:sqref>
                  </c15:fullRef>
                </c:ext>
              </c:extLst>
              <c:f>(Graphs!$C$31,Graphs!$E$31:$G$31)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2-C79F-417A-A620-1BDC75D0AB27}"/>
            </c:ext>
          </c:extLst>
        </c:ser>
        <c:ser>
          <c:idx val="1"/>
          <c:order val="3"/>
          <c:tx>
            <c:strRef>
              <c:f>Graphs!$B$32</c:f>
              <c:strCache>
                <c:ptCount val="1"/>
                <c:pt idx="0">
                  <c:v>Sector TTW emissions (Indexed)</c:v>
                </c:pt>
              </c:strCache>
            </c:strRef>
          </c:tx>
          <c:spPr>
            <a:ln w="19050" cap="rnd">
              <a:solidFill>
                <a:schemeClr val="accent2"/>
              </a:solidFill>
              <a:prstDash val="sysDot"/>
              <a:round/>
            </a:ln>
            <a:effectLst/>
          </c:spPr>
          <c:marker>
            <c:symbol val="none"/>
          </c:marker>
          <c:cat>
            <c:numRef>
              <c:extLst>
                <c:ext xmlns:c15="http://schemas.microsoft.com/office/drawing/2012/chart" uri="{02D57815-91ED-43cb-92C2-25804820EDAC}">
                  <c15:fullRef>
                    <c15:sqref>Graphs!$C$26:$G$26</c15:sqref>
                  </c15:fullRef>
                </c:ext>
              </c:extLst>
              <c:f>(Graphs!$C$26,Graphs!$E$26:$G$26)</c:f>
              <c:numCache>
                <c:formatCode>General</c:formatCode>
                <c:ptCount val="4"/>
                <c:pt idx="0">
                  <c:v>0</c:v>
                </c:pt>
                <c:pt idx="1">
                  <c:v>2030</c:v>
                </c:pt>
                <c:pt idx="2">
                  <c:v>2040</c:v>
                </c:pt>
                <c:pt idx="3">
                  <c:v>2050</c:v>
                </c:pt>
              </c:numCache>
            </c:numRef>
          </c:cat>
          <c:val>
            <c:numRef>
              <c:extLst>
                <c:ext xmlns:c15="http://schemas.microsoft.com/office/drawing/2012/chart" uri="{02D57815-91ED-43cb-92C2-25804820EDAC}">
                  <c15:fullRef>
                    <c15:sqref>Graphs!$C$32:$G$32</c15:sqref>
                  </c15:fullRef>
                </c:ext>
              </c:extLst>
              <c:f>(Graphs!$C$32,Graphs!$E$32:$G$32)</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3-C79F-417A-A620-1BDC75D0AB27}"/>
            </c:ext>
          </c:extLst>
        </c:ser>
        <c:dLbls>
          <c:showLegendKey val="0"/>
          <c:showVal val="0"/>
          <c:showCatName val="0"/>
          <c:showSerName val="0"/>
          <c:showPercent val="0"/>
          <c:showBubbleSize val="0"/>
        </c:dLbls>
        <c:marker val="1"/>
        <c:smooth val="0"/>
        <c:axId val="347090528"/>
        <c:axId val="347091088"/>
      </c:lineChart>
      <c:lineChart>
        <c:grouping val="standard"/>
        <c:varyColors val="0"/>
        <c:ser>
          <c:idx val="2"/>
          <c:order val="1"/>
          <c:tx>
            <c:strRef>
              <c:f>Graphs!$B$30</c:f>
              <c:strCache>
                <c:ptCount val="1"/>
                <c:pt idx="0">
                  <c:v>Sector WTW emissions (Indexed)</c:v>
                </c:pt>
              </c:strCache>
            </c:strRef>
          </c:tx>
          <c:spPr>
            <a:ln w="28575" cap="rnd">
              <a:solidFill>
                <a:schemeClr val="accent4"/>
              </a:solidFill>
              <a:prstDash val="sysDot"/>
              <a:round/>
            </a:ln>
            <a:effectLst/>
          </c:spPr>
          <c:marker>
            <c:symbol val="none"/>
          </c:marker>
          <c:cat>
            <c:numRef>
              <c:extLst>
                <c:ext xmlns:c15="http://schemas.microsoft.com/office/drawing/2012/chart" uri="{02D57815-91ED-43cb-92C2-25804820EDAC}">
                  <c15:fullRef>
                    <c15:sqref>Graphs!$C$6:$G$6</c15:sqref>
                  </c15:fullRef>
                </c:ext>
              </c:extLst>
              <c:f>(Graphs!$C$6,Graphs!$E$6:$G$6)</c:f>
              <c:numCache>
                <c:formatCode>General</c:formatCode>
                <c:ptCount val="4"/>
                <c:pt idx="0">
                  <c:v>0</c:v>
                </c:pt>
                <c:pt idx="1">
                  <c:v>2030</c:v>
                </c:pt>
                <c:pt idx="2">
                  <c:v>2040</c:v>
                </c:pt>
                <c:pt idx="3">
                  <c:v>2050</c:v>
                </c:pt>
              </c:numCache>
            </c:numRef>
          </c:cat>
          <c:val>
            <c:numRef>
              <c:extLst>
                <c:ext xmlns:c15="http://schemas.microsoft.com/office/drawing/2012/chart" uri="{02D57815-91ED-43cb-92C2-25804820EDAC}">
                  <c15:fullRef>
                    <c15:sqref>Graphs!$C$30:$G$30</c15:sqref>
                  </c15:fullRef>
                </c:ext>
              </c:extLst>
              <c:f>(Graphs!$C$30,Graphs!$E$30:$G$30)</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1-C79F-417A-A620-1BDC75D0AB27}"/>
            </c:ext>
          </c:extLst>
        </c:ser>
        <c:dLbls>
          <c:showLegendKey val="0"/>
          <c:showVal val="0"/>
          <c:showCatName val="0"/>
          <c:showSerName val="0"/>
          <c:showPercent val="0"/>
          <c:showBubbleSize val="0"/>
        </c:dLbls>
        <c:marker val="1"/>
        <c:smooth val="0"/>
        <c:axId val="347092208"/>
        <c:axId val="347091648"/>
      </c:lineChart>
      <c:catAx>
        <c:axId val="347090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7091088"/>
        <c:crosses val="autoZero"/>
        <c:auto val="1"/>
        <c:lblAlgn val="ctr"/>
        <c:lblOffset val="100"/>
        <c:noMultiLvlLbl val="1"/>
      </c:catAx>
      <c:valAx>
        <c:axId val="347091088"/>
        <c:scaling>
          <c:orientation val="minMax"/>
        </c:scaling>
        <c:delete val="0"/>
        <c:axPos val="l"/>
        <c:majorGridlines>
          <c:spPr>
            <a:ln w="9525" cap="flat" cmpd="sng" algn="ctr">
              <a:solidFill>
                <a:schemeClr val="tx1">
                  <a:lumMod val="15000"/>
                  <a:lumOff val="85000"/>
                </a:schemeClr>
              </a:solidFill>
              <a:round/>
            </a:ln>
            <a:effectLst/>
          </c:spPr>
        </c:majorGridlines>
        <c:title>
          <c:tx>
            <c:strRef>
              <c:f>Tool!$D$44</c:f>
              <c:strCache>
                <c:ptCount val="1"/>
                <c:pt idx="0">
                  <c:v>Metric tonnes of CO2 eq.</c:v>
                </c:pt>
              </c:strCache>
            </c:strRef>
          </c:tx>
          <c:layout>
            <c:manualLayout>
              <c:xMode val="edge"/>
              <c:yMode val="edge"/>
              <c:x val="1.1081634943675416E-2"/>
              <c:y val="0.31492163832361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7090528"/>
        <c:crosses val="autoZero"/>
        <c:crossBetween val="between"/>
      </c:valAx>
      <c:valAx>
        <c:axId val="347091648"/>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347092208"/>
        <c:crosses val="max"/>
        <c:crossBetween val="between"/>
      </c:valAx>
      <c:catAx>
        <c:axId val="347092208"/>
        <c:scaling>
          <c:orientation val="minMax"/>
        </c:scaling>
        <c:delete val="1"/>
        <c:axPos val="b"/>
        <c:numFmt formatCode="General" sourceLinked="1"/>
        <c:majorTickMark val="out"/>
        <c:minorTickMark val="none"/>
        <c:tickLblPos val="nextTo"/>
        <c:crossAx val="347091648"/>
        <c:crosses val="autoZero"/>
        <c:auto val="1"/>
        <c:lblAlgn val="ctr"/>
        <c:lblOffset val="100"/>
        <c:noMultiLvlLbl val="0"/>
      </c:catAx>
      <c:spPr>
        <a:noFill/>
        <a:ln>
          <a:noFill/>
        </a:ln>
        <a:effectLst/>
      </c:spPr>
    </c:plotArea>
    <c:legend>
      <c:legendPos val="b"/>
      <c:legendEntry>
        <c:idx val="1"/>
        <c:delete val="1"/>
      </c:legendEntry>
      <c:legendEntry>
        <c:idx val="2"/>
        <c:delete val="1"/>
      </c:legendEntry>
      <c:layout>
        <c:manualLayout>
          <c:xMode val="edge"/>
          <c:yMode val="edge"/>
          <c:x val="6.2598528533805153E-2"/>
          <c:y val="0.8675966038348617"/>
          <c:w val="0.88753411421965545"/>
          <c:h val="0.109204221553775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5.jpe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2</xdr:row>
      <xdr:rowOff>38099</xdr:rowOff>
    </xdr:from>
    <xdr:to>
      <xdr:col>7</xdr:col>
      <xdr:colOff>200026</xdr:colOff>
      <xdr:row>26</xdr:row>
      <xdr:rowOff>22568</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20313" r="23426"/>
        <a:stretch/>
      </xdr:blipFill>
      <xdr:spPr>
        <a:xfrm>
          <a:off x="828676" y="419099"/>
          <a:ext cx="4705350" cy="4556469"/>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191861</xdr:rowOff>
    </xdr:from>
    <xdr:to>
      <xdr:col>15</xdr:col>
      <xdr:colOff>47155</xdr:colOff>
      <xdr:row>6</xdr:row>
      <xdr:rowOff>135738</xdr:rowOff>
    </xdr:to>
    <xdr:pic>
      <xdr:nvPicPr>
        <xdr:cNvPr id="3" name="Imagen 4" descr="placa-cdp-ggp-wwf_v2.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0786" y="191861"/>
          <a:ext cx="5040976" cy="1168520"/>
        </a:xfrm>
        <a:prstGeom prst="rect">
          <a:avLst/>
        </a:prstGeom>
        <a:ln>
          <a:noFill/>
        </a:ln>
      </xdr:spPr>
    </xdr:pic>
    <xdr:clientData/>
  </xdr:twoCellAnchor>
  <xdr:twoCellAnchor editAs="oneCell">
    <xdr:from>
      <xdr:col>1</xdr:col>
      <xdr:colOff>42182</xdr:colOff>
      <xdr:row>0</xdr:row>
      <xdr:rowOff>110218</xdr:rowOff>
    </xdr:from>
    <xdr:to>
      <xdr:col>4</xdr:col>
      <xdr:colOff>367392</xdr:colOff>
      <xdr:row>6</xdr:row>
      <xdr:rowOff>144566</xdr:rowOff>
    </xdr:to>
    <xdr:pic>
      <xdr:nvPicPr>
        <xdr:cNvPr id="4" name="Imagen 3" descr="Science_Based_Targets_-_Logo_Colour.jp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682" y="110218"/>
          <a:ext cx="2815317" cy="1258991"/>
        </a:xfrm>
        <a:prstGeom prst="rect">
          <a:avLst/>
        </a:prstGeom>
      </xdr:spPr>
    </xdr:pic>
    <xdr:clientData/>
  </xdr:twoCellAnchor>
  <xdr:twoCellAnchor editAs="oneCell">
    <xdr:from>
      <xdr:col>1</xdr:col>
      <xdr:colOff>13608</xdr:colOff>
      <xdr:row>7</xdr:row>
      <xdr:rowOff>81642</xdr:rowOff>
    </xdr:from>
    <xdr:to>
      <xdr:col>15</xdr:col>
      <xdr:colOff>54429</xdr:colOff>
      <xdr:row>23</xdr:row>
      <xdr:rowOff>32860</xdr:rowOff>
    </xdr:to>
    <xdr:pic>
      <xdr:nvPicPr>
        <xdr:cNvPr id="5" name="Imagen 4">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6620" b="18067"/>
        <a:stretch/>
      </xdr:blipFill>
      <xdr:spPr>
        <a:xfrm>
          <a:off x="204108" y="1510392"/>
          <a:ext cx="11674928" cy="32169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19612</xdr:colOff>
      <xdr:row>1</xdr:row>
      <xdr:rowOff>40342</xdr:rowOff>
    </xdr:from>
    <xdr:ext cx="2675963" cy="1205835"/>
    <xdr:pic>
      <xdr:nvPicPr>
        <xdr:cNvPr id="2" name="Imagen 9" descr="Science_Based_Targets_-_Logo_Colour.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987" y="287992"/>
          <a:ext cx="2675963" cy="1205835"/>
        </a:xfrm>
        <a:prstGeom prst="rect">
          <a:avLst/>
        </a:prstGeom>
      </xdr:spPr>
    </xdr:pic>
    <xdr:clientData/>
  </xdr:oneCellAnchor>
  <xdr:twoCellAnchor>
    <xdr:from>
      <xdr:col>0</xdr:col>
      <xdr:colOff>324973</xdr:colOff>
      <xdr:row>50</xdr:row>
      <xdr:rowOff>22413</xdr:rowOff>
    </xdr:from>
    <xdr:to>
      <xdr:col>4</xdr:col>
      <xdr:colOff>56029</xdr:colOff>
      <xdr:row>50</xdr:row>
      <xdr:rowOff>3854451</xdr:rowOff>
    </xdr:to>
    <xdr:graphicFrame macro="">
      <xdr:nvGraphicFramePr>
        <xdr:cNvPr id="8" name="Gráfico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207869</xdr:colOff>
      <xdr:row>50</xdr:row>
      <xdr:rowOff>26894</xdr:rowOff>
    </xdr:from>
    <xdr:to>
      <xdr:col>8</xdr:col>
      <xdr:colOff>798976</xdr:colOff>
      <xdr:row>51</xdr:row>
      <xdr:rowOff>0</xdr:rowOff>
    </xdr:to>
    <xdr:graphicFrame macro="">
      <xdr:nvGraphicFramePr>
        <xdr:cNvPr id="7" name="Gráfico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409572</xdr:colOff>
      <xdr:row>68</xdr:row>
      <xdr:rowOff>40341</xdr:rowOff>
    </xdr:from>
    <xdr:to>
      <xdr:col>8</xdr:col>
      <xdr:colOff>1000679</xdr:colOff>
      <xdr:row>68</xdr:row>
      <xdr:rowOff>3873500</xdr:rowOff>
    </xdr:to>
    <xdr:graphicFrame macro="">
      <xdr:nvGraphicFramePr>
        <xdr:cNvPr id="11" name="Gráfico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190498</xdr:colOff>
      <xdr:row>68</xdr:row>
      <xdr:rowOff>44025</xdr:rowOff>
    </xdr:from>
    <xdr:to>
      <xdr:col>4</xdr:col>
      <xdr:colOff>257730</xdr:colOff>
      <xdr:row>68</xdr:row>
      <xdr:rowOff>3874463</xdr:rowOff>
    </xdr:to>
    <xdr:graphicFrame macro="">
      <xdr:nvGraphicFramePr>
        <xdr:cNvPr id="12" name="Gráfico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o%20Rangel/Google%20Drive/SBTi/SBTi%20-%20Core%20team/Technical%20Team/Target%20Validation%20Process/Internal/Target%20Validation%20Protocol/Simple%20tool%20development/SIMPLE%20Tool%20v0.93_different_interfac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Front-end"/>
      <sheetName val="Front-end. Target Setting"/>
      <sheetName val="Back-end. Calculations"/>
      <sheetName val="Back-end. Data 2DS"/>
      <sheetName val="Back-end. Calculations B2DS"/>
      <sheetName val="Back-end. Data"/>
      <sheetName val="Back-end. Calculations 2DS"/>
      <sheetName val="Back-end. Data B2DS"/>
      <sheetName val="Back-end. Catalogues"/>
      <sheetName val="Back-end. functions"/>
      <sheetName val="Checks"/>
    </sheetNames>
    <sheetDataSet>
      <sheetData sheetId="0" refreshError="1"/>
      <sheetData sheetId="1" refreshError="1"/>
      <sheetData sheetId="2">
        <row r="13">
          <cell r="B13" t="str">
            <v>Absolute contraction method (Instensity target)</v>
          </cell>
        </row>
        <row r="14">
          <cell r="C14">
            <v>2016</v>
          </cell>
        </row>
        <row r="15">
          <cell r="C15">
            <v>2025</v>
          </cell>
        </row>
        <row r="16">
          <cell r="C16">
            <v>0.2</v>
          </cell>
        </row>
        <row r="17">
          <cell r="B17" t="str">
            <v>Cement</v>
          </cell>
        </row>
        <row r="18">
          <cell r="C18">
            <v>12000</v>
          </cell>
        </row>
        <row r="19">
          <cell r="C19">
            <v>19000</v>
          </cell>
        </row>
        <row r="20">
          <cell r="C20">
            <v>35000</v>
          </cell>
        </row>
        <row r="21">
          <cell r="C21">
            <v>20000</v>
          </cell>
        </row>
        <row r="22">
          <cell r="C22">
            <v>1.2E-2</v>
          </cell>
        </row>
        <row r="23">
          <cell r="C23">
            <v>0.12781999999999999</v>
          </cell>
        </row>
        <row r="24">
          <cell r="C24">
            <v>2016</v>
          </cell>
        </row>
      </sheetData>
      <sheetData sheetId="3">
        <row r="17">
          <cell r="O17">
            <v>3</v>
          </cell>
        </row>
      </sheetData>
      <sheetData sheetId="4">
        <row r="21">
          <cell r="E21">
            <v>34131.387496009396</v>
          </cell>
        </row>
        <row r="26">
          <cell r="D26">
            <v>2.9166666666666665</v>
          </cell>
          <cell r="E26">
            <v>1.7963888155794421</v>
          </cell>
        </row>
        <row r="37">
          <cell r="E37">
            <v>13767.052400605771</v>
          </cell>
        </row>
        <row r="42">
          <cell r="D42">
            <v>1.6666666666666667</v>
          </cell>
          <cell r="E42">
            <v>0.72458170529504062</v>
          </cell>
        </row>
      </sheetData>
      <sheetData sheetId="5">
        <row r="2">
          <cell r="A2" t="str">
            <v>Code</v>
          </cell>
          <cell r="B2" t="str">
            <v>Sector</v>
          </cell>
          <cell r="C2">
            <v>2010</v>
          </cell>
          <cell r="D2">
            <v>2011</v>
          </cell>
          <cell r="E2">
            <v>2012</v>
          </cell>
          <cell r="F2">
            <v>2013</v>
          </cell>
          <cell r="G2">
            <v>2014</v>
          </cell>
          <cell r="H2">
            <v>2015</v>
          </cell>
          <cell r="I2">
            <v>2016</v>
          </cell>
          <cell r="J2">
            <v>2017</v>
          </cell>
          <cell r="K2">
            <v>2018</v>
          </cell>
          <cell r="L2">
            <v>2019</v>
          </cell>
          <cell r="M2">
            <v>2020</v>
          </cell>
          <cell r="N2">
            <v>2021</v>
          </cell>
          <cell r="O2">
            <v>2022</v>
          </cell>
          <cell r="P2">
            <v>2023</v>
          </cell>
          <cell r="Q2">
            <v>2024</v>
          </cell>
          <cell r="R2">
            <v>2025</v>
          </cell>
          <cell r="S2">
            <v>2026</v>
          </cell>
          <cell r="T2">
            <v>2027</v>
          </cell>
          <cell r="U2">
            <v>2028</v>
          </cell>
          <cell r="V2">
            <v>2029</v>
          </cell>
          <cell r="W2">
            <v>2030</v>
          </cell>
          <cell r="X2">
            <v>2031</v>
          </cell>
          <cell r="Y2">
            <v>2032</v>
          </cell>
          <cell r="Z2">
            <v>2033</v>
          </cell>
          <cell r="AA2">
            <v>2034</v>
          </cell>
          <cell r="AB2">
            <v>2035</v>
          </cell>
          <cell r="AC2">
            <v>2036</v>
          </cell>
          <cell r="AD2">
            <v>2037</v>
          </cell>
          <cell r="AE2">
            <v>2038</v>
          </cell>
          <cell r="AF2">
            <v>2039</v>
          </cell>
          <cell r="AG2">
            <v>2040</v>
          </cell>
          <cell r="AH2">
            <v>2041</v>
          </cell>
          <cell r="AI2">
            <v>2042</v>
          </cell>
          <cell r="AJ2">
            <v>2043</v>
          </cell>
          <cell r="AK2">
            <v>2044</v>
          </cell>
          <cell r="AL2">
            <v>2045</v>
          </cell>
          <cell r="AM2">
            <v>2046</v>
          </cell>
          <cell r="AN2">
            <v>2047</v>
          </cell>
          <cell r="AO2">
            <v>2048</v>
          </cell>
          <cell r="AP2">
            <v>2049</v>
          </cell>
          <cell r="AQ2">
            <v>2050</v>
          </cell>
          <cell r="AR2">
            <v>2051</v>
          </cell>
          <cell r="AS2">
            <v>2052</v>
          </cell>
          <cell r="AT2">
            <v>2053</v>
          </cell>
          <cell r="AU2">
            <v>2054</v>
          </cell>
          <cell r="AV2">
            <v>2055</v>
          </cell>
          <cell r="AW2">
            <v>2056</v>
          </cell>
          <cell r="AX2">
            <v>2057</v>
          </cell>
          <cell r="AY2">
            <v>2058</v>
          </cell>
          <cell r="AZ2">
            <v>2059</v>
          </cell>
          <cell r="BA2">
            <v>2060</v>
          </cell>
        </row>
        <row r="3">
          <cell r="A3">
            <v>1</v>
          </cell>
          <cell r="B3" t="str">
            <v>Power Generation</v>
          </cell>
          <cell r="C3">
            <v>12773.014883999997</v>
          </cell>
          <cell r="D3">
            <v>13067.914576999998</v>
          </cell>
          <cell r="E3">
            <v>13358.541172000003</v>
          </cell>
          <cell r="F3">
            <v>13655.577414000001</v>
          </cell>
          <cell r="G3">
            <v>13625.004647</v>
          </cell>
          <cell r="H3">
            <v>13334.836622828485</v>
          </cell>
          <cell r="I3">
            <v>13044.66859865697</v>
          </cell>
          <cell r="J3">
            <v>12754.500574485455</v>
          </cell>
          <cell r="K3">
            <v>12464.33255031394</v>
          </cell>
          <cell r="L3">
            <v>12174.164526142426</v>
          </cell>
          <cell r="M3">
            <v>11883.996501970911</v>
          </cell>
          <cell r="N3">
            <v>11593.828477799396</v>
          </cell>
          <cell r="O3">
            <v>11303.660453627881</v>
          </cell>
          <cell r="P3">
            <v>11013.492429456366</v>
          </cell>
          <cell r="Q3">
            <v>10723.324405284851</v>
          </cell>
          <cell r="R3">
            <v>10433.156381113333</v>
          </cell>
          <cell r="S3">
            <v>9888.5212301504798</v>
          </cell>
          <cell r="T3">
            <v>9343.8860791875049</v>
          </cell>
          <cell r="U3">
            <v>8799.2509282245301</v>
          </cell>
          <cell r="V3">
            <v>8254.6157772615552</v>
          </cell>
          <cell r="W3">
            <v>7709.9806262986931</v>
          </cell>
          <cell r="X3">
            <v>7190.5661964199971</v>
          </cell>
          <cell r="Y3">
            <v>6671.151766541414</v>
          </cell>
          <cell r="Z3">
            <v>6151.7373366628308</v>
          </cell>
          <cell r="AA3">
            <v>5632.3229067842476</v>
          </cell>
          <cell r="AB3">
            <v>5112.9084769059173</v>
          </cell>
          <cell r="AC3">
            <v>4798.7904577964218</v>
          </cell>
          <cell r="AD3">
            <v>4484.6724386869464</v>
          </cell>
          <cell r="AE3">
            <v>4170.554419577471</v>
          </cell>
          <cell r="AF3">
            <v>3856.4364004678791</v>
          </cell>
          <cell r="AG3">
            <v>3542.3183813584469</v>
          </cell>
          <cell r="AH3">
            <v>3273.588192584808</v>
          </cell>
          <cell r="AI3">
            <v>3004.8580038110958</v>
          </cell>
          <cell r="AJ3">
            <v>2736.1278150375001</v>
          </cell>
          <cell r="AK3">
            <v>2467.397626263788</v>
          </cell>
          <cell r="AL3">
            <v>2198.6674374902559</v>
          </cell>
          <cell r="AM3">
            <v>2069.4862810857594</v>
          </cell>
          <cell r="AN3">
            <v>1940.3051246812684</v>
          </cell>
          <cell r="AO3">
            <v>1811.1239682767773</v>
          </cell>
          <cell r="AP3">
            <v>1681.9428118722863</v>
          </cell>
          <cell r="AQ3">
            <v>1552.7616554677954</v>
          </cell>
          <cell r="AR3">
            <v>1401.8720322333393</v>
          </cell>
          <cell r="AS3">
            <v>1250.9824089988833</v>
          </cell>
          <cell r="AT3">
            <v>1100.0927857644856</v>
          </cell>
          <cell r="AU3">
            <v>949.20316253002966</v>
          </cell>
          <cell r="AV3">
            <v>798.31353929562283</v>
          </cell>
          <cell r="AW3">
            <v>664.31225291761803</v>
          </cell>
          <cell r="AX3">
            <v>530.31096653960412</v>
          </cell>
          <cell r="AY3">
            <v>396.30968016159022</v>
          </cell>
          <cell r="AZ3">
            <v>262.30839378357632</v>
          </cell>
          <cell r="BA3">
            <v>128.30710740554093</v>
          </cell>
        </row>
        <row r="4">
          <cell r="A4">
            <v>2</v>
          </cell>
          <cell r="B4" t="str">
            <v>Iron &amp; Steel Industry</v>
          </cell>
          <cell r="C4">
            <v>2959.7096328471739</v>
          </cell>
          <cell r="D4">
            <v>2990.5249707660996</v>
          </cell>
          <cell r="E4">
            <v>2551.7153761458931</v>
          </cell>
          <cell r="F4">
            <v>2817.3431803343847</v>
          </cell>
          <cell r="G4">
            <v>2338.4101620461929</v>
          </cell>
          <cell r="H4">
            <v>2317.0409244004591</v>
          </cell>
          <cell r="I4">
            <v>2295.6716867547252</v>
          </cell>
          <cell r="J4">
            <v>2274.3024491089914</v>
          </cell>
          <cell r="K4">
            <v>2252.9332114632575</v>
          </cell>
          <cell r="L4">
            <v>2231.5639738175237</v>
          </cell>
          <cell r="M4">
            <v>2210.1947361717898</v>
          </cell>
          <cell r="N4">
            <v>2188.825498526056</v>
          </cell>
          <cell r="O4">
            <v>2167.4562608803221</v>
          </cell>
          <cell r="P4">
            <v>2146.0870232345883</v>
          </cell>
          <cell r="Q4">
            <v>2124.7177855888544</v>
          </cell>
          <cell r="R4">
            <v>2103.348547943121</v>
          </cell>
          <cell r="S4">
            <v>2057.0229695537591</v>
          </cell>
          <cell r="T4">
            <v>2010.6973911643972</v>
          </cell>
          <cell r="U4">
            <v>1964.3718127750353</v>
          </cell>
          <cell r="V4">
            <v>1918.0462343856734</v>
          </cell>
          <cell r="W4">
            <v>1871.720655996312</v>
          </cell>
          <cell r="X4">
            <v>1842.4600563783786</v>
          </cell>
          <cell r="Y4">
            <v>1813.1994567604452</v>
          </cell>
          <cell r="Z4">
            <v>1783.9388571425118</v>
          </cell>
          <cell r="AA4">
            <v>1754.6782575245784</v>
          </cell>
          <cell r="AB4">
            <v>1725.4176579066448</v>
          </cell>
          <cell r="AC4">
            <v>1690.6341899396771</v>
          </cell>
          <cell r="AD4">
            <v>1655.8507219727094</v>
          </cell>
          <cell r="AE4">
            <v>1621.0672540057417</v>
          </cell>
          <cell r="AF4">
            <v>1586.283786038774</v>
          </cell>
          <cell r="AG4">
            <v>1551.5003180718063</v>
          </cell>
          <cell r="AH4">
            <v>1512.6743894283272</v>
          </cell>
          <cell r="AI4">
            <v>1473.8484607848482</v>
          </cell>
          <cell r="AJ4">
            <v>1435.0225321413691</v>
          </cell>
          <cell r="AK4">
            <v>1396.19660349789</v>
          </cell>
          <cell r="AL4">
            <v>1357.3706748544105</v>
          </cell>
          <cell r="AM4">
            <v>1347.0332723953841</v>
          </cell>
          <cell r="AN4">
            <v>1336.6958699363577</v>
          </cell>
          <cell r="AO4">
            <v>1326.3584674773313</v>
          </cell>
          <cell r="AP4">
            <v>1316.0210650183049</v>
          </cell>
          <cell r="AQ4">
            <v>1305.6836625592784</v>
          </cell>
          <cell r="AR4">
            <v>1302.438321388277</v>
          </cell>
          <cell r="AS4">
            <v>1299.1929802172756</v>
          </cell>
          <cell r="AT4">
            <v>1295.9476390462742</v>
          </cell>
          <cell r="AU4">
            <v>1292.7022978752727</v>
          </cell>
          <cell r="AV4">
            <v>1289.4569567042713</v>
          </cell>
          <cell r="AW4">
            <v>1279.9054517774232</v>
          </cell>
          <cell r="AX4">
            <v>1270.3539468505751</v>
          </cell>
          <cell r="AY4">
            <v>1260.802441923727</v>
          </cell>
          <cell r="AZ4">
            <v>1251.2509369968789</v>
          </cell>
          <cell r="BA4">
            <v>1241.6994320700312</v>
          </cell>
        </row>
        <row r="5">
          <cell r="A5">
            <v>3</v>
          </cell>
          <cell r="B5" t="str">
            <v>Cement</v>
          </cell>
          <cell r="C5">
            <v>2160.2248803075968</v>
          </cell>
          <cell r="D5">
            <v>2162.6438430844769</v>
          </cell>
          <cell r="E5">
            <v>2287.1635574020929</v>
          </cell>
          <cell r="F5">
            <v>2228.5321444086053</v>
          </cell>
          <cell r="G5">
            <v>2230.1009269397146</v>
          </cell>
          <cell r="H5">
            <v>2248.529407587886</v>
          </cell>
          <cell r="I5">
            <v>2266.9578882360574</v>
          </cell>
          <cell r="J5">
            <v>2285.3863688842289</v>
          </cell>
          <cell r="K5">
            <v>2303.8148495324003</v>
          </cell>
          <cell r="L5">
            <v>2322.2433301805718</v>
          </cell>
          <cell r="M5">
            <v>2340.6718108287432</v>
          </cell>
          <cell r="N5">
            <v>2359.1002914769147</v>
          </cell>
          <cell r="O5">
            <v>2377.5287721250861</v>
          </cell>
          <cell r="P5">
            <v>2395.9572527732576</v>
          </cell>
          <cell r="Q5">
            <v>2414.385733421429</v>
          </cell>
          <cell r="R5">
            <v>2432.8142140696023</v>
          </cell>
          <cell r="S5">
            <v>2403.3559103433727</v>
          </cell>
          <cell r="T5">
            <v>2373.8976066171431</v>
          </cell>
          <cell r="U5">
            <v>2344.4393028909135</v>
          </cell>
          <cell r="V5">
            <v>2314.9809991646839</v>
          </cell>
          <cell r="W5">
            <v>2285.5226954384534</v>
          </cell>
          <cell r="X5">
            <v>2266.8430479414055</v>
          </cell>
          <cell r="Y5">
            <v>2248.1634004443576</v>
          </cell>
          <cell r="Z5">
            <v>2229.4837529473098</v>
          </cell>
          <cell r="AA5">
            <v>2210.8041054502619</v>
          </cell>
          <cell r="AB5">
            <v>2192.1244579532131</v>
          </cell>
          <cell r="AC5">
            <v>2164.4618080409268</v>
          </cell>
          <cell r="AD5">
            <v>2136.7991581286406</v>
          </cell>
          <cell r="AE5">
            <v>2109.1365082163543</v>
          </cell>
          <cell r="AF5">
            <v>2081.473858304068</v>
          </cell>
          <cell r="AG5">
            <v>2053.8112083917813</v>
          </cell>
          <cell r="AH5">
            <v>2020.2382114309908</v>
          </cell>
          <cell r="AI5">
            <v>1986.6652144702002</v>
          </cell>
          <cell r="AJ5">
            <v>1953.0922175094097</v>
          </cell>
          <cell r="AK5">
            <v>1919.5192205486192</v>
          </cell>
          <cell r="AL5">
            <v>1885.9462235878282</v>
          </cell>
          <cell r="AM5">
            <v>1847.6554428600778</v>
          </cell>
          <cell r="AN5">
            <v>1809.3646621323273</v>
          </cell>
          <cell r="AO5">
            <v>1771.0738814045769</v>
          </cell>
          <cell r="AP5">
            <v>1732.7831006768265</v>
          </cell>
          <cell r="AQ5">
            <v>1694.4923199490763</v>
          </cell>
          <cell r="AR5">
            <v>1685.8792767799462</v>
          </cell>
          <cell r="AS5">
            <v>1677.266233610816</v>
          </cell>
          <cell r="AT5">
            <v>1668.6531904416859</v>
          </cell>
          <cell r="AU5">
            <v>1660.0401472725557</v>
          </cell>
          <cell r="AV5">
            <v>1651.4271041034253</v>
          </cell>
          <cell r="AW5">
            <v>1626.8833679313416</v>
          </cell>
          <cell r="AX5">
            <v>1602.3396317592578</v>
          </cell>
          <cell r="AY5">
            <v>1577.7958955871741</v>
          </cell>
          <cell r="AZ5">
            <v>1553.2521594150903</v>
          </cell>
          <cell r="BA5">
            <v>1528.7084232430063</v>
          </cell>
        </row>
        <row r="6">
          <cell r="A6">
            <v>4</v>
          </cell>
          <cell r="B6" t="str">
            <v>Chemical and Petrochemical Industry</v>
          </cell>
          <cell r="C6">
            <v>1285.5670515656464</v>
          </cell>
          <cell r="D6">
            <v>1272.5655335398646</v>
          </cell>
          <cell r="E6">
            <v>1215.5919841453122</v>
          </cell>
          <cell r="F6">
            <v>1224.5764818039158</v>
          </cell>
          <cell r="G6">
            <v>1061.0697844663939</v>
          </cell>
          <cell r="H6">
            <v>1091.9146146900287</v>
          </cell>
          <cell r="I6">
            <v>1122.7594449136634</v>
          </cell>
          <cell r="J6">
            <v>1153.6042751372981</v>
          </cell>
          <cell r="K6">
            <v>1184.4491053609329</v>
          </cell>
          <cell r="L6">
            <v>1215.2939355845676</v>
          </cell>
          <cell r="M6">
            <v>1246.1387658082024</v>
          </cell>
          <cell r="N6">
            <v>1276.9835960318371</v>
          </cell>
          <cell r="O6">
            <v>1307.8284262554719</v>
          </cell>
          <cell r="P6">
            <v>1338.6732564791066</v>
          </cell>
          <cell r="Q6">
            <v>1369.5180867027414</v>
          </cell>
          <cell r="R6">
            <v>1400.362916926375</v>
          </cell>
          <cell r="S6">
            <v>1385.985278430654</v>
          </cell>
          <cell r="T6">
            <v>1371.6076399349331</v>
          </cell>
          <cell r="U6">
            <v>1357.2300014392122</v>
          </cell>
          <cell r="V6">
            <v>1342.8523629434912</v>
          </cell>
          <cell r="W6">
            <v>1328.4747244477703</v>
          </cell>
          <cell r="X6">
            <v>1315.6085693219804</v>
          </cell>
          <cell r="Y6">
            <v>1302.7424141961906</v>
          </cell>
          <cell r="Z6">
            <v>1289.8762590704007</v>
          </cell>
          <cell r="AA6">
            <v>1277.0101039446108</v>
          </cell>
          <cell r="AB6">
            <v>1264.1439488188214</v>
          </cell>
          <cell r="AC6">
            <v>1250.3955680270114</v>
          </cell>
          <cell r="AD6">
            <v>1236.6471872352015</v>
          </cell>
          <cell r="AE6">
            <v>1222.8988064433915</v>
          </cell>
          <cell r="AF6">
            <v>1209.1504256515816</v>
          </cell>
          <cell r="AG6">
            <v>1195.4020448597719</v>
          </cell>
          <cell r="AH6">
            <v>1179.6177502673115</v>
          </cell>
          <cell r="AI6">
            <v>1163.8334556748512</v>
          </cell>
          <cell r="AJ6">
            <v>1148.0491610823908</v>
          </cell>
          <cell r="AK6">
            <v>1132.2648664899305</v>
          </cell>
          <cell r="AL6">
            <v>1116.4805718974703</v>
          </cell>
          <cell r="AM6">
            <v>1099.6625139792882</v>
          </cell>
          <cell r="AN6">
            <v>1082.844456061106</v>
          </cell>
          <cell r="AO6">
            <v>1066.0263981429239</v>
          </cell>
          <cell r="AP6">
            <v>1049.2083402247417</v>
          </cell>
          <cell r="AQ6">
            <v>1032.3902823065594</v>
          </cell>
          <cell r="AR6">
            <v>1022.6072391743627</v>
          </cell>
          <cell r="AS6">
            <v>1012.824196042166</v>
          </cell>
          <cell r="AT6">
            <v>1003.0411529099694</v>
          </cell>
          <cell r="AU6">
            <v>993.25810977777269</v>
          </cell>
          <cell r="AV6">
            <v>983.47506664557579</v>
          </cell>
          <cell r="AW6">
            <v>981.8314799801168</v>
          </cell>
          <cell r="AX6">
            <v>980.1878933146578</v>
          </cell>
          <cell r="AY6">
            <v>978.5443066491988</v>
          </cell>
          <cell r="AZ6">
            <v>976.9007199837398</v>
          </cell>
          <cell r="BA6">
            <v>975.25713331828092</v>
          </cell>
        </row>
        <row r="7">
          <cell r="A7">
            <v>5</v>
          </cell>
          <cell r="B7" t="str">
            <v>Aluminium</v>
          </cell>
          <cell r="C7">
            <v>93.035817183381923</v>
          </cell>
          <cell r="D7">
            <v>150.33966749451628</v>
          </cell>
          <cell r="E7">
            <v>164.78574420201568</v>
          </cell>
          <cell r="F7">
            <v>243.51848131496749</v>
          </cell>
          <cell r="G7">
            <v>260.65242521456832</v>
          </cell>
          <cell r="H7">
            <v>267.27092732688209</v>
          </cell>
          <cell r="I7">
            <v>273.88942943919585</v>
          </cell>
          <cell r="J7">
            <v>280.50793155150961</v>
          </cell>
          <cell r="K7">
            <v>287.12643366382338</v>
          </cell>
          <cell r="L7">
            <v>293.74493577613714</v>
          </cell>
          <cell r="M7">
            <v>300.3634378884509</v>
          </cell>
          <cell r="N7">
            <v>306.98194000076467</v>
          </cell>
          <cell r="O7">
            <v>313.60044211307843</v>
          </cell>
          <cell r="P7">
            <v>320.21894422539219</v>
          </cell>
          <cell r="Q7">
            <v>326.83744633770596</v>
          </cell>
          <cell r="R7">
            <v>333.45594845001966</v>
          </cell>
          <cell r="S7">
            <v>335.27569847488729</v>
          </cell>
          <cell r="T7">
            <v>337.09544849975492</v>
          </cell>
          <cell r="U7">
            <v>338.91519852462255</v>
          </cell>
          <cell r="V7">
            <v>340.73494854949018</v>
          </cell>
          <cell r="W7">
            <v>342.55469857435787</v>
          </cell>
          <cell r="X7">
            <v>342.48965868312871</v>
          </cell>
          <cell r="Y7">
            <v>342.42461879189955</v>
          </cell>
          <cell r="Z7">
            <v>342.35957890067039</v>
          </cell>
          <cell r="AA7">
            <v>342.29453900944122</v>
          </cell>
          <cell r="AB7">
            <v>342.22949911821217</v>
          </cell>
          <cell r="AC7">
            <v>340.1355173802142</v>
          </cell>
          <cell r="AD7">
            <v>338.04153564221622</v>
          </cell>
          <cell r="AE7">
            <v>335.94755390421824</v>
          </cell>
          <cell r="AF7">
            <v>333.85357216622026</v>
          </cell>
          <cell r="AG7">
            <v>331.7595904282224</v>
          </cell>
          <cell r="AH7">
            <v>327.67681411088677</v>
          </cell>
          <cell r="AI7">
            <v>323.59403779355114</v>
          </cell>
          <cell r="AJ7">
            <v>319.51126147621551</v>
          </cell>
          <cell r="AK7">
            <v>315.42848515887988</v>
          </cell>
          <cell r="AL7">
            <v>311.34570884154414</v>
          </cell>
          <cell r="AM7">
            <v>306.582147909338</v>
          </cell>
          <cell r="AN7">
            <v>301.81858697713187</v>
          </cell>
          <cell r="AO7">
            <v>297.05502604492574</v>
          </cell>
          <cell r="AP7">
            <v>292.29146511271961</v>
          </cell>
          <cell r="AQ7">
            <v>287.52790418051336</v>
          </cell>
          <cell r="AR7">
            <v>282.61017183423007</v>
          </cell>
          <cell r="AS7">
            <v>277.69243948794679</v>
          </cell>
          <cell r="AT7">
            <v>272.7747071416635</v>
          </cell>
          <cell r="AU7">
            <v>267.85697479538021</v>
          </cell>
          <cell r="AV7">
            <v>262.93924244909687</v>
          </cell>
          <cell r="AW7">
            <v>258.3254233362909</v>
          </cell>
          <cell r="AX7">
            <v>253.71160422348495</v>
          </cell>
          <cell r="AY7">
            <v>249.09778511067901</v>
          </cell>
          <cell r="AZ7">
            <v>244.48396599787307</v>
          </cell>
          <cell r="BA7">
            <v>239.87014688506713</v>
          </cell>
        </row>
        <row r="8">
          <cell r="A8">
            <v>6</v>
          </cell>
          <cell r="B8" t="str">
            <v>Pulp &amp; Paper</v>
          </cell>
          <cell r="C8">
            <v>248.47800249985161</v>
          </cell>
          <cell r="D8">
            <v>237.35164856391825</v>
          </cell>
          <cell r="E8">
            <v>237.35164856391825</v>
          </cell>
          <cell r="F8">
            <v>220.6621176600182</v>
          </cell>
          <cell r="G8">
            <v>194.41575097860326</v>
          </cell>
          <cell r="H8">
            <v>191.37806582450227</v>
          </cell>
          <cell r="I8">
            <v>188.34038067040129</v>
          </cell>
          <cell r="J8">
            <v>185.3026955163003</v>
          </cell>
          <cell r="K8">
            <v>182.26501036219932</v>
          </cell>
          <cell r="L8">
            <v>179.22732520809834</v>
          </cell>
          <cell r="M8">
            <v>176.18964005399735</v>
          </cell>
          <cell r="N8">
            <v>173.15195489989637</v>
          </cell>
          <cell r="O8">
            <v>170.11426974579538</v>
          </cell>
          <cell r="P8">
            <v>167.0765845916944</v>
          </cell>
          <cell r="Q8">
            <v>164.03889943759341</v>
          </cell>
          <cell r="R8">
            <v>161.00121428349229</v>
          </cell>
          <cell r="S8">
            <v>157.85186459421021</v>
          </cell>
          <cell r="T8">
            <v>154.70251490492814</v>
          </cell>
          <cell r="U8">
            <v>151.55316521564606</v>
          </cell>
          <cell r="V8">
            <v>148.40381552636399</v>
          </cell>
          <cell r="W8">
            <v>145.25446583708185</v>
          </cell>
          <cell r="X8">
            <v>140.38520708536885</v>
          </cell>
          <cell r="Y8">
            <v>135.51594833365584</v>
          </cell>
          <cell r="Z8">
            <v>130.64668958194284</v>
          </cell>
          <cell r="AA8">
            <v>125.77743083022982</v>
          </cell>
          <cell r="AB8">
            <v>120.90817207851677</v>
          </cell>
          <cell r="AC8">
            <v>115.48813315103924</v>
          </cell>
          <cell r="AD8">
            <v>110.0680942235617</v>
          </cell>
          <cell r="AE8">
            <v>104.64805529608417</v>
          </cell>
          <cell r="AF8">
            <v>99.228016368606632</v>
          </cell>
          <cell r="AG8">
            <v>93.807977441129083</v>
          </cell>
          <cell r="AH8">
            <v>85.50822644467415</v>
          </cell>
          <cell r="AI8">
            <v>77.208475448219218</v>
          </cell>
          <cell r="AJ8">
            <v>68.908724451764286</v>
          </cell>
          <cell r="AK8">
            <v>60.608973455309354</v>
          </cell>
          <cell r="AL8">
            <v>52.309222458854435</v>
          </cell>
          <cell r="AM8">
            <v>53.194207484714752</v>
          </cell>
          <cell r="AN8">
            <v>54.079192510575069</v>
          </cell>
          <cell r="AO8">
            <v>54.964177536435386</v>
          </cell>
          <cell r="AP8">
            <v>55.849162562295703</v>
          </cell>
          <cell r="AQ8">
            <v>56.734147588156027</v>
          </cell>
          <cell r="AR8">
            <v>57.065629517563579</v>
          </cell>
          <cell r="AS8">
            <v>57.397111446971131</v>
          </cell>
          <cell r="AT8">
            <v>57.728593376378683</v>
          </cell>
          <cell r="AU8">
            <v>58.060075305786235</v>
          </cell>
          <cell r="AV8">
            <v>58.391557235193801</v>
          </cell>
          <cell r="AW8">
            <v>59.23068181379827</v>
          </cell>
          <cell r="AX8">
            <v>60.069806392402739</v>
          </cell>
          <cell r="AY8">
            <v>60.908930971007209</v>
          </cell>
          <cell r="AZ8">
            <v>61.748055549611678</v>
          </cell>
          <cell r="BA8">
            <v>62.587180128216154</v>
          </cell>
        </row>
        <row r="9">
          <cell r="A9">
            <v>7</v>
          </cell>
          <cell r="B9" t="str">
            <v>Manufacture of light-road automotor vehicles</v>
          </cell>
          <cell r="C9">
            <v>1935.2290466320669</v>
          </cell>
          <cell r="D9">
            <v>2084.4305413154134</v>
          </cell>
          <cell r="E9">
            <v>1932.864508825658</v>
          </cell>
          <cell r="F9">
            <v>2232.4497670955552</v>
          </cell>
          <cell r="G9">
            <v>2216.1619801312718</v>
          </cell>
          <cell r="H9">
            <v>2199.8741931669888</v>
          </cell>
          <cell r="I9">
            <v>2183.5864062027053</v>
          </cell>
          <cell r="J9">
            <v>2167.2986192384219</v>
          </cell>
          <cell r="K9">
            <v>2151.0108322741385</v>
          </cell>
          <cell r="L9">
            <v>2134.7230453098555</v>
          </cell>
          <cell r="M9">
            <v>2118.435258345572</v>
          </cell>
          <cell r="N9">
            <v>2095.4462653099399</v>
          </cell>
          <cell r="O9">
            <v>2072.4572722743083</v>
          </cell>
          <cell r="P9">
            <v>2049.4682792386761</v>
          </cell>
          <cell r="Q9">
            <v>2026.4792862030442</v>
          </cell>
          <cell r="R9">
            <v>2003.4902931674123</v>
          </cell>
          <cell r="S9">
            <v>1974.331381169711</v>
          </cell>
          <cell r="T9">
            <v>1945.1724691720096</v>
          </cell>
          <cell r="U9">
            <v>1916.0135571743081</v>
          </cell>
          <cell r="V9">
            <v>1886.8546451766067</v>
          </cell>
          <cell r="W9">
            <v>1857.6957331789054</v>
          </cell>
          <cell r="X9">
            <v>1839.4163387399183</v>
          </cell>
          <cell r="Y9">
            <v>1821.1369443009312</v>
          </cell>
          <cell r="Z9">
            <v>1802.8575498619443</v>
          </cell>
          <cell r="AA9">
            <v>1784.5781554229573</v>
          </cell>
          <cell r="AB9">
            <v>1766.2987609839702</v>
          </cell>
          <cell r="AC9">
            <v>1737.3270784050562</v>
          </cell>
          <cell r="AD9">
            <v>1708.3553958261423</v>
          </cell>
          <cell r="AE9">
            <v>1679.3837132472286</v>
          </cell>
          <cell r="AF9">
            <v>1650.4120306683146</v>
          </cell>
          <cell r="AG9">
            <v>1621.4403480894007</v>
          </cell>
          <cell r="AH9">
            <v>1584.5961970390404</v>
          </cell>
          <cell r="AI9">
            <v>1547.7520459886798</v>
          </cell>
          <cell r="AJ9">
            <v>1510.9078949383195</v>
          </cell>
          <cell r="AK9">
            <v>1474.0637438879589</v>
          </cell>
          <cell r="AL9">
            <v>1437.2195928375986</v>
          </cell>
          <cell r="AM9">
            <v>1398.3027945017254</v>
          </cell>
          <cell r="AN9">
            <v>1359.3859961658522</v>
          </cell>
          <cell r="AO9">
            <v>1320.4691978299793</v>
          </cell>
          <cell r="AP9">
            <v>1281.5523994941061</v>
          </cell>
          <cell r="AQ9">
            <v>1242.6356011582329</v>
          </cell>
        </row>
        <row r="10">
          <cell r="A10">
            <v>8</v>
          </cell>
          <cell r="B10" t="str">
            <v>Other Industry</v>
          </cell>
          <cell r="C10">
            <v>1</v>
          </cell>
          <cell r="D10">
            <v>1.0770975895297799</v>
          </cell>
          <cell r="E10">
            <v>0.99877816126699626</v>
          </cell>
          <cell r="F10">
            <v>1.1535842596930579</v>
          </cell>
          <cell r="G10">
            <v>1.1685506270204331</v>
          </cell>
          <cell r="H10">
            <v>1.1516792477641196</v>
          </cell>
          <cell r="I10">
            <v>1.1348078685078062</v>
          </cell>
          <cell r="J10">
            <v>1.1179364892514927</v>
          </cell>
          <cell r="K10">
            <v>1.1010651099951794</v>
          </cell>
          <cell r="L10">
            <v>1.0841937307388658</v>
          </cell>
          <cell r="M10">
            <v>1.0673223514825525</v>
          </cell>
          <cell r="N10">
            <v>1.0504509722262392</v>
          </cell>
          <cell r="O10">
            <v>1.0335795929699259</v>
          </cell>
          <cell r="P10">
            <v>1.0167082137136125</v>
          </cell>
          <cell r="Q10">
            <v>0.99983683445729921</v>
          </cell>
          <cell r="R10">
            <v>0.98296545520098633</v>
          </cell>
          <cell r="S10">
            <v>0.97036918184399878</v>
          </cell>
          <cell r="T10">
            <v>0.95777290848701124</v>
          </cell>
          <cell r="U10">
            <v>0.94517663513002381</v>
          </cell>
          <cell r="V10">
            <v>0.93258036177303627</v>
          </cell>
          <cell r="W10">
            <v>0.91998408841604862</v>
          </cell>
          <cell r="X10">
            <v>0.90800903599796223</v>
          </cell>
          <cell r="Y10">
            <v>0.89603398357987596</v>
          </cell>
          <cell r="Z10">
            <v>0.88405893116178957</v>
          </cell>
          <cell r="AA10">
            <v>0.87208387874370319</v>
          </cell>
          <cell r="AB10">
            <v>0.8601088263256168</v>
          </cell>
          <cell r="AC10">
            <v>0.85028901883368246</v>
          </cell>
          <cell r="AD10">
            <v>0.84046921134174812</v>
          </cell>
          <cell r="AE10">
            <v>0.83064940384981378</v>
          </cell>
          <cell r="AF10">
            <v>0.82082959635787944</v>
          </cell>
          <cell r="AG10">
            <v>0.81100978886594499</v>
          </cell>
          <cell r="AH10">
            <v>0.80531498729261264</v>
          </cell>
          <cell r="AI10">
            <v>0.7996201857192774</v>
          </cell>
          <cell r="AJ10">
            <v>0.79392538414594271</v>
          </cell>
          <cell r="AK10">
            <v>0.78823058257260759</v>
          </cell>
          <cell r="AL10">
            <v>0.78253578099927423</v>
          </cell>
          <cell r="AM10">
            <v>0.77311696145923769</v>
          </cell>
          <cell r="AN10">
            <v>0.76369814191918761</v>
          </cell>
          <cell r="AO10">
            <v>0.75427932237915207</v>
          </cell>
          <cell r="AP10">
            <v>0.74486050283911653</v>
          </cell>
          <cell r="AQ10">
            <v>0.73544168329905935</v>
          </cell>
          <cell r="AR10">
            <v>0.71575977438166183</v>
          </cell>
          <cell r="AS10">
            <v>0.6960778654642642</v>
          </cell>
          <cell r="AT10">
            <v>0.67639595654686657</v>
          </cell>
          <cell r="AU10">
            <v>0.65671404762946906</v>
          </cell>
          <cell r="AV10">
            <v>0.63703213871207154</v>
          </cell>
          <cell r="AW10">
            <v>0.62193662318951581</v>
          </cell>
          <cell r="AX10">
            <v>0.60684110766695998</v>
          </cell>
          <cell r="AY10">
            <v>0.59174559214440425</v>
          </cell>
          <cell r="AZ10">
            <v>0.57665007662184842</v>
          </cell>
          <cell r="BA10">
            <v>0.56155456109929269</v>
          </cell>
        </row>
        <row r="11">
          <cell r="A11">
            <v>9</v>
          </cell>
          <cell r="B11" t="str">
            <v>Passenger transport - Air</v>
          </cell>
          <cell r="C11">
            <v>885.38884953655895</v>
          </cell>
          <cell r="D11">
            <v>910.45255721715716</v>
          </cell>
          <cell r="E11">
            <v>935.51626489775526</v>
          </cell>
          <cell r="F11">
            <v>960.57997257835348</v>
          </cell>
          <cell r="G11">
            <v>985.64368025895158</v>
          </cell>
          <cell r="H11">
            <v>1010.7073879395498</v>
          </cell>
          <cell r="I11">
            <v>1007.8695750130779</v>
          </cell>
          <cell r="J11">
            <v>1005.031762086606</v>
          </cell>
          <cell r="K11">
            <v>1002.193949160134</v>
          </cell>
          <cell r="L11">
            <v>999.35613623366214</v>
          </cell>
          <cell r="M11">
            <v>996.51832330719026</v>
          </cell>
          <cell r="N11">
            <v>989.1853390303105</v>
          </cell>
          <cell r="O11">
            <v>981.85235475343086</v>
          </cell>
          <cell r="P11">
            <v>974.5193704765511</v>
          </cell>
          <cell r="Q11">
            <v>967.18638619967146</v>
          </cell>
          <cell r="R11">
            <v>959.8534019227917</v>
          </cell>
          <cell r="S11">
            <v>946.48918124721718</v>
          </cell>
          <cell r="T11">
            <v>933.12496057164265</v>
          </cell>
          <cell r="U11">
            <v>919.760739896068</v>
          </cell>
          <cell r="V11">
            <v>906.39651922049347</v>
          </cell>
          <cell r="W11">
            <v>893.03229854491894</v>
          </cell>
          <cell r="X11">
            <v>870.70215858888378</v>
          </cell>
          <cell r="Y11">
            <v>848.37201863284861</v>
          </cell>
          <cell r="Z11">
            <v>826.04187867681344</v>
          </cell>
          <cell r="AA11">
            <v>803.71173872077838</v>
          </cell>
          <cell r="AB11">
            <v>781.38159876474322</v>
          </cell>
          <cell r="AC11">
            <v>759.46357775635602</v>
          </cell>
          <cell r="AD11">
            <v>737.54555674796882</v>
          </cell>
          <cell r="AE11">
            <v>715.62753573958162</v>
          </cell>
          <cell r="AF11">
            <v>693.70951473119442</v>
          </cell>
          <cell r="AG11">
            <v>671.79149372280722</v>
          </cell>
          <cell r="AH11">
            <v>649.09037401574346</v>
          </cell>
          <cell r="AI11">
            <v>626.38925430867982</v>
          </cell>
          <cell r="AJ11">
            <v>603.68813460161607</v>
          </cell>
          <cell r="AK11">
            <v>580.98701489455243</v>
          </cell>
          <cell r="AL11">
            <v>558.28589518748868</v>
          </cell>
          <cell r="AM11">
            <v>533.01434816521703</v>
          </cell>
          <cell r="AN11">
            <v>507.74280114294544</v>
          </cell>
          <cell r="AO11">
            <v>482.47125412067379</v>
          </cell>
          <cell r="AP11">
            <v>457.1997070984022</v>
          </cell>
          <cell r="AQ11">
            <v>431.92816007613055</v>
          </cell>
        </row>
        <row r="12">
          <cell r="A12">
            <v>10</v>
          </cell>
          <cell r="B12" t="str">
            <v>Passenger transport - Light Road</v>
          </cell>
          <cell r="C12">
            <v>3409.3325925804033</v>
          </cell>
          <cell r="D12">
            <v>3469.1204255933508</v>
          </cell>
          <cell r="E12">
            <v>3528.9082586062982</v>
          </cell>
          <cell r="F12">
            <v>3588.6960916192456</v>
          </cell>
          <cell r="G12">
            <v>3648.4839246321926</v>
          </cell>
          <cell r="H12">
            <v>3708.27175764514</v>
          </cell>
          <cell r="I12">
            <v>3708.380631044186</v>
          </cell>
          <cell r="J12">
            <v>3708.4895044432315</v>
          </cell>
          <cell r="K12">
            <v>3708.5983778422774</v>
          </cell>
          <cell r="L12">
            <v>3708.7072512413229</v>
          </cell>
          <cell r="M12">
            <v>3708.8161246403688</v>
          </cell>
          <cell r="N12">
            <v>3694.0916611149664</v>
          </cell>
          <cell r="O12">
            <v>3679.3671975895636</v>
          </cell>
          <cell r="P12">
            <v>3664.6427340641603</v>
          </cell>
          <cell r="Q12">
            <v>3649.9182705387575</v>
          </cell>
          <cell r="R12">
            <v>3635.1938070133547</v>
          </cell>
          <cell r="S12">
            <v>3584.5581238772334</v>
          </cell>
          <cell r="T12">
            <v>3533.922440741112</v>
          </cell>
          <cell r="U12">
            <v>3483.2867576049903</v>
          </cell>
          <cell r="V12">
            <v>3432.6510744688685</v>
          </cell>
          <cell r="W12">
            <v>3382.0153913327472</v>
          </cell>
          <cell r="X12">
            <v>3309.5382448155478</v>
          </cell>
          <cell r="Y12">
            <v>3237.061098298348</v>
          </cell>
          <cell r="Z12">
            <v>3164.5839517811487</v>
          </cell>
          <cell r="AA12">
            <v>3092.1068052639494</v>
          </cell>
          <cell r="AB12">
            <v>3019.62965874675</v>
          </cell>
          <cell r="AC12">
            <v>2934.203720022444</v>
          </cell>
          <cell r="AD12">
            <v>2848.7777812981385</v>
          </cell>
          <cell r="AE12">
            <v>2763.351842573833</v>
          </cell>
          <cell r="AF12">
            <v>2677.925903849527</v>
          </cell>
          <cell r="AG12">
            <v>2592.499965125221</v>
          </cell>
          <cell r="AH12">
            <v>2507.0670383340757</v>
          </cell>
          <cell r="AI12">
            <v>2421.6341115429309</v>
          </cell>
          <cell r="AJ12">
            <v>2336.2011847517861</v>
          </cell>
          <cell r="AK12">
            <v>2250.7682579606408</v>
          </cell>
          <cell r="AL12">
            <v>2165.3353311694959</v>
          </cell>
          <cell r="AM12">
            <v>2093.3338931085227</v>
          </cell>
          <cell r="AN12">
            <v>2021.3324550475497</v>
          </cell>
          <cell r="AO12">
            <v>1949.3310169865767</v>
          </cell>
          <cell r="AP12">
            <v>1877.329578925604</v>
          </cell>
          <cell r="AQ12">
            <v>1805.3281408646308</v>
          </cell>
        </row>
        <row r="13">
          <cell r="A13">
            <v>11</v>
          </cell>
          <cell r="B13" t="str">
            <v>Passenger transport - Heavy Road</v>
          </cell>
          <cell r="C13">
            <v>432.62758213249299</v>
          </cell>
          <cell r="D13">
            <v>429.66605277511684</v>
          </cell>
          <cell r="E13">
            <v>426.7045234177408</v>
          </cell>
          <cell r="F13">
            <v>423.74299406036465</v>
          </cell>
          <cell r="G13">
            <v>420.78146470298861</v>
          </cell>
          <cell r="H13">
            <v>417.81993534561252</v>
          </cell>
          <cell r="I13">
            <v>415.82892233464355</v>
          </cell>
          <cell r="J13">
            <v>413.83790932367458</v>
          </cell>
          <cell r="K13">
            <v>411.84689631270567</v>
          </cell>
          <cell r="L13">
            <v>409.8558833017367</v>
          </cell>
          <cell r="M13">
            <v>407.86487029076773</v>
          </cell>
          <cell r="N13">
            <v>407.78469844029701</v>
          </cell>
          <cell r="O13">
            <v>407.70452658982623</v>
          </cell>
          <cell r="P13">
            <v>407.62435473935545</v>
          </cell>
          <cell r="Q13">
            <v>407.54418288888473</v>
          </cell>
          <cell r="R13">
            <v>407.4640110384139</v>
          </cell>
          <cell r="S13">
            <v>407.03599658876703</v>
          </cell>
          <cell r="T13">
            <v>406.60798213912005</v>
          </cell>
          <cell r="U13">
            <v>406.17996768947319</v>
          </cell>
          <cell r="V13">
            <v>405.75195323982626</v>
          </cell>
          <cell r="W13">
            <v>405.32393879017934</v>
          </cell>
          <cell r="X13">
            <v>403.29251449487299</v>
          </cell>
          <cell r="Y13">
            <v>401.26109019956664</v>
          </cell>
          <cell r="Z13">
            <v>399.22966590426023</v>
          </cell>
          <cell r="AA13">
            <v>397.19824160895388</v>
          </cell>
          <cell r="AB13">
            <v>395.16681731364747</v>
          </cell>
          <cell r="AC13">
            <v>391.44693427486283</v>
          </cell>
          <cell r="AD13">
            <v>387.72705123607818</v>
          </cell>
          <cell r="AE13">
            <v>384.00716819729348</v>
          </cell>
          <cell r="AF13">
            <v>380.28728515850878</v>
          </cell>
          <cell r="AG13">
            <v>376.56740211972414</v>
          </cell>
          <cell r="AH13">
            <v>372.49515719759984</v>
          </cell>
          <cell r="AI13">
            <v>368.4229122754756</v>
          </cell>
          <cell r="AJ13">
            <v>364.3506673533513</v>
          </cell>
          <cell r="AK13">
            <v>360.278422431227</v>
          </cell>
          <cell r="AL13">
            <v>356.20617750910276</v>
          </cell>
          <cell r="AM13">
            <v>351.86407820675072</v>
          </cell>
          <cell r="AN13">
            <v>347.52197890439874</v>
          </cell>
          <cell r="AO13">
            <v>343.17987960204675</v>
          </cell>
          <cell r="AP13">
            <v>338.83778029969471</v>
          </cell>
          <cell r="AQ13">
            <v>334.49568099734273</v>
          </cell>
        </row>
        <row r="14">
          <cell r="A14">
            <v>12</v>
          </cell>
          <cell r="B14" t="str">
            <v>Passenger transport - Rail</v>
          </cell>
          <cell r="C14">
            <v>73.951330818737901</v>
          </cell>
          <cell r="D14">
            <v>74.02679063893531</v>
          </cell>
          <cell r="E14">
            <v>74.102250459132705</v>
          </cell>
          <cell r="F14">
            <v>74.177710279330114</v>
          </cell>
          <cell r="G14">
            <v>74.253170099527509</v>
          </cell>
          <cell r="H14">
            <v>74.328629919724918</v>
          </cell>
          <cell r="I14">
            <v>73.28716386868166</v>
          </cell>
          <cell r="J14">
            <v>72.245697817638401</v>
          </cell>
          <cell r="K14">
            <v>71.204231766595157</v>
          </cell>
          <cell r="L14">
            <v>70.162765715551899</v>
          </cell>
          <cell r="M14">
            <v>69.121299664508641</v>
          </cell>
          <cell r="N14">
            <v>67.049047004269326</v>
          </cell>
          <cell r="O14">
            <v>64.976794344030012</v>
          </cell>
          <cell r="P14">
            <v>62.90454168379069</v>
          </cell>
          <cell r="Q14">
            <v>60.832289023551368</v>
          </cell>
          <cell r="R14">
            <v>58.760036363312054</v>
          </cell>
          <cell r="S14">
            <v>56.606362817391151</v>
          </cell>
          <cell r="T14">
            <v>54.452689271470256</v>
          </cell>
          <cell r="U14">
            <v>52.299015725549353</v>
          </cell>
          <cell r="V14">
            <v>50.145342179628457</v>
          </cell>
          <cell r="W14">
            <v>47.991668633707555</v>
          </cell>
          <cell r="X14">
            <v>45.316584236786198</v>
          </cell>
          <cell r="Y14">
            <v>42.641499839864842</v>
          </cell>
          <cell r="Z14">
            <v>39.966415442943486</v>
          </cell>
          <cell r="AA14">
            <v>37.291331046022137</v>
          </cell>
          <cell r="AB14">
            <v>34.616246649100781</v>
          </cell>
          <cell r="AC14">
            <v>32.11556058222515</v>
          </cell>
          <cell r="AD14">
            <v>29.614874515349523</v>
          </cell>
          <cell r="AE14">
            <v>27.114188448473893</v>
          </cell>
          <cell r="AF14">
            <v>24.613502381598266</v>
          </cell>
          <cell r="AG14">
            <v>22.112816314722636</v>
          </cell>
          <cell r="AH14">
            <v>20.73673064877331</v>
          </cell>
          <cell r="AI14">
            <v>19.360644982823988</v>
          </cell>
          <cell r="AJ14">
            <v>17.984559316874662</v>
          </cell>
          <cell r="AK14">
            <v>16.60847365092534</v>
          </cell>
          <cell r="AL14">
            <v>15.232387984976015</v>
          </cell>
          <cell r="AM14">
            <v>14.455850863442704</v>
          </cell>
          <cell r="AN14">
            <v>13.679313741909393</v>
          </cell>
          <cell r="AO14">
            <v>12.902776620376082</v>
          </cell>
          <cell r="AP14">
            <v>12.126239498842772</v>
          </cell>
          <cell r="AQ14">
            <v>11.349702377309461</v>
          </cell>
        </row>
        <row r="15">
          <cell r="A15">
            <v>13</v>
          </cell>
          <cell r="B15" t="str">
            <v>Other transport</v>
          </cell>
          <cell r="C15">
            <v>2901.5790064649877</v>
          </cell>
          <cell r="D15">
            <v>3191.4821097861814</v>
          </cell>
          <cell r="E15">
            <v>3380.5470507340324</v>
          </cell>
          <cell r="F15">
            <v>3720.8692352418975</v>
          </cell>
          <cell r="G15">
            <v>3665.1231894484099</v>
          </cell>
          <cell r="H15">
            <v>3609.3771436549205</v>
          </cell>
          <cell r="I15">
            <v>3641.3579876072372</v>
          </cell>
          <cell r="J15">
            <v>3673.338831559553</v>
          </cell>
          <cell r="K15">
            <v>3705.3196755118706</v>
          </cell>
          <cell r="L15">
            <v>3737.3005194641873</v>
          </cell>
          <cell r="M15">
            <v>3769.2813634165041</v>
          </cell>
          <cell r="N15">
            <v>3777.4782877031412</v>
          </cell>
          <cell r="O15">
            <v>3785.6752119897792</v>
          </cell>
          <cell r="P15">
            <v>3793.8721362764172</v>
          </cell>
          <cell r="Q15">
            <v>3802.0690605630543</v>
          </cell>
          <cell r="R15">
            <v>3810.2659848496933</v>
          </cell>
          <cell r="S15">
            <v>3820.8297916132797</v>
          </cell>
          <cell r="T15">
            <v>3831.3935983768679</v>
          </cell>
          <cell r="U15">
            <v>3841.957405140457</v>
          </cell>
          <cell r="V15">
            <v>3852.5212119040452</v>
          </cell>
          <cell r="W15">
            <v>3863.0850186676334</v>
          </cell>
          <cell r="X15">
            <v>3870.3406451035307</v>
          </cell>
          <cell r="Y15">
            <v>3877.5962715394298</v>
          </cell>
          <cell r="Z15">
            <v>3884.8518979753253</v>
          </cell>
          <cell r="AA15">
            <v>3892.1075244112244</v>
          </cell>
          <cell r="AB15">
            <v>3899.3631508471226</v>
          </cell>
          <cell r="AC15">
            <v>3882.2633787828063</v>
          </cell>
          <cell r="AD15">
            <v>3865.1636067184913</v>
          </cell>
          <cell r="AE15">
            <v>3848.0638346541764</v>
          </cell>
          <cell r="AF15">
            <v>3830.9640625898614</v>
          </cell>
          <cell r="AG15">
            <v>3813.8642905255465</v>
          </cell>
          <cell r="AH15">
            <v>3785.3919111849518</v>
          </cell>
          <cell r="AI15">
            <v>3756.9195318443567</v>
          </cell>
          <cell r="AJ15">
            <v>3728.4471525037625</v>
          </cell>
          <cell r="AK15">
            <v>3699.9747731631683</v>
          </cell>
          <cell r="AL15">
            <v>3671.5023938225727</v>
          </cell>
          <cell r="AM15">
            <v>3636.9254342465438</v>
          </cell>
          <cell r="AN15">
            <v>3602.3484746705162</v>
          </cell>
          <cell r="AO15">
            <v>3567.7715150944873</v>
          </cell>
          <cell r="AP15">
            <v>3533.1945555184593</v>
          </cell>
          <cell r="AQ15">
            <v>3498.6175959424304</v>
          </cell>
        </row>
        <row r="16">
          <cell r="A16">
            <v>14</v>
          </cell>
          <cell r="B16" t="str">
            <v>Services / Commercial Buildings</v>
          </cell>
          <cell r="C16">
            <v>815.39304786747857</v>
          </cell>
          <cell r="D16">
            <v>876.40176065756123</v>
          </cell>
          <cell r="E16">
            <v>837.1377493596998</v>
          </cell>
          <cell r="F16">
            <v>948.28282419375432</v>
          </cell>
          <cell r="G16">
            <v>918.89557394509734</v>
          </cell>
          <cell r="H16">
            <v>900.09063303659866</v>
          </cell>
          <cell r="I16">
            <v>881.28569212809998</v>
          </cell>
          <cell r="J16">
            <v>862.4807512196013</v>
          </cell>
          <cell r="K16">
            <v>843.67581031110262</v>
          </cell>
          <cell r="L16">
            <v>824.87086940260394</v>
          </cell>
          <cell r="M16">
            <v>806.06592849410526</v>
          </cell>
          <cell r="N16">
            <v>787.26098758560659</v>
          </cell>
          <cell r="O16">
            <v>768.45604667710791</v>
          </cell>
          <cell r="P16">
            <v>749.65110576860923</v>
          </cell>
          <cell r="Q16">
            <v>730.84616486011055</v>
          </cell>
          <cell r="R16">
            <v>712.04122395161176</v>
          </cell>
          <cell r="S16">
            <v>695.12514486285568</v>
          </cell>
          <cell r="T16">
            <v>678.2090657740996</v>
          </cell>
          <cell r="U16">
            <v>661.29298668534352</v>
          </cell>
          <cell r="V16">
            <v>644.37690759658744</v>
          </cell>
          <cell r="W16">
            <v>627.46082850783148</v>
          </cell>
          <cell r="X16">
            <v>617.85619143864415</v>
          </cell>
          <cell r="Y16">
            <v>608.25155436945681</v>
          </cell>
          <cell r="Z16">
            <v>598.64691730026948</v>
          </cell>
          <cell r="AA16">
            <v>589.04228023108215</v>
          </cell>
          <cell r="AB16">
            <v>579.43764316189481</v>
          </cell>
          <cell r="AC16">
            <v>568.09297183873832</v>
          </cell>
          <cell r="AD16">
            <v>556.74830051558183</v>
          </cell>
          <cell r="AE16">
            <v>545.40362919242534</v>
          </cell>
          <cell r="AF16">
            <v>534.05895786926885</v>
          </cell>
          <cell r="AG16">
            <v>522.71428654611236</v>
          </cell>
          <cell r="AH16">
            <v>510.45040067738893</v>
          </cell>
          <cell r="AI16">
            <v>498.18651480866549</v>
          </cell>
          <cell r="AJ16">
            <v>485.92262893994206</v>
          </cell>
          <cell r="AK16">
            <v>473.65874307121862</v>
          </cell>
          <cell r="AL16">
            <v>461.39485720249513</v>
          </cell>
          <cell r="AM16">
            <v>448.46491527204103</v>
          </cell>
          <cell r="AN16">
            <v>435.53497334158692</v>
          </cell>
          <cell r="AO16">
            <v>422.60503141113281</v>
          </cell>
          <cell r="AP16">
            <v>409.67508948067871</v>
          </cell>
          <cell r="AQ16">
            <v>396.74514755022471</v>
          </cell>
          <cell r="AR16">
            <v>387.73317776048924</v>
          </cell>
          <cell r="AS16">
            <v>378.72120797075377</v>
          </cell>
          <cell r="AT16">
            <v>369.70923818101829</v>
          </cell>
          <cell r="AU16">
            <v>360.69726839128282</v>
          </cell>
          <cell r="AV16">
            <v>351.68529860154729</v>
          </cell>
          <cell r="AW16">
            <v>342.5870518576258</v>
          </cell>
          <cell r="AX16">
            <v>333.4888051137043</v>
          </cell>
          <cell r="AY16">
            <v>324.39055836978281</v>
          </cell>
          <cell r="AZ16">
            <v>315.29231162586132</v>
          </cell>
          <cell r="BA16">
            <v>306.19406488193988</v>
          </cell>
        </row>
        <row r="19">
          <cell r="A19" t="str">
            <v>Code</v>
          </cell>
          <cell r="B19" t="str">
            <v>Sector</v>
          </cell>
          <cell r="C19">
            <v>2010</v>
          </cell>
          <cell r="D19">
            <v>2011</v>
          </cell>
          <cell r="E19">
            <v>2012</v>
          </cell>
          <cell r="F19">
            <v>2013</v>
          </cell>
          <cell r="G19">
            <v>2014</v>
          </cell>
          <cell r="H19">
            <v>2015</v>
          </cell>
          <cell r="I19">
            <v>2016</v>
          </cell>
          <cell r="J19">
            <v>2017</v>
          </cell>
          <cell r="K19">
            <v>2018</v>
          </cell>
          <cell r="L19">
            <v>2019</v>
          </cell>
          <cell r="M19">
            <v>2020</v>
          </cell>
          <cell r="N19">
            <v>2021</v>
          </cell>
          <cell r="O19">
            <v>2022</v>
          </cell>
          <cell r="P19">
            <v>2023</v>
          </cell>
          <cell r="Q19">
            <v>2024</v>
          </cell>
          <cell r="R19">
            <v>2025</v>
          </cell>
          <cell r="S19">
            <v>2026</v>
          </cell>
          <cell r="T19">
            <v>2027</v>
          </cell>
          <cell r="U19">
            <v>2028</v>
          </cell>
          <cell r="V19">
            <v>2029</v>
          </cell>
          <cell r="W19">
            <v>2030</v>
          </cell>
          <cell r="X19">
            <v>2031</v>
          </cell>
          <cell r="Y19">
            <v>2032</v>
          </cell>
          <cell r="Z19">
            <v>2033</v>
          </cell>
          <cell r="AA19">
            <v>2034</v>
          </cell>
          <cell r="AB19">
            <v>2035</v>
          </cell>
          <cell r="AC19">
            <v>2036</v>
          </cell>
          <cell r="AD19">
            <v>2037</v>
          </cell>
          <cell r="AE19">
            <v>2038</v>
          </cell>
          <cell r="AF19">
            <v>2039</v>
          </cell>
          <cell r="AG19">
            <v>2040</v>
          </cell>
          <cell r="AH19">
            <v>2041</v>
          </cell>
          <cell r="AI19">
            <v>2042</v>
          </cell>
          <cell r="AJ19">
            <v>2043</v>
          </cell>
          <cell r="AK19">
            <v>2044</v>
          </cell>
          <cell r="AL19">
            <v>2045</v>
          </cell>
          <cell r="AM19">
            <v>2046</v>
          </cell>
          <cell r="AN19">
            <v>2047</v>
          </cell>
          <cell r="AO19">
            <v>2048</v>
          </cell>
          <cell r="AP19">
            <v>2049</v>
          </cell>
          <cell r="AQ19">
            <v>2050</v>
          </cell>
          <cell r="AR19">
            <v>2051</v>
          </cell>
          <cell r="AS19">
            <v>2052</v>
          </cell>
          <cell r="AT19">
            <v>2053</v>
          </cell>
          <cell r="AU19">
            <v>2054</v>
          </cell>
          <cell r="AV19">
            <v>2055</v>
          </cell>
          <cell r="AW19">
            <v>2056</v>
          </cell>
          <cell r="AX19">
            <v>2057</v>
          </cell>
          <cell r="AY19">
            <v>2058</v>
          </cell>
          <cell r="AZ19">
            <v>2059</v>
          </cell>
          <cell r="BA19">
            <v>2060</v>
          </cell>
        </row>
        <row r="20">
          <cell r="A20">
            <v>1</v>
          </cell>
          <cell r="B20" t="str">
            <v>Power Generation</v>
          </cell>
          <cell r="C20">
            <v>21535927173.396137</v>
          </cell>
          <cell r="D20">
            <v>22129974663.559998</v>
          </cell>
          <cell r="E20">
            <v>22668078072.998005</v>
          </cell>
          <cell r="F20">
            <v>23290097603.524799</v>
          </cell>
          <cell r="G20">
            <v>23818899236</v>
          </cell>
          <cell r="H20">
            <v>24282000213.63052</v>
          </cell>
          <cell r="I20">
            <v>24745101191.261036</v>
          </cell>
          <cell r="J20">
            <v>25208202168.891556</v>
          </cell>
          <cell r="K20">
            <v>25671303146.522076</v>
          </cell>
          <cell r="L20">
            <v>26134404124.152592</v>
          </cell>
          <cell r="M20">
            <v>26597505101.783112</v>
          </cell>
          <cell r="N20">
            <v>27060606079.413628</v>
          </cell>
          <cell r="O20">
            <v>27523707057.044147</v>
          </cell>
          <cell r="P20">
            <v>27986808034.674664</v>
          </cell>
          <cell r="Q20">
            <v>28449909012.305183</v>
          </cell>
          <cell r="R20">
            <v>28913009989.935707</v>
          </cell>
          <cell r="S20">
            <v>29418551798.421852</v>
          </cell>
          <cell r="T20">
            <v>29924093606.907997</v>
          </cell>
          <cell r="U20">
            <v>30429635415.394142</v>
          </cell>
          <cell r="V20">
            <v>30935177223.880287</v>
          </cell>
          <cell r="W20">
            <v>31440719032.366432</v>
          </cell>
          <cell r="X20">
            <v>31930434800.971088</v>
          </cell>
          <cell r="Y20">
            <v>32420150569.575745</v>
          </cell>
          <cell r="Z20">
            <v>32909866338.180401</v>
          </cell>
          <cell r="AA20">
            <v>33399582106.785057</v>
          </cell>
          <cell r="AB20">
            <v>33889297875.389717</v>
          </cell>
          <cell r="AC20">
            <v>34386990952.269661</v>
          </cell>
          <cell r="AD20">
            <v>34884684029.149605</v>
          </cell>
          <cell r="AE20">
            <v>35382377106.029549</v>
          </cell>
          <cell r="AF20">
            <v>35880070182.909492</v>
          </cell>
          <cell r="AG20">
            <v>36377763259.789436</v>
          </cell>
          <cell r="AH20">
            <v>36986422508.247566</v>
          </cell>
          <cell r="AI20">
            <v>37595081756.705704</v>
          </cell>
          <cell r="AJ20">
            <v>38203741005.163834</v>
          </cell>
          <cell r="AK20">
            <v>38812400253.621971</v>
          </cell>
          <cell r="AL20">
            <v>39421059502.080101</v>
          </cell>
          <cell r="AM20">
            <v>40046025487.589287</v>
          </cell>
          <cell r="AN20">
            <v>40670991473.098465</v>
          </cell>
          <cell r="AO20">
            <v>41295957458.607651</v>
          </cell>
          <cell r="AP20">
            <v>41920923444.116829</v>
          </cell>
          <cell r="AQ20">
            <v>42545889429.626022</v>
          </cell>
          <cell r="AR20">
            <v>43267132289.880188</v>
          </cell>
          <cell r="AS20">
            <v>43988375150.134361</v>
          </cell>
          <cell r="AT20">
            <v>44709618010.388527</v>
          </cell>
          <cell r="AU20">
            <v>45430860870.6427</v>
          </cell>
          <cell r="AV20">
            <v>46152103730.896866</v>
          </cell>
          <cell r="AW20">
            <v>47054018200.744843</v>
          </cell>
          <cell r="AX20">
            <v>47955932670.592827</v>
          </cell>
          <cell r="AY20">
            <v>48857847140.440804</v>
          </cell>
          <cell r="AZ20">
            <v>49759761610.288788</v>
          </cell>
          <cell r="BA20">
            <v>50661676080.136772</v>
          </cell>
        </row>
        <row r="21">
          <cell r="A21">
            <v>2</v>
          </cell>
          <cell r="B21" t="str">
            <v>Iron &amp; Steel Industry</v>
          </cell>
          <cell r="C21">
            <v>1440.1995671230011</v>
          </cell>
          <cell r="D21">
            <v>1518.3000000000009</v>
          </cell>
          <cell r="E21">
            <v>1546.0067013689998</v>
          </cell>
          <cell r="F21">
            <v>1649.3039999999996</v>
          </cell>
          <cell r="G21">
            <v>1670.1409999999994</v>
          </cell>
          <cell r="H21">
            <v>1679.2850703386027</v>
          </cell>
          <cell r="I21">
            <v>1688.4291406772061</v>
          </cell>
          <cell r="J21">
            <v>1697.5732110158094</v>
          </cell>
          <cell r="K21">
            <v>1706.7172813544128</v>
          </cell>
          <cell r="L21">
            <v>1715.8613516930161</v>
          </cell>
          <cell r="M21">
            <v>1725.0054220316194</v>
          </cell>
          <cell r="N21">
            <v>1734.1494923702228</v>
          </cell>
          <cell r="O21">
            <v>1743.2935627088261</v>
          </cell>
          <cell r="P21">
            <v>1752.4376330474295</v>
          </cell>
          <cell r="Q21">
            <v>1761.5817033860328</v>
          </cell>
          <cell r="R21">
            <v>1770.7257737246359</v>
          </cell>
          <cell r="S21">
            <v>1787.6572593946653</v>
          </cell>
          <cell r="T21">
            <v>1804.5887450646946</v>
          </cell>
          <cell r="U21">
            <v>1821.520230734724</v>
          </cell>
          <cell r="V21">
            <v>1838.4517164047534</v>
          </cell>
          <cell r="W21">
            <v>1855.3832020747825</v>
          </cell>
          <cell r="X21">
            <v>1876.425776557558</v>
          </cell>
          <cell r="Y21">
            <v>1897.4683510403336</v>
          </cell>
          <cell r="Z21">
            <v>1918.5109255231091</v>
          </cell>
          <cell r="AA21">
            <v>1939.5535000058846</v>
          </cell>
          <cell r="AB21">
            <v>1960.5960744886602</v>
          </cell>
          <cell r="AC21">
            <v>1974.4846996216945</v>
          </cell>
          <cell r="AD21">
            <v>1988.3733247547289</v>
          </cell>
          <cell r="AE21">
            <v>2002.2619498877632</v>
          </cell>
          <cell r="AF21">
            <v>2016.1505750207975</v>
          </cell>
          <cell r="AG21">
            <v>2030.0392001538314</v>
          </cell>
          <cell r="AH21">
            <v>2042.9121669187502</v>
          </cell>
          <cell r="AI21">
            <v>2055.7851336836693</v>
          </cell>
          <cell r="AJ21">
            <v>2068.6581004485884</v>
          </cell>
          <cell r="AK21">
            <v>2081.5310672135074</v>
          </cell>
          <cell r="AL21">
            <v>2094.404033978426</v>
          </cell>
          <cell r="AM21">
            <v>2109.5154848191301</v>
          </cell>
          <cell r="AN21">
            <v>2124.6269356598341</v>
          </cell>
          <cell r="AO21">
            <v>2139.7383865005381</v>
          </cell>
          <cell r="AP21">
            <v>2154.8498373412422</v>
          </cell>
          <cell r="AQ21">
            <v>2169.9612881819471</v>
          </cell>
          <cell r="AR21">
            <v>2178.1197893244985</v>
          </cell>
          <cell r="AS21">
            <v>2186.2782904670498</v>
          </cell>
          <cell r="AT21">
            <v>2194.4367916096012</v>
          </cell>
          <cell r="AU21">
            <v>2202.5952927521525</v>
          </cell>
          <cell r="AV21">
            <v>2210.753793894703</v>
          </cell>
          <cell r="AW21">
            <v>2218.7562257697668</v>
          </cell>
          <cell r="AX21">
            <v>2226.7586576448307</v>
          </cell>
          <cell r="AY21">
            <v>2234.7610895198945</v>
          </cell>
          <cell r="AZ21">
            <v>2242.7635213949584</v>
          </cell>
          <cell r="BA21">
            <v>2250.7659532700231</v>
          </cell>
        </row>
        <row r="22">
          <cell r="A22">
            <v>3</v>
          </cell>
          <cell r="B22" t="str">
            <v>Cement</v>
          </cell>
          <cell r="C22">
            <v>3409.1997904373334</v>
          </cell>
          <cell r="D22">
            <v>3635.1730407050004</v>
          </cell>
          <cell r="E22">
            <v>3835.5792084920004</v>
          </cell>
          <cell r="F22">
            <v>4074.3360000000011</v>
          </cell>
          <cell r="G22">
            <v>4175.3100000000004</v>
          </cell>
          <cell r="H22">
            <v>4206.2428347708665</v>
          </cell>
          <cell r="I22">
            <v>4237.1756695417325</v>
          </cell>
          <cell r="J22">
            <v>4268.1085043125986</v>
          </cell>
          <cell r="K22">
            <v>4299.0413390834647</v>
          </cell>
          <cell r="L22">
            <v>4329.9741738543307</v>
          </cell>
          <cell r="M22">
            <v>4360.9070086251968</v>
          </cell>
          <cell r="N22">
            <v>4391.8398433960629</v>
          </cell>
          <cell r="O22">
            <v>4422.7726781669289</v>
          </cell>
          <cell r="P22">
            <v>4453.705512937795</v>
          </cell>
          <cell r="Q22">
            <v>4484.6383477086611</v>
          </cell>
          <cell r="R22">
            <v>4515.5711824795253</v>
          </cell>
          <cell r="S22">
            <v>4531.3959718965361</v>
          </cell>
          <cell r="T22">
            <v>4547.220761313547</v>
          </cell>
          <cell r="U22">
            <v>4563.0455507305578</v>
          </cell>
          <cell r="V22">
            <v>4578.8703401475686</v>
          </cell>
          <cell r="W22">
            <v>4594.6951295645804</v>
          </cell>
          <cell r="X22">
            <v>4608.068035312901</v>
          </cell>
          <cell r="Y22">
            <v>4621.4409410612216</v>
          </cell>
          <cell r="Z22">
            <v>4634.8138468095422</v>
          </cell>
          <cell r="AA22">
            <v>4648.1867525578627</v>
          </cell>
          <cell r="AB22">
            <v>4661.5596583061852</v>
          </cell>
          <cell r="AC22">
            <v>4705.7681332507764</v>
          </cell>
          <cell r="AD22">
            <v>4749.9766081953676</v>
          </cell>
          <cell r="AE22">
            <v>4794.1850831399588</v>
          </cell>
          <cell r="AF22">
            <v>4838.39355808455</v>
          </cell>
          <cell r="AG22">
            <v>4882.6020330291394</v>
          </cell>
          <cell r="AH22">
            <v>4909.7191737515013</v>
          </cell>
          <cell r="AI22">
            <v>4936.8363144738632</v>
          </cell>
          <cell r="AJ22">
            <v>4963.9534551962251</v>
          </cell>
          <cell r="AK22">
            <v>4991.0705959185871</v>
          </cell>
          <cell r="AL22">
            <v>5018.1877366409472</v>
          </cell>
          <cell r="AM22">
            <v>5033.2687704256514</v>
          </cell>
          <cell r="AN22">
            <v>5048.3498042103556</v>
          </cell>
          <cell r="AO22">
            <v>5063.4308379950598</v>
          </cell>
          <cell r="AP22">
            <v>5078.5118717797641</v>
          </cell>
          <cell r="AQ22">
            <v>5093.5929055644683</v>
          </cell>
          <cell r="AR22">
            <v>5079.6858474892733</v>
          </cell>
          <cell r="AS22">
            <v>5065.7787894140783</v>
          </cell>
          <cell r="AT22">
            <v>5051.8717313388834</v>
          </cell>
          <cell r="AU22">
            <v>5037.9646732636884</v>
          </cell>
          <cell r="AV22">
            <v>5024.0576151884925</v>
          </cell>
          <cell r="AW22">
            <v>5004.5935754238835</v>
          </cell>
          <cell r="AX22">
            <v>4985.1295356592746</v>
          </cell>
          <cell r="AY22">
            <v>4965.6654958946656</v>
          </cell>
          <cell r="AZ22">
            <v>4946.2014561300566</v>
          </cell>
          <cell r="BA22">
            <v>4926.7374163654467</v>
          </cell>
        </row>
        <row r="23">
          <cell r="A23">
            <v>4</v>
          </cell>
          <cell r="B23" t="str">
            <v>Chemical and Petrochemical Industry</v>
          </cell>
          <cell r="C23">
            <v>1.0501639926970658</v>
          </cell>
          <cell r="D23">
            <v>1.0717952822356573</v>
          </cell>
          <cell r="E23">
            <v>1.1202745514263825</v>
          </cell>
          <cell r="F23">
            <v>1.1284818511389074</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row>
        <row r="24">
          <cell r="A24">
            <v>5</v>
          </cell>
          <cell r="B24" t="str">
            <v>Aluminium</v>
          </cell>
          <cell r="C24">
            <v>77.721038457266943</v>
          </cell>
          <cell r="D24">
            <v>92.661824812873292</v>
          </cell>
          <cell r="E24">
            <v>98.183826181181473</v>
          </cell>
          <cell r="F24">
            <v>117.83400503043691</v>
          </cell>
          <cell r="G24">
            <v>126.29013428541874</v>
          </cell>
          <cell r="H24">
            <v>130.87854992364788</v>
          </cell>
          <cell r="I24">
            <v>135.466965561877</v>
          </cell>
          <cell r="J24">
            <v>140.05538120010613</v>
          </cell>
          <cell r="K24">
            <v>144.64379683833525</v>
          </cell>
          <cell r="L24">
            <v>149.23221247656437</v>
          </cell>
          <cell r="M24">
            <v>153.82062811479349</v>
          </cell>
          <cell r="N24">
            <v>158.40904375302262</v>
          </cell>
          <cell r="O24">
            <v>162.99745939125174</v>
          </cell>
          <cell r="P24">
            <v>167.58587502948086</v>
          </cell>
          <cell r="Q24">
            <v>172.17429066770998</v>
          </cell>
          <cell r="R24">
            <v>176.76270630593922</v>
          </cell>
          <cell r="S24">
            <v>181.9974210212136</v>
          </cell>
          <cell r="T24">
            <v>187.23213573648798</v>
          </cell>
          <cell r="U24">
            <v>192.46685045176235</v>
          </cell>
          <cell r="V24">
            <v>197.70156516703673</v>
          </cell>
          <cell r="W24">
            <v>202.93627988231111</v>
          </cell>
          <cell r="X24">
            <v>207.50030461650417</v>
          </cell>
          <cell r="Y24">
            <v>212.06432935069722</v>
          </cell>
          <cell r="Z24">
            <v>216.62835408489028</v>
          </cell>
          <cell r="AA24">
            <v>221.19237881908333</v>
          </cell>
          <cell r="AB24">
            <v>225.75640355327636</v>
          </cell>
          <cell r="AC24">
            <v>228.50700401998105</v>
          </cell>
          <cell r="AD24">
            <v>231.25760448668575</v>
          </cell>
          <cell r="AE24">
            <v>234.00820495339045</v>
          </cell>
          <cell r="AF24">
            <v>236.75880542009514</v>
          </cell>
          <cell r="AG24">
            <v>239.50940588679978</v>
          </cell>
          <cell r="AH24">
            <v>241.10857944025648</v>
          </cell>
          <cell r="AI24">
            <v>242.70775299371317</v>
          </cell>
          <cell r="AJ24">
            <v>244.30692654716987</v>
          </cell>
          <cell r="AK24">
            <v>245.90610010062656</v>
          </cell>
          <cell r="AL24">
            <v>247.50527365408323</v>
          </cell>
          <cell r="AM24">
            <v>248.33309079578913</v>
          </cell>
          <cell r="AN24">
            <v>249.16090793749504</v>
          </cell>
          <cell r="AO24">
            <v>249.98872507920095</v>
          </cell>
          <cell r="AP24">
            <v>250.81654222090685</v>
          </cell>
          <cell r="AQ24">
            <v>251.6443593626127</v>
          </cell>
          <cell r="AR24">
            <v>252.48766672268766</v>
          </cell>
          <cell r="AS24">
            <v>253.33097408276262</v>
          </cell>
          <cell r="AT24">
            <v>254.17428144283758</v>
          </cell>
          <cell r="AU24">
            <v>255.01758880291254</v>
          </cell>
          <cell r="AV24">
            <v>255.86089616298753</v>
          </cell>
          <cell r="AW24">
            <v>256.55549160776502</v>
          </cell>
          <cell r="AX24">
            <v>257.25008705254254</v>
          </cell>
          <cell r="AY24">
            <v>257.94468249732006</v>
          </cell>
          <cell r="AZ24">
            <v>258.63927794209758</v>
          </cell>
          <cell r="BA24">
            <v>259.3338733868751</v>
          </cell>
        </row>
        <row r="25">
          <cell r="A25">
            <v>6</v>
          </cell>
          <cell r="B25" t="str">
            <v>Pulp &amp; Paper</v>
          </cell>
          <cell r="C25">
            <v>407.77952433333337</v>
          </cell>
          <cell r="D25">
            <v>403.10187100000002</v>
          </cell>
          <cell r="E25">
            <v>403.10187100000002</v>
          </cell>
          <cell r="F25">
            <v>396.08539099999996</v>
          </cell>
          <cell r="G25">
            <v>400.2218530822455</v>
          </cell>
          <cell r="H25">
            <v>403.97193673417809</v>
          </cell>
          <cell r="I25">
            <v>407.72202038611067</v>
          </cell>
          <cell r="J25">
            <v>411.47210403804326</v>
          </cell>
          <cell r="K25">
            <v>415.22218768997584</v>
          </cell>
          <cell r="L25">
            <v>418.97227134190842</v>
          </cell>
          <cell r="M25">
            <v>422.72235499384101</v>
          </cell>
          <cell r="N25">
            <v>426.47243864577359</v>
          </cell>
          <cell r="O25">
            <v>430.22252229770618</v>
          </cell>
          <cell r="P25">
            <v>433.97260594963876</v>
          </cell>
          <cell r="Q25">
            <v>437.72268960157135</v>
          </cell>
          <cell r="R25">
            <v>441.47277325350422</v>
          </cell>
          <cell r="S25">
            <v>445.26817921431854</v>
          </cell>
          <cell r="T25">
            <v>449.06358517513286</v>
          </cell>
          <cell r="U25">
            <v>452.85899113594718</v>
          </cell>
          <cell r="V25">
            <v>456.6543970967615</v>
          </cell>
          <cell r="W25">
            <v>460.44980305757571</v>
          </cell>
          <cell r="X25">
            <v>462.8555846482688</v>
          </cell>
          <cell r="Y25">
            <v>465.2613662389619</v>
          </cell>
          <cell r="Z25">
            <v>467.66714782965499</v>
          </cell>
          <cell r="AA25">
            <v>470.07292942034809</v>
          </cell>
          <cell r="AB25">
            <v>472.47871101104107</v>
          </cell>
          <cell r="AC25">
            <v>474.67534386080189</v>
          </cell>
          <cell r="AD25">
            <v>476.87197671056271</v>
          </cell>
          <cell r="AE25">
            <v>479.06860956032352</v>
          </cell>
          <cell r="AF25">
            <v>481.26524241008434</v>
          </cell>
          <cell r="AG25">
            <v>483.46187525984527</v>
          </cell>
          <cell r="AH25">
            <v>484.99925769342559</v>
          </cell>
          <cell r="AI25">
            <v>486.53664012700591</v>
          </cell>
          <cell r="AJ25">
            <v>488.07402256058623</v>
          </cell>
          <cell r="AK25">
            <v>489.61140499416655</v>
          </cell>
          <cell r="AL25">
            <v>491.14878742774687</v>
          </cell>
          <cell r="AM25">
            <v>492.50677376399909</v>
          </cell>
          <cell r="AN25">
            <v>493.86476010025132</v>
          </cell>
          <cell r="AO25">
            <v>495.22274643650354</v>
          </cell>
          <cell r="AP25">
            <v>496.58073277275577</v>
          </cell>
          <cell r="AQ25">
            <v>497.9387191090081</v>
          </cell>
          <cell r="AR25">
            <v>499.21854727864087</v>
          </cell>
          <cell r="AS25">
            <v>500.49837544827363</v>
          </cell>
          <cell r="AT25">
            <v>501.7782036179064</v>
          </cell>
          <cell r="AU25">
            <v>503.05803178753916</v>
          </cell>
          <cell r="AV25">
            <v>504.33785995717193</v>
          </cell>
          <cell r="AW25">
            <v>505.49001053178648</v>
          </cell>
          <cell r="AX25">
            <v>506.64216110640103</v>
          </cell>
          <cell r="AY25">
            <v>507.79431168101559</v>
          </cell>
          <cell r="AZ25">
            <v>508.94646225563014</v>
          </cell>
          <cell r="BA25">
            <v>510.09861283024463</v>
          </cell>
        </row>
        <row r="26">
          <cell r="A26">
            <v>7</v>
          </cell>
          <cell r="B26" t="str">
            <v>Manufacture of light-road automotor vehicles</v>
          </cell>
          <cell r="C26">
            <v>0.81424748451644979</v>
          </cell>
          <cell r="D26">
            <v>0.8494799731714765</v>
          </cell>
          <cell r="E26">
            <v>0.87628956112476841</v>
          </cell>
          <cell r="F26">
            <v>0.89766226352060141</v>
          </cell>
          <cell r="G26">
            <v>0.9210104589947723</v>
          </cell>
          <cell r="H26">
            <v>0.95969289827255277</v>
          </cell>
          <cell r="I26">
            <v>1</v>
          </cell>
          <cell r="J26">
            <v>1.042</v>
          </cell>
          <cell r="K26">
            <v>1.0857640000000002</v>
          </cell>
          <cell r="L26">
            <v>1.131366088</v>
          </cell>
          <cell r="M26">
            <v>1.1788834636960002</v>
          </cell>
          <cell r="N26">
            <v>1.2283965691712324</v>
          </cell>
          <cell r="O26">
            <v>1.2799892250764242</v>
          </cell>
          <cell r="P26">
            <v>1.333748772529634</v>
          </cell>
          <cell r="Q26">
            <v>1.3897662209758785</v>
          </cell>
          <cell r="R26">
            <v>1.4481364022568655</v>
          </cell>
          <cell r="S26">
            <v>1.5089581311516538</v>
          </cell>
          <cell r="T26">
            <v>1.5723343726600234</v>
          </cell>
          <cell r="U26">
            <v>1.6383724163117444</v>
          </cell>
          <cell r="V26">
            <v>1.7071840577968376</v>
          </cell>
          <cell r="W26">
            <v>1.7788857882243048</v>
          </cell>
          <cell r="X26">
            <v>1.8411467908121555</v>
          </cell>
          <cell r="Y26">
            <v>1.9055869284905806</v>
          </cell>
          <cell r="Z26">
            <v>1.9722824709877509</v>
          </cell>
          <cell r="AA26">
            <v>2.041312357472322</v>
          </cell>
          <cell r="AB26">
            <v>2.1127582899838533</v>
          </cell>
          <cell r="AC26">
            <v>2.1867048301332881</v>
          </cell>
          <cell r="AD26">
            <v>2.2632394991879528</v>
          </cell>
          <cell r="AE26">
            <v>2.3424528816595309</v>
          </cell>
          <cell r="AF26">
            <v>2.4244387325176144</v>
          </cell>
          <cell r="AG26">
            <v>2.5092940881557309</v>
          </cell>
          <cell r="AH26">
            <v>2.597119381241181</v>
          </cell>
          <cell r="AI26">
            <v>2.6542560076284869</v>
          </cell>
          <cell r="AJ26">
            <v>2.7126496397963136</v>
          </cell>
          <cell r="AK26">
            <v>2.7723279318718324</v>
          </cell>
          <cell r="AL26">
            <v>2.8333191463730127</v>
          </cell>
          <cell r="AM26">
            <v>2.895652167593219</v>
          </cell>
          <cell r="AN26">
            <v>2.9593565152802701</v>
          </cell>
          <cell r="AO26">
            <v>3.0244623586164359</v>
          </cell>
          <cell r="AP26">
            <v>3.0910005305059975</v>
          </cell>
          <cell r="AQ26">
            <v>3.1590025421771295</v>
          </cell>
          <cell r="AR26">
            <v>3.2285005981050268</v>
          </cell>
          <cell r="AS26">
            <v>3.2995276112633372</v>
          </cell>
          <cell r="AT26">
            <v>3.3721172187111308</v>
          </cell>
          <cell r="AU26">
            <v>3.4463037975227753</v>
          </cell>
          <cell r="AV26">
            <v>3.5221224810682763</v>
          </cell>
          <cell r="AW26">
            <v>3.5996091756517785</v>
          </cell>
          <cell r="AX26">
            <v>3.6788005775161179</v>
          </cell>
          <cell r="AY26">
            <v>3.7597341902214718</v>
          </cell>
          <cell r="AZ26">
            <v>3.8424483424063447</v>
          </cell>
          <cell r="BA26">
            <v>3.9269822059392845</v>
          </cell>
        </row>
        <row r="27">
          <cell r="A27">
            <v>8</v>
          </cell>
          <cell r="B27" t="str">
            <v>Other Industry</v>
          </cell>
          <cell r="C27">
            <v>0.81424748451644979</v>
          </cell>
          <cell r="D27">
            <v>0.8494799731714765</v>
          </cell>
          <cell r="E27">
            <v>0.87628956112476841</v>
          </cell>
          <cell r="F27">
            <v>0.89766226352060141</v>
          </cell>
          <cell r="G27">
            <v>0.9210104589947723</v>
          </cell>
          <cell r="H27">
            <v>0.95969289827255277</v>
          </cell>
          <cell r="I27">
            <v>1</v>
          </cell>
          <cell r="J27">
            <v>1.042</v>
          </cell>
          <cell r="K27">
            <v>1.0857640000000002</v>
          </cell>
          <cell r="L27">
            <v>1.131366088</v>
          </cell>
          <cell r="M27">
            <v>1.1788834636960002</v>
          </cell>
          <cell r="N27">
            <v>1.2283965691712324</v>
          </cell>
          <cell r="O27">
            <v>1.2799892250764242</v>
          </cell>
          <cell r="P27">
            <v>1.333748772529634</v>
          </cell>
          <cell r="Q27">
            <v>1.3897662209758785</v>
          </cell>
          <cell r="R27">
            <v>1.4481364022568655</v>
          </cell>
          <cell r="S27">
            <v>1.5089581311516538</v>
          </cell>
          <cell r="T27">
            <v>1.5723343726600234</v>
          </cell>
          <cell r="U27">
            <v>1.6383724163117444</v>
          </cell>
          <cell r="V27">
            <v>1.7071840577968376</v>
          </cell>
          <cell r="W27">
            <v>1.7788857882243048</v>
          </cell>
          <cell r="X27">
            <v>1.8411467908121555</v>
          </cell>
          <cell r="Y27">
            <v>1.9055869284905806</v>
          </cell>
          <cell r="Z27">
            <v>1.9722824709877509</v>
          </cell>
          <cell r="AA27">
            <v>2.041312357472322</v>
          </cell>
          <cell r="AB27">
            <v>2.1127582899838533</v>
          </cell>
          <cell r="AC27">
            <v>2.1867048301332881</v>
          </cell>
          <cell r="AD27">
            <v>2.2632394991879528</v>
          </cell>
          <cell r="AE27">
            <v>2.3424528816595309</v>
          </cell>
          <cell r="AF27">
            <v>2.4244387325176144</v>
          </cell>
          <cell r="AG27">
            <v>2.5092940881557309</v>
          </cell>
          <cell r="AH27">
            <v>2.597119381241181</v>
          </cell>
          <cell r="AI27">
            <v>2.6542560076284869</v>
          </cell>
          <cell r="AJ27">
            <v>2.7126496397963136</v>
          </cell>
          <cell r="AK27">
            <v>2.7723279318718324</v>
          </cell>
          <cell r="AL27">
            <v>2.8333191463730127</v>
          </cell>
          <cell r="AM27">
            <v>2.895652167593219</v>
          </cell>
          <cell r="AN27">
            <v>2.9593565152802701</v>
          </cell>
          <cell r="AO27">
            <v>3.0244623586164359</v>
          </cell>
          <cell r="AP27">
            <v>3.0910005305059975</v>
          </cell>
          <cell r="AQ27">
            <v>3.1590025421771295</v>
          </cell>
          <cell r="AR27">
            <v>3.2285005981050268</v>
          </cell>
          <cell r="AS27">
            <v>3.2995276112633372</v>
          </cell>
          <cell r="AT27">
            <v>3.3721172187111308</v>
          </cell>
          <cell r="AU27">
            <v>3.4463037975227753</v>
          </cell>
          <cell r="AV27">
            <v>3.5221224810682763</v>
          </cell>
          <cell r="AW27">
            <v>3.5996091756517785</v>
          </cell>
          <cell r="AX27">
            <v>3.6788005775161179</v>
          </cell>
          <cell r="AY27">
            <v>3.7597341902214718</v>
          </cell>
          <cell r="AZ27">
            <v>3.8424483424063447</v>
          </cell>
          <cell r="BA27">
            <v>3.9269822059392845</v>
          </cell>
        </row>
        <row r="28">
          <cell r="A28">
            <v>9</v>
          </cell>
          <cell r="B28" t="str">
            <v>Passenger transport - Air</v>
          </cell>
          <cell r="C28">
            <v>4729108779189.7393</v>
          </cell>
          <cell r="D28">
            <v>5022251508399.7754</v>
          </cell>
          <cell r="E28">
            <v>5315394237609.8115</v>
          </cell>
          <cell r="F28">
            <v>5608536966819.8486</v>
          </cell>
          <cell r="G28">
            <v>6323250067456.2529</v>
          </cell>
          <cell r="H28">
            <v>6526803496181.168</v>
          </cell>
          <cell r="I28">
            <v>6730356924906.084</v>
          </cell>
          <cell r="J28">
            <v>6933910353630.999</v>
          </cell>
          <cell r="K28">
            <v>7137463782355.915</v>
          </cell>
          <cell r="L28">
            <v>7341017211080.8311</v>
          </cell>
          <cell r="M28">
            <v>7544570639805.7461</v>
          </cell>
          <cell r="N28">
            <v>7748124068530.6621</v>
          </cell>
          <cell r="O28">
            <v>7951677497255.5781</v>
          </cell>
          <cell r="P28">
            <v>8155230925980.4932</v>
          </cell>
          <cell r="Q28">
            <v>8358784354705.4092</v>
          </cell>
          <cell r="R28">
            <v>8562337783430.3213</v>
          </cell>
          <cell r="S28">
            <v>8845070815505.957</v>
          </cell>
          <cell r="T28">
            <v>9127803847581.5918</v>
          </cell>
          <cell r="U28">
            <v>9410536879657.2266</v>
          </cell>
          <cell r="V28">
            <v>9693269911732.8633</v>
          </cell>
          <cell r="W28">
            <v>9976002943808.5</v>
          </cell>
          <cell r="X28">
            <v>10295756746758.748</v>
          </cell>
          <cell r="Y28">
            <v>10615510549708.998</v>
          </cell>
          <cell r="Z28">
            <v>10935264352659.246</v>
          </cell>
          <cell r="AA28">
            <v>11255018155609.494</v>
          </cell>
          <cell r="AB28">
            <v>11574771958559.742</v>
          </cell>
          <cell r="AC28">
            <v>11922161061100.209</v>
          </cell>
          <cell r="AD28">
            <v>12269550163640.676</v>
          </cell>
          <cell r="AE28">
            <v>12616939266181.143</v>
          </cell>
          <cell r="AF28">
            <v>12964328368721.607</v>
          </cell>
          <cell r="AG28">
            <v>13311717471262.076</v>
          </cell>
          <cell r="AH28">
            <v>13691758545108.285</v>
          </cell>
          <cell r="AI28">
            <v>14071799618954.494</v>
          </cell>
          <cell r="AJ28">
            <v>14451840692800.703</v>
          </cell>
          <cell r="AK28">
            <v>14831881766646.912</v>
          </cell>
          <cell r="AL28">
            <v>15211922840493.119</v>
          </cell>
          <cell r="AM28">
            <v>15580125472171.637</v>
          </cell>
          <cell r="AN28">
            <v>15948328103850.152</v>
          </cell>
          <cell r="AO28">
            <v>16316530735528.668</v>
          </cell>
          <cell r="AP28">
            <v>16684733367207.184</v>
          </cell>
          <cell r="AQ28">
            <v>17052935998885.699</v>
          </cell>
          <cell r="AR28">
            <v>17410506047176.135</v>
          </cell>
          <cell r="AS28">
            <v>17768076095466.57</v>
          </cell>
          <cell r="AT28">
            <v>18125646143757.008</v>
          </cell>
          <cell r="AU28">
            <v>18483216192047.441</v>
          </cell>
          <cell r="AV28">
            <v>18840786240337.875</v>
          </cell>
          <cell r="AW28">
            <v>19222470926651.176</v>
          </cell>
          <cell r="AX28">
            <v>19604155612964.473</v>
          </cell>
          <cell r="AY28">
            <v>19985840299277.773</v>
          </cell>
          <cell r="AZ28">
            <v>20367524985591.074</v>
          </cell>
          <cell r="BA28">
            <v>20749209671904.371</v>
          </cell>
        </row>
        <row r="29">
          <cell r="A29">
            <v>10</v>
          </cell>
          <cell r="B29" t="str">
            <v>Passenger transport - Light Road</v>
          </cell>
          <cell r="C29">
            <v>23214113418028.082</v>
          </cell>
          <cell r="D29">
            <v>24239765474683.32</v>
          </cell>
          <cell r="E29">
            <v>25265417531338.559</v>
          </cell>
          <cell r="F29">
            <v>26291069587993.801</v>
          </cell>
          <cell r="G29">
            <v>32959267326230.176</v>
          </cell>
          <cell r="H29">
            <v>33568239867940.918</v>
          </cell>
          <cell r="I29">
            <v>34177212409651.656</v>
          </cell>
          <cell r="J29">
            <v>34786184951362.398</v>
          </cell>
          <cell r="K29">
            <v>35395157493073.141</v>
          </cell>
          <cell r="L29">
            <v>36004130034783.875</v>
          </cell>
          <cell r="M29">
            <v>36613102576494.617</v>
          </cell>
          <cell r="N29">
            <v>37222075118205.359</v>
          </cell>
          <cell r="O29">
            <v>37831047659916.094</v>
          </cell>
          <cell r="P29">
            <v>38440020201626.836</v>
          </cell>
          <cell r="Q29">
            <v>39048992743337.578</v>
          </cell>
          <cell r="R29">
            <v>39657965285048.305</v>
          </cell>
          <cell r="S29">
            <v>40186606197681.992</v>
          </cell>
          <cell r="T29">
            <v>40715247110315.68</v>
          </cell>
          <cell r="U29">
            <v>41243888022949.367</v>
          </cell>
          <cell r="V29">
            <v>41772528935583.055</v>
          </cell>
          <cell r="W29">
            <v>42301169848216.727</v>
          </cell>
          <cell r="X29">
            <v>42679255600246.219</v>
          </cell>
          <cell r="Y29">
            <v>43057341352275.719</v>
          </cell>
          <cell r="Z29">
            <v>43435427104305.211</v>
          </cell>
          <cell r="AA29">
            <v>43813512856334.711</v>
          </cell>
          <cell r="AB29">
            <v>44191598608364.219</v>
          </cell>
          <cell r="AC29">
            <v>44455442380689.258</v>
          </cell>
          <cell r="AD29">
            <v>44719286153014.297</v>
          </cell>
          <cell r="AE29">
            <v>44983129925339.336</v>
          </cell>
          <cell r="AF29">
            <v>45246973697664.375</v>
          </cell>
          <cell r="AG29">
            <v>45510817469989.414</v>
          </cell>
          <cell r="AH29">
            <v>45786360349601.781</v>
          </cell>
          <cell r="AI29">
            <v>46061903229214.148</v>
          </cell>
          <cell r="AJ29">
            <v>46337446108826.516</v>
          </cell>
          <cell r="AK29">
            <v>46612988988438.883</v>
          </cell>
          <cell r="AL29">
            <v>46888531868051.234</v>
          </cell>
          <cell r="AM29">
            <v>47143300703482.25</v>
          </cell>
          <cell r="AN29">
            <v>47398069538913.266</v>
          </cell>
          <cell r="AO29">
            <v>47652838374344.281</v>
          </cell>
          <cell r="AP29">
            <v>47907607209775.297</v>
          </cell>
          <cell r="AQ29">
            <v>48162376045206.297</v>
          </cell>
          <cell r="AR29">
            <v>48402258130967.484</v>
          </cell>
          <cell r="AS29">
            <v>48642140216728.672</v>
          </cell>
          <cell r="AT29">
            <v>48882022302489.859</v>
          </cell>
          <cell r="AU29">
            <v>49121904388251.047</v>
          </cell>
          <cell r="AV29">
            <v>49361786474012.242</v>
          </cell>
          <cell r="AW29">
            <v>49585082133000.656</v>
          </cell>
          <cell r="AX29">
            <v>49808377791989.07</v>
          </cell>
          <cell r="AY29">
            <v>50031673450977.484</v>
          </cell>
          <cell r="AZ29">
            <v>50254969109965.898</v>
          </cell>
          <cell r="BA29">
            <v>50478264768954.32</v>
          </cell>
        </row>
        <row r="30">
          <cell r="A30">
            <v>11</v>
          </cell>
          <cell r="B30" t="str">
            <v>Passenger transport - Heavy Road</v>
          </cell>
          <cell r="C30">
            <v>12781010944934.193</v>
          </cell>
          <cell r="D30">
            <v>13111615765201.773</v>
          </cell>
          <cell r="E30">
            <v>13442220585469.354</v>
          </cell>
          <cell r="F30">
            <v>13772825405736.934</v>
          </cell>
          <cell r="G30">
            <v>7343342259661.6992</v>
          </cell>
          <cell r="H30">
            <v>7489827341543.4805</v>
          </cell>
          <cell r="I30">
            <v>7636312423425.2617</v>
          </cell>
          <cell r="J30">
            <v>7782797505307.043</v>
          </cell>
          <cell r="K30">
            <v>7929282587188.8242</v>
          </cell>
          <cell r="L30">
            <v>8075767669070.6055</v>
          </cell>
          <cell r="M30">
            <v>8222252750952.3857</v>
          </cell>
          <cell r="N30">
            <v>8368737832834.167</v>
          </cell>
          <cell r="O30">
            <v>8515222914715.9482</v>
          </cell>
          <cell r="P30">
            <v>8661707996597.7305</v>
          </cell>
          <cell r="Q30">
            <v>8808193078479.5117</v>
          </cell>
          <cell r="R30">
            <v>8954678160361.291</v>
          </cell>
          <cell r="S30">
            <v>9180562839929.4063</v>
          </cell>
          <cell r="T30">
            <v>9406447519497.5195</v>
          </cell>
          <cell r="U30">
            <v>9632332199065.6348</v>
          </cell>
          <cell r="V30">
            <v>9858216878633.75</v>
          </cell>
          <cell r="W30">
            <v>10084101558201.867</v>
          </cell>
          <cell r="X30">
            <v>10332093763427.271</v>
          </cell>
          <cell r="Y30">
            <v>10580085968652.678</v>
          </cell>
          <cell r="Z30">
            <v>10828078173878.084</v>
          </cell>
          <cell r="AA30">
            <v>11076070379103.49</v>
          </cell>
          <cell r="AB30">
            <v>11324062584328.895</v>
          </cell>
          <cell r="AC30">
            <v>11576824089897.84</v>
          </cell>
          <cell r="AD30">
            <v>11829585595466.785</v>
          </cell>
          <cell r="AE30">
            <v>12082347101035.732</v>
          </cell>
          <cell r="AF30">
            <v>12335108606604.678</v>
          </cell>
          <cell r="AG30">
            <v>12587870112173.619</v>
          </cell>
          <cell r="AH30">
            <v>12836914367187.234</v>
          </cell>
          <cell r="AI30">
            <v>13085958622200.848</v>
          </cell>
          <cell r="AJ30">
            <v>13335002877214.461</v>
          </cell>
          <cell r="AK30">
            <v>13584047132228.076</v>
          </cell>
          <cell r="AL30">
            <v>13833091387241.686</v>
          </cell>
          <cell r="AM30">
            <v>14083410802747.867</v>
          </cell>
          <cell r="AN30">
            <v>14333730218254.049</v>
          </cell>
          <cell r="AO30">
            <v>14584049633760.229</v>
          </cell>
          <cell r="AP30">
            <v>14834369049266.41</v>
          </cell>
          <cell r="AQ30">
            <v>15084688464772.59</v>
          </cell>
          <cell r="AR30">
            <v>15324173185357.168</v>
          </cell>
          <cell r="AS30">
            <v>15563657905941.746</v>
          </cell>
          <cell r="AT30">
            <v>15803142626526.324</v>
          </cell>
          <cell r="AU30">
            <v>16042627347110.902</v>
          </cell>
          <cell r="AV30">
            <v>16282112067695.482</v>
          </cell>
          <cell r="AW30">
            <v>16527015557576.211</v>
          </cell>
          <cell r="AX30">
            <v>16771919047456.941</v>
          </cell>
          <cell r="AY30">
            <v>17016822537337.67</v>
          </cell>
          <cell r="AZ30">
            <v>17261726027218.398</v>
          </cell>
          <cell r="BA30">
            <v>17506629517099.129</v>
          </cell>
        </row>
        <row r="31">
          <cell r="A31">
            <v>12</v>
          </cell>
          <cell r="B31" t="str">
            <v>Passenger transport - Rail</v>
          </cell>
          <cell r="C31">
            <v>3477939882172.3838</v>
          </cell>
          <cell r="D31">
            <v>3709604383567.5493</v>
          </cell>
          <cell r="E31">
            <v>3941268884962.7144</v>
          </cell>
          <cell r="F31">
            <v>4172933386357.8794</v>
          </cell>
          <cell r="G31">
            <v>4155825948263.9844</v>
          </cell>
          <cell r="H31">
            <v>4286539425992.4404</v>
          </cell>
          <cell r="I31">
            <v>4417252903720.8965</v>
          </cell>
          <cell r="J31">
            <v>4547966381449.3535</v>
          </cell>
          <cell r="K31">
            <v>4678679859177.8096</v>
          </cell>
          <cell r="L31">
            <v>4809393336906.2656</v>
          </cell>
          <cell r="M31">
            <v>4940106814634.7227</v>
          </cell>
          <cell r="N31">
            <v>5070820292363.1787</v>
          </cell>
          <cell r="O31">
            <v>5201533770091.6348</v>
          </cell>
          <cell r="P31">
            <v>5332247247820.0918</v>
          </cell>
          <cell r="Q31">
            <v>5462960725548.5479</v>
          </cell>
          <cell r="R31">
            <v>5593674203277.0088</v>
          </cell>
          <cell r="S31">
            <v>5808406740355.6943</v>
          </cell>
          <cell r="T31">
            <v>6023139277434.3799</v>
          </cell>
          <cell r="U31">
            <v>6237871814513.0664</v>
          </cell>
          <cell r="V31">
            <v>6452604351591.752</v>
          </cell>
          <cell r="W31">
            <v>6667336888670.4355</v>
          </cell>
          <cell r="X31">
            <v>6924732256342.2725</v>
          </cell>
          <cell r="Y31">
            <v>7182127624014.1084</v>
          </cell>
          <cell r="Z31">
            <v>7439522991685.9453</v>
          </cell>
          <cell r="AA31">
            <v>7696918359357.7822</v>
          </cell>
          <cell r="AB31">
            <v>7954313727029.6172</v>
          </cell>
          <cell r="AC31">
            <v>8222840473249.5469</v>
          </cell>
          <cell r="AD31">
            <v>8491367219469.4775</v>
          </cell>
          <cell r="AE31">
            <v>8759893965689.4072</v>
          </cell>
          <cell r="AF31">
            <v>9028420711909.3379</v>
          </cell>
          <cell r="AG31">
            <v>9296947458129.2676</v>
          </cell>
          <cell r="AH31">
            <v>9587036580054.2969</v>
          </cell>
          <cell r="AI31">
            <v>9877125701979.3262</v>
          </cell>
          <cell r="AJ31">
            <v>10167214823904.355</v>
          </cell>
          <cell r="AK31">
            <v>10457303945829.387</v>
          </cell>
          <cell r="AL31">
            <v>10747393067754.412</v>
          </cell>
          <cell r="AM31">
            <v>11077266562324.385</v>
          </cell>
          <cell r="AN31">
            <v>11407140056894.357</v>
          </cell>
          <cell r="AO31">
            <v>11737013551464.33</v>
          </cell>
          <cell r="AP31">
            <v>12066887046034.303</v>
          </cell>
          <cell r="AQ31">
            <v>12396760540604.273</v>
          </cell>
          <cell r="AR31">
            <v>12741831671520.018</v>
          </cell>
          <cell r="AS31">
            <v>13086902802435.764</v>
          </cell>
          <cell r="AT31">
            <v>13431973933351.508</v>
          </cell>
          <cell r="AU31">
            <v>13777045064267.254</v>
          </cell>
          <cell r="AV31">
            <v>14122116195182.996</v>
          </cell>
          <cell r="AW31">
            <v>14443843014504.518</v>
          </cell>
          <cell r="AX31">
            <v>14765569833826.037</v>
          </cell>
          <cell r="AY31">
            <v>15087296653147.559</v>
          </cell>
          <cell r="AZ31">
            <v>15409023472469.078</v>
          </cell>
          <cell r="BA31">
            <v>15730750291790.602</v>
          </cell>
        </row>
        <row r="32">
          <cell r="A32">
            <v>13</v>
          </cell>
          <cell r="B32" t="str">
            <v>Other transport</v>
          </cell>
          <cell r="C32">
            <v>0.81424748451644979</v>
          </cell>
          <cell r="D32">
            <v>0.8494799731714765</v>
          </cell>
          <cell r="E32">
            <v>0.87628956112476841</v>
          </cell>
          <cell r="F32">
            <v>0.89766226352060141</v>
          </cell>
          <cell r="G32">
            <v>0.9210104589947723</v>
          </cell>
          <cell r="H32">
            <v>0.95969289827255277</v>
          </cell>
          <cell r="I32">
            <v>1</v>
          </cell>
          <cell r="J32">
            <v>1.042</v>
          </cell>
          <cell r="K32">
            <v>1.0857640000000002</v>
          </cell>
          <cell r="L32">
            <v>1.131366088</v>
          </cell>
          <cell r="M32">
            <v>1.1788834636960002</v>
          </cell>
          <cell r="N32">
            <v>1.2283965691712324</v>
          </cell>
          <cell r="O32">
            <v>1.2799892250764242</v>
          </cell>
          <cell r="P32">
            <v>1.333748772529634</v>
          </cell>
          <cell r="Q32">
            <v>1.3897662209758785</v>
          </cell>
          <cell r="R32">
            <v>1.4481364022568655</v>
          </cell>
          <cell r="S32">
            <v>1.5089581311516538</v>
          </cell>
          <cell r="T32">
            <v>1.5723343726600234</v>
          </cell>
          <cell r="U32">
            <v>1.6383724163117444</v>
          </cell>
          <cell r="V32">
            <v>1.7071840577968376</v>
          </cell>
          <cell r="W32">
            <v>1.7788857882243048</v>
          </cell>
          <cell r="X32">
            <v>1.8411467908121555</v>
          </cell>
          <cell r="Y32">
            <v>1.9055869284905806</v>
          </cell>
          <cell r="Z32">
            <v>1.9722824709877509</v>
          </cell>
          <cell r="AA32">
            <v>2.041312357472322</v>
          </cell>
          <cell r="AB32">
            <v>2.1127582899838533</v>
          </cell>
          <cell r="AC32">
            <v>2.1867048301332881</v>
          </cell>
          <cell r="AD32">
            <v>2.2632394991879528</v>
          </cell>
          <cell r="AE32">
            <v>2.3424528816595309</v>
          </cell>
          <cell r="AF32">
            <v>2.4244387325176144</v>
          </cell>
          <cell r="AG32">
            <v>2.5092940881557309</v>
          </cell>
          <cell r="AH32">
            <v>2.597119381241181</v>
          </cell>
          <cell r="AI32">
            <v>2.6542560076284869</v>
          </cell>
          <cell r="AJ32">
            <v>2.7126496397963136</v>
          </cell>
          <cell r="AK32">
            <v>2.7723279318718324</v>
          </cell>
          <cell r="AL32">
            <v>2.8333191463730127</v>
          </cell>
          <cell r="AM32">
            <v>2.895652167593219</v>
          </cell>
          <cell r="AN32">
            <v>2.9593565152802701</v>
          </cell>
          <cell r="AO32">
            <v>3.0244623586164359</v>
          </cell>
          <cell r="AP32">
            <v>3.0910005305059975</v>
          </cell>
          <cell r="AQ32">
            <v>3.1590025421771295</v>
          </cell>
          <cell r="AR32">
            <v>3.2285005981050268</v>
          </cell>
          <cell r="AS32">
            <v>3.2995276112633372</v>
          </cell>
          <cell r="AT32">
            <v>3.3721172187111308</v>
          </cell>
          <cell r="AU32">
            <v>3.4463037975227753</v>
          </cell>
          <cell r="AV32">
            <v>3.5221224810682763</v>
          </cell>
          <cell r="AW32">
            <v>3.5996091756517785</v>
          </cell>
          <cell r="AX32">
            <v>3.6788005775161179</v>
          </cell>
          <cell r="AY32">
            <v>3.7597341902214718</v>
          </cell>
          <cell r="AZ32">
            <v>3.8424483424063447</v>
          </cell>
          <cell r="BA32">
            <v>3.9269822059392845</v>
          </cell>
        </row>
        <row r="33">
          <cell r="A33">
            <v>14</v>
          </cell>
          <cell r="B33" t="str">
            <v>Services / Commercial Buildings</v>
          </cell>
          <cell r="C33">
            <v>1</v>
          </cell>
          <cell r="D33">
            <v>1.0176282693795071</v>
          </cell>
          <cell r="E33">
            <v>1.0352565387590142</v>
          </cell>
          <cell r="F33">
            <v>1.0528848081385214</v>
          </cell>
          <cell r="G33">
            <v>1.0705130775180285</v>
          </cell>
          <cell r="H33">
            <v>1.0881413468975361</v>
          </cell>
          <cell r="I33">
            <v>1.1057696162770432</v>
          </cell>
          <cell r="J33">
            <v>1.1233978856565503</v>
          </cell>
          <cell r="K33">
            <v>1.1410261550360574</v>
          </cell>
          <cell r="L33">
            <v>1.1586544244155648</v>
          </cell>
          <cell r="M33">
            <v>1.1762826937950719</v>
          </cell>
          <cell r="N33">
            <v>1.193910963174579</v>
          </cell>
          <cell r="O33">
            <v>1.2115392325540864</v>
          </cell>
          <cell r="P33">
            <v>1.2291675019335935</v>
          </cell>
          <cell r="Q33">
            <v>1.2467957713131006</v>
          </cell>
          <cell r="R33">
            <v>1.2644240406926079</v>
          </cell>
          <cell r="S33">
            <v>1.2820523100721151</v>
          </cell>
          <cell r="T33">
            <v>1.2996805794516222</v>
          </cell>
          <cell r="U33">
            <v>1.3173088488311293</v>
          </cell>
          <cell r="V33">
            <v>1.3349371182106367</v>
          </cell>
          <cell r="W33">
            <v>1.3525653875901438</v>
          </cell>
          <cell r="X33">
            <v>1.3687916302190832</v>
          </cell>
          <cell r="Y33">
            <v>1.3850178728480222</v>
          </cell>
          <cell r="Z33">
            <v>1.4012441154769617</v>
          </cell>
          <cell r="AA33">
            <v>1.4174703581059009</v>
          </cell>
          <cell r="AB33">
            <v>1.4336966007348402</v>
          </cell>
          <cell r="AC33">
            <v>1.4499228433637796</v>
          </cell>
          <cell r="AD33">
            <v>1.4661490859927189</v>
          </cell>
          <cell r="AE33">
            <v>1.4823753286216581</v>
          </cell>
          <cell r="AF33">
            <v>1.4986015712505973</v>
          </cell>
          <cell r="AG33">
            <v>1.5148278138795366</v>
          </cell>
          <cell r="AH33">
            <v>1.5310540565084758</v>
          </cell>
          <cell r="AI33">
            <v>1.5472802991374153</v>
          </cell>
          <cell r="AJ33">
            <v>1.5635065417663545</v>
          </cell>
          <cell r="AK33">
            <v>1.5797327843952937</v>
          </cell>
          <cell r="AL33">
            <v>1.5959590270242332</v>
          </cell>
          <cell r="AM33">
            <v>1.6121852696531724</v>
          </cell>
          <cell r="AN33">
            <v>1.6284115122821117</v>
          </cell>
          <cell r="AO33">
            <v>1.6446377549110511</v>
          </cell>
          <cell r="AP33">
            <v>1.6608639975399901</v>
          </cell>
          <cell r="AQ33">
            <v>1.6770902401689296</v>
          </cell>
          <cell r="AR33">
            <v>1.6933164827978697</v>
          </cell>
          <cell r="AS33">
            <v>1.7095427254268096</v>
          </cell>
          <cell r="AT33">
            <v>1.7257689680557493</v>
          </cell>
          <cell r="AU33">
            <v>1.7419952106846865</v>
          </cell>
          <cell r="AV33">
            <v>1.7582214533136262</v>
          </cell>
          <cell r="AW33">
            <v>1.7744476959425661</v>
          </cell>
          <cell r="AX33">
            <v>1.7906739385715058</v>
          </cell>
          <cell r="AY33">
            <v>1.8069001812004457</v>
          </cell>
          <cell r="AZ33">
            <v>1.8231264238293854</v>
          </cell>
          <cell r="BA33">
            <v>1.8393526664583224</v>
          </cell>
        </row>
        <row r="34">
          <cell r="C34">
            <v>4.3270000000000003E-2</v>
          </cell>
          <cell r="D34">
            <v>3.1559999999999998E-2</v>
          </cell>
          <cell r="E34">
            <v>2.4389999999999998E-2</v>
          </cell>
          <cell r="F34">
            <v>2.6009999999999998E-2</v>
          </cell>
          <cell r="G34">
            <v>4.2000000000000003E-2</v>
          </cell>
          <cell r="H34">
            <v>4.2000000000000003E-2</v>
          </cell>
          <cell r="I34">
            <v>4.2000000000000003E-2</v>
          </cell>
          <cell r="J34">
            <v>4.2000000000000003E-2</v>
          </cell>
          <cell r="K34">
            <v>4.2000000000000003E-2</v>
          </cell>
          <cell r="L34">
            <v>4.2000000000000003E-2</v>
          </cell>
          <cell r="M34">
            <v>4.2000000000000003E-2</v>
          </cell>
          <cell r="N34">
            <v>4.2000000000000003E-2</v>
          </cell>
          <cell r="O34">
            <v>4.2000000000000003E-2</v>
          </cell>
          <cell r="P34">
            <v>4.2000000000000003E-2</v>
          </cell>
          <cell r="Q34">
            <v>4.2000000000000003E-2</v>
          </cell>
          <cell r="R34">
            <v>4.2000000000000003E-2</v>
          </cell>
          <cell r="S34">
            <v>4.2000000000000003E-2</v>
          </cell>
          <cell r="T34">
            <v>4.2000000000000003E-2</v>
          </cell>
          <cell r="U34">
            <v>4.2000000000000003E-2</v>
          </cell>
          <cell r="V34">
            <v>4.2000000000000003E-2</v>
          </cell>
          <cell r="W34">
            <v>3.5000000000000003E-2</v>
          </cell>
          <cell r="X34">
            <v>3.5000000000000003E-2</v>
          </cell>
          <cell r="Y34">
            <v>3.5000000000000003E-2</v>
          </cell>
          <cell r="Z34">
            <v>3.5000000000000003E-2</v>
          </cell>
          <cell r="AA34">
            <v>3.5000000000000003E-2</v>
          </cell>
          <cell r="AB34">
            <v>3.5000000000000003E-2</v>
          </cell>
          <cell r="AC34">
            <v>3.5000000000000003E-2</v>
          </cell>
          <cell r="AD34">
            <v>3.5000000000000003E-2</v>
          </cell>
          <cell r="AE34">
            <v>3.5000000000000003E-2</v>
          </cell>
          <cell r="AF34">
            <v>3.5000000000000003E-2</v>
          </cell>
          <cell r="AG34">
            <v>3.5000000000000003E-2</v>
          </cell>
          <cell r="AH34">
            <v>2.1999999999999999E-2</v>
          </cell>
          <cell r="AI34">
            <v>2.1999999999999999E-2</v>
          </cell>
          <cell r="AJ34">
            <v>2.1999999999999999E-2</v>
          </cell>
          <cell r="AK34">
            <v>2.1999999999999999E-2</v>
          </cell>
          <cell r="AL34">
            <v>2.1999999999999999E-2</v>
          </cell>
          <cell r="AM34">
            <v>2.1999999999999999E-2</v>
          </cell>
          <cell r="AN34">
            <v>2.1999999999999999E-2</v>
          </cell>
          <cell r="AO34">
            <v>2.1999999999999999E-2</v>
          </cell>
          <cell r="AP34">
            <v>2.1999999999999999E-2</v>
          </cell>
          <cell r="AQ34">
            <v>2.1999999999999999E-2</v>
          </cell>
          <cell r="AR34">
            <v>2.1999999999999999E-2</v>
          </cell>
          <cell r="AS34">
            <v>2.1999999999999999E-2</v>
          </cell>
          <cell r="AT34">
            <v>2.1999999999999999E-2</v>
          </cell>
          <cell r="AU34">
            <v>2.1999999999999999E-2</v>
          </cell>
          <cell r="AV34">
            <v>2.1999999999999999E-2</v>
          </cell>
          <cell r="AW34">
            <v>2.1999999999999999E-2</v>
          </cell>
          <cell r="AX34">
            <v>2.1999999999999999E-2</v>
          </cell>
          <cell r="AY34">
            <v>2.1999999999999999E-2</v>
          </cell>
          <cell r="AZ34">
            <v>2.1999999999999999E-2</v>
          </cell>
          <cell r="BA34">
            <v>2.1999999999999999E-2</v>
          </cell>
        </row>
        <row r="35">
          <cell r="C35">
            <v>1</v>
          </cell>
          <cell r="D35">
            <v>1.0432699999999999</v>
          </cell>
          <cell r="E35">
            <v>1.0761956012</v>
          </cell>
          <cell r="F35">
            <v>1.1024440119132679</v>
          </cell>
          <cell r="G35">
            <v>1.1311185806631321</v>
          </cell>
          <cell r="H35">
            <v>1.1786255610509837</v>
          </cell>
          <cell r="I35">
            <v>1.228127834615125</v>
          </cell>
          <cell r="J35">
            <v>1.2797092036689603</v>
          </cell>
          <cell r="K35">
            <v>1.3334569902230566</v>
          </cell>
          <cell r="L35">
            <v>1.389462183812425</v>
          </cell>
          <cell r="M35">
            <v>1.447819595532547</v>
          </cell>
          <cell r="N35">
            <v>1.5086280185449141</v>
          </cell>
          <cell r="O35">
            <v>1.5719903953238006</v>
          </cell>
          <cell r="P35">
            <v>1.6380139919274002</v>
          </cell>
          <cell r="Q35">
            <v>1.706810579588351</v>
          </cell>
          <cell r="R35">
            <v>1.7784966239310618</v>
          </cell>
          <cell r="S35">
            <v>1.8531934821361664</v>
          </cell>
          <cell r="T35">
            <v>1.9310276083858855</v>
          </cell>
          <cell r="U35">
            <v>2.0121307679380926</v>
          </cell>
          <cell r="V35">
            <v>2.0966402601914926</v>
          </cell>
          <cell r="W35">
            <v>2.1846991511195353</v>
          </cell>
          <cell r="X35">
            <v>2.261163621408719</v>
          </cell>
          <cell r="Y35">
            <v>2.3403043481580239</v>
          </cell>
          <cell r="Z35">
            <v>2.4222150003435545</v>
          </cell>
          <cell r="AA35">
            <v>2.5069925253555789</v>
          </cell>
          <cell r="AB35">
            <v>2.5947372637430242</v>
          </cell>
          <cell r="AC35">
            <v>2.6855530679740296</v>
          </cell>
          <cell r="AD35">
            <v>2.7795474253531203</v>
          </cell>
          <cell r="AE35">
            <v>2.8768315852404793</v>
          </cell>
          <cell r="AF35">
            <v>2.977520690723896</v>
          </cell>
          <cell r="AG35">
            <v>3.0817339148992322</v>
          </cell>
          <cell r="AH35">
            <v>3.1895946019207049</v>
          </cell>
          <cell r="AI35">
            <v>3.2597656831629602</v>
          </cell>
          <cell r="AJ35">
            <v>3.3314805281925453</v>
          </cell>
          <cell r="AK35">
            <v>3.4047730998127812</v>
          </cell>
          <cell r="AL35">
            <v>3.4796781080086623</v>
          </cell>
          <cell r="AM35">
            <v>3.5562310263848529</v>
          </cell>
          <cell r="AN35">
            <v>3.6344681089653199</v>
          </cell>
          <cell r="AO35">
            <v>3.714426407362557</v>
          </cell>
          <cell r="AP35">
            <v>3.7961437883245335</v>
          </cell>
          <cell r="AQ35">
            <v>3.8796589516676732</v>
          </cell>
          <cell r="AR35">
            <v>3.9650114486043622</v>
          </cell>
          <cell r="AS35">
            <v>4.0522417004736582</v>
          </cell>
          <cell r="AT35">
            <v>4.1413910178840787</v>
          </cell>
          <cell r="AU35">
            <v>4.2325016202775281</v>
          </cell>
          <cell r="AV35">
            <v>4.3256166559236338</v>
          </cell>
          <cell r="AW35">
            <v>4.4207802223539536</v>
          </cell>
          <cell r="AX35">
            <v>4.5180373872457409</v>
          </cell>
          <cell r="AY35">
            <v>4.6174342097651468</v>
          </cell>
          <cell r="AZ35">
            <v>4.7190177623799805</v>
          </cell>
          <cell r="BA35">
            <v>4.8228361531523403</v>
          </cell>
        </row>
        <row r="36">
          <cell r="C36">
            <v>0.81424748451644979</v>
          </cell>
          <cell r="D36">
            <v>0.8494799731714765</v>
          </cell>
          <cell r="E36">
            <v>0.87628956112476841</v>
          </cell>
          <cell r="F36">
            <v>0.89766226352060141</v>
          </cell>
          <cell r="G36">
            <v>0.9210104589947723</v>
          </cell>
          <cell r="H36">
            <v>0.95969289827255277</v>
          </cell>
          <cell r="I36">
            <v>1</v>
          </cell>
          <cell r="J36">
            <v>1.042</v>
          </cell>
          <cell r="K36">
            <v>1.0857640000000002</v>
          </cell>
          <cell r="L36">
            <v>1.131366088</v>
          </cell>
          <cell r="M36">
            <v>1.1788834636960002</v>
          </cell>
          <cell r="N36">
            <v>1.2283965691712324</v>
          </cell>
          <cell r="O36">
            <v>1.2799892250764242</v>
          </cell>
          <cell r="P36">
            <v>1.333748772529634</v>
          </cell>
          <cell r="Q36">
            <v>1.3897662209758785</v>
          </cell>
          <cell r="R36">
            <v>1.4481364022568655</v>
          </cell>
          <cell r="S36">
            <v>1.5089581311516538</v>
          </cell>
          <cell r="T36">
            <v>1.5723343726600234</v>
          </cell>
          <cell r="U36">
            <v>1.6383724163117444</v>
          </cell>
          <cell r="V36">
            <v>1.7071840577968376</v>
          </cell>
          <cell r="W36">
            <v>1.7788857882243048</v>
          </cell>
          <cell r="X36">
            <v>1.8411467908121555</v>
          </cell>
          <cell r="Y36">
            <v>1.9055869284905806</v>
          </cell>
          <cell r="Z36">
            <v>1.9722824709877509</v>
          </cell>
          <cell r="AA36">
            <v>2.041312357472322</v>
          </cell>
          <cell r="AB36">
            <v>2.1127582899838533</v>
          </cell>
          <cell r="AC36">
            <v>2.1867048301332881</v>
          </cell>
          <cell r="AD36">
            <v>2.2632394991879528</v>
          </cell>
          <cell r="AE36">
            <v>2.3424528816595309</v>
          </cell>
          <cell r="AF36">
            <v>2.4244387325176144</v>
          </cell>
          <cell r="AG36">
            <v>2.5092940881557309</v>
          </cell>
          <cell r="AH36">
            <v>2.597119381241181</v>
          </cell>
          <cell r="AI36">
            <v>2.6542560076284869</v>
          </cell>
          <cell r="AJ36">
            <v>2.7126496397963136</v>
          </cell>
          <cell r="AK36">
            <v>2.7723279318718324</v>
          </cell>
          <cell r="AL36">
            <v>2.8333191463730127</v>
          </cell>
          <cell r="AM36">
            <v>2.895652167593219</v>
          </cell>
          <cell r="AN36">
            <v>2.9593565152802701</v>
          </cell>
          <cell r="AO36">
            <v>3.0244623586164359</v>
          </cell>
          <cell r="AP36">
            <v>3.0910005305059975</v>
          </cell>
          <cell r="AQ36">
            <v>3.1590025421771295</v>
          </cell>
          <cell r="AR36">
            <v>3.2285005981050268</v>
          </cell>
          <cell r="AS36">
            <v>3.2995276112633372</v>
          </cell>
          <cell r="AT36">
            <v>3.3721172187111308</v>
          </cell>
          <cell r="AU36">
            <v>3.4463037975227753</v>
          </cell>
          <cell r="AV36">
            <v>3.5221224810682763</v>
          </cell>
          <cell r="AW36">
            <v>3.5996091756517785</v>
          </cell>
          <cell r="AX36">
            <v>3.6788005775161179</v>
          </cell>
          <cell r="AY36">
            <v>3.7597341902214718</v>
          </cell>
          <cell r="AZ36">
            <v>3.8424483424063447</v>
          </cell>
          <cell r="BA36">
            <v>3.9269822059392845</v>
          </cell>
        </row>
        <row r="37">
          <cell r="C37">
            <v>1.0501639926970658</v>
          </cell>
          <cell r="D37">
            <v>1.0717952822356573</v>
          </cell>
          <cell r="E37">
            <v>1.1202745514263825</v>
          </cell>
          <cell r="F37">
            <v>1.1284818511389074</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row>
        <row r="38">
          <cell r="C38" t="e">
            <v>#DIV/0!</v>
          </cell>
          <cell r="D38" t="e">
            <v>#DIV/0!</v>
          </cell>
          <cell r="E38" t="e">
            <v>#DIV/0!</v>
          </cell>
          <cell r="F38" t="e">
            <v>#DIV/0!</v>
          </cell>
          <cell r="G38" t="e">
            <v>#DIV/0!</v>
          </cell>
          <cell r="H38" t="e">
            <v>#DIV/0!</v>
          </cell>
          <cell r="I38" t="e">
            <v>#DIV/0!</v>
          </cell>
          <cell r="J38" t="e">
            <v>#DIV/0!</v>
          </cell>
          <cell r="K38" t="e">
            <v>#DIV/0!</v>
          </cell>
          <cell r="L38" t="e">
            <v>#DIV/0!</v>
          </cell>
          <cell r="M38" t="e">
            <v>#DIV/0!</v>
          </cell>
          <cell r="N38" t="e">
            <v>#DIV/0!</v>
          </cell>
          <cell r="O38" t="e">
            <v>#DIV/0!</v>
          </cell>
          <cell r="P38" t="e">
            <v>#DIV/0!</v>
          </cell>
          <cell r="Q38" t="e">
            <v>#DIV/0!</v>
          </cell>
          <cell r="R38" t="e">
            <v>#DIV/0!</v>
          </cell>
          <cell r="S38" t="e">
            <v>#DIV/0!</v>
          </cell>
          <cell r="T38" t="e">
            <v>#DIV/0!</v>
          </cell>
          <cell r="U38" t="e">
            <v>#DIV/0!</v>
          </cell>
          <cell r="V38" t="e">
            <v>#DIV/0!</v>
          </cell>
          <cell r="W38" t="e">
            <v>#DIV/0!</v>
          </cell>
          <cell r="X38" t="e">
            <v>#DIV/0!</v>
          </cell>
          <cell r="Y38" t="e">
            <v>#DIV/0!</v>
          </cell>
          <cell r="Z38" t="e">
            <v>#DIV/0!</v>
          </cell>
          <cell r="AA38" t="e">
            <v>#DIV/0!</v>
          </cell>
          <cell r="AB38" t="e">
            <v>#DIV/0!</v>
          </cell>
          <cell r="AC38" t="e">
            <v>#DIV/0!</v>
          </cell>
          <cell r="AD38" t="e">
            <v>#DIV/0!</v>
          </cell>
          <cell r="AE38" t="e">
            <v>#DIV/0!</v>
          </cell>
          <cell r="AF38" t="e">
            <v>#DIV/0!</v>
          </cell>
          <cell r="AG38" t="e">
            <v>#DIV/0!</v>
          </cell>
          <cell r="AH38" t="e">
            <v>#DIV/0!</v>
          </cell>
          <cell r="AI38" t="e">
            <v>#DIV/0!</v>
          </cell>
          <cell r="AJ38" t="e">
            <v>#DIV/0!</v>
          </cell>
          <cell r="AK38" t="e">
            <v>#DIV/0!</v>
          </cell>
          <cell r="AL38" t="e">
            <v>#DIV/0!</v>
          </cell>
          <cell r="AM38" t="e">
            <v>#DIV/0!</v>
          </cell>
          <cell r="AN38" t="e">
            <v>#DIV/0!</v>
          </cell>
          <cell r="AO38" t="e">
            <v>#DIV/0!</v>
          </cell>
          <cell r="AP38" t="e">
            <v>#DIV/0!</v>
          </cell>
          <cell r="AQ38" t="e">
            <v>#DIV/0!</v>
          </cell>
          <cell r="AR38" t="e">
            <v>#DIV/0!</v>
          </cell>
          <cell r="AS38" t="e">
            <v>#DIV/0!</v>
          </cell>
          <cell r="AT38" t="e">
            <v>#DIV/0!</v>
          </cell>
          <cell r="AU38" t="e">
            <v>#DIV/0!</v>
          </cell>
          <cell r="AV38" t="e">
            <v>#DIV/0!</v>
          </cell>
          <cell r="AW38" t="e">
            <v>#DIV/0!</v>
          </cell>
          <cell r="AX38" t="e">
            <v>#DIV/0!</v>
          </cell>
          <cell r="AY38" t="e">
            <v>#DIV/0!</v>
          </cell>
          <cell r="AZ38" t="e">
            <v>#DIV/0!</v>
          </cell>
          <cell r="BA38" t="e">
            <v>#DIV/0!</v>
          </cell>
        </row>
        <row r="39">
          <cell r="C39">
            <v>1</v>
          </cell>
          <cell r="D39">
            <v>0.98988655005590909</v>
          </cell>
          <cell r="E39">
            <v>0.94556871433884837</v>
          </cell>
          <cell r="F39">
            <v>0.9525574572812423</v>
          </cell>
          <cell r="G39">
            <v>0.82537101676194546</v>
          </cell>
          <cell r="H39">
            <v>0.84936418785797652</v>
          </cell>
          <cell r="I39">
            <v>0.87335735895400757</v>
          </cell>
          <cell r="J39">
            <v>0.89735053005003862</v>
          </cell>
          <cell r="K39">
            <v>0.92134370114606978</v>
          </cell>
          <cell r="L39">
            <v>0.94533687224210083</v>
          </cell>
          <cell r="M39">
            <v>0.96933004333813189</v>
          </cell>
          <cell r="N39">
            <v>0.99332321443416294</v>
          </cell>
          <cell r="O39">
            <v>1.0173163855301941</v>
          </cell>
          <cell r="P39">
            <v>1.0413095566262252</v>
          </cell>
          <cell r="Q39">
            <v>1.0653027277222562</v>
          </cell>
          <cell r="R39">
            <v>1.0892958988182864</v>
          </cell>
          <cell r="S39">
            <v>1.0781120103713859</v>
          </cell>
          <cell r="T39">
            <v>1.0669281219244853</v>
          </cell>
          <cell r="U39">
            <v>1.0557442334775848</v>
          </cell>
          <cell r="V39">
            <v>1.0445603450306844</v>
          </cell>
          <cell r="W39">
            <v>1.033376456583784</v>
          </cell>
          <cell r="X39">
            <v>1.0233683009530679</v>
          </cell>
          <cell r="Y39">
            <v>1.0133601453223517</v>
          </cell>
          <cell r="Z39">
            <v>1.0033519896916356</v>
          </cell>
          <cell r="AA39">
            <v>0.99334383406091942</v>
          </cell>
          <cell r="AB39">
            <v>0.98333567843020364</v>
          </cell>
          <cell r="AC39">
            <v>0.97264126869477496</v>
          </cell>
          <cell r="AD39">
            <v>0.96194685895934628</v>
          </cell>
          <cell r="AE39">
            <v>0.95125244922391772</v>
          </cell>
          <cell r="AF39">
            <v>0.94055803948848904</v>
          </cell>
          <cell r="AG39">
            <v>0.92986362975306058</v>
          </cell>
          <cell r="AH39">
            <v>0.91758555015134924</v>
          </cell>
          <cell r="AI39">
            <v>0.90530747054963789</v>
          </cell>
          <cell r="AJ39">
            <v>0.89302939094792655</v>
          </cell>
          <cell r="AK39">
            <v>0.8807513113462152</v>
          </cell>
          <cell r="AL39">
            <v>0.86847323174450397</v>
          </cell>
          <cell r="AM39">
            <v>0.85539102191523064</v>
          </cell>
          <cell r="AN39">
            <v>0.8423088120859572</v>
          </cell>
          <cell r="AO39">
            <v>0.82922660225668376</v>
          </cell>
          <cell r="AP39">
            <v>0.81614439242741033</v>
          </cell>
          <cell r="AQ39">
            <v>0.80306218259813678</v>
          </cell>
          <cell r="AR39">
            <v>0.79545227759918535</v>
          </cell>
          <cell r="AS39">
            <v>0.78784237260023382</v>
          </cell>
          <cell r="AT39">
            <v>0.7802324676012824</v>
          </cell>
          <cell r="AU39">
            <v>0.77262256260233098</v>
          </cell>
          <cell r="AV39">
            <v>0.76501265760337944</v>
          </cell>
          <cell r="AW39">
            <v>0.76373416601209498</v>
          </cell>
          <cell r="AX39">
            <v>0.76245567442081053</v>
          </cell>
          <cell r="AY39">
            <v>0.76117718282952607</v>
          </cell>
          <cell r="AZ39">
            <v>0.75989869123824172</v>
          </cell>
          <cell r="BA39">
            <v>0.75862019964695737</v>
          </cell>
        </row>
        <row r="40">
          <cell r="C40">
            <v>1</v>
          </cell>
          <cell r="D40">
            <v>1.0770975895297799</v>
          </cell>
          <cell r="E40">
            <v>0.99877816126699626</v>
          </cell>
          <cell r="F40">
            <v>1.1535842596930579</v>
          </cell>
          <cell r="G40">
            <v>1.1451677949894976</v>
          </cell>
          <cell r="H40">
            <v>1.1367513302859376</v>
          </cell>
          <cell r="I40">
            <v>1.1283348655823773</v>
          </cell>
          <cell r="J40">
            <v>1.119918400878817</v>
          </cell>
          <cell r="K40">
            <v>1.1115019361752567</v>
          </cell>
          <cell r="L40">
            <v>1.1030854714716967</v>
          </cell>
          <cell r="M40">
            <v>1.0946690067681364</v>
          </cell>
          <cell r="N40">
            <v>1.0827897963585775</v>
          </cell>
          <cell r="O40">
            <v>1.0709105859490191</v>
          </cell>
          <cell r="P40">
            <v>1.0590313755394603</v>
          </cell>
          <cell r="Q40">
            <v>1.0471521651299016</v>
          </cell>
          <cell r="R40">
            <v>1.035272954720343</v>
          </cell>
          <cell r="S40">
            <v>1.0202055330895818</v>
          </cell>
          <cell r="T40">
            <v>1.0051381114588207</v>
          </cell>
          <cell r="U40">
            <v>0.99007068982805935</v>
          </cell>
          <cell r="V40">
            <v>0.9750032681972981</v>
          </cell>
          <cell r="W40">
            <v>0.95993584656653697</v>
          </cell>
          <cell r="X40">
            <v>0.95049024917288516</v>
          </cell>
          <cell r="Y40">
            <v>0.94104465177923335</v>
          </cell>
          <cell r="Z40">
            <v>0.93159905438558166</v>
          </cell>
          <cell r="AA40">
            <v>0.92215345699192997</v>
          </cell>
          <cell r="AB40">
            <v>0.91270785959827816</v>
          </cell>
          <cell r="AC40">
            <v>0.89773718590498375</v>
          </cell>
          <cell r="AD40">
            <v>0.88276651221168922</v>
          </cell>
          <cell r="AE40">
            <v>0.86779583851839492</v>
          </cell>
          <cell r="AF40">
            <v>0.85282516482510051</v>
          </cell>
          <cell r="AG40">
            <v>0.8378544911318061</v>
          </cell>
          <cell r="AH40">
            <v>0.81881583980808748</v>
          </cell>
          <cell r="AI40">
            <v>0.79977718848436874</v>
          </cell>
          <cell r="AJ40">
            <v>0.78073853716065011</v>
          </cell>
          <cell r="AK40">
            <v>0.76169988583693138</v>
          </cell>
          <cell r="AL40">
            <v>0.74266123451321275</v>
          </cell>
          <cell r="AM40">
            <v>0.72255157441711138</v>
          </cell>
          <cell r="AN40">
            <v>0.70244191432101</v>
          </cell>
          <cell r="AO40">
            <v>0.68233225422490873</v>
          </cell>
          <cell r="AP40">
            <v>0.66222259412880735</v>
          </cell>
          <cell r="AQ40">
            <v>0.64211293403270597</v>
          </cell>
          <cell r="AR40">
            <v>0</v>
          </cell>
          <cell r="AS40">
            <v>0</v>
          </cell>
          <cell r="AT40">
            <v>0</v>
          </cell>
          <cell r="AU40">
            <v>0</v>
          </cell>
          <cell r="AV40">
            <v>0</v>
          </cell>
          <cell r="AW40">
            <v>0</v>
          </cell>
          <cell r="AX40">
            <v>0</v>
          </cell>
          <cell r="AY40">
            <v>0</v>
          </cell>
          <cell r="AZ40">
            <v>0</v>
          </cell>
          <cell r="BA40">
            <v>0</v>
          </cell>
        </row>
        <row r="41">
          <cell r="C41">
            <v>1</v>
          </cell>
          <cell r="D41">
            <v>1.0770975895297799</v>
          </cell>
          <cell r="E41">
            <v>0.99877816126699626</v>
          </cell>
          <cell r="F41">
            <v>1.1535842596930579</v>
          </cell>
          <cell r="G41">
            <v>1.1685506270204331</v>
          </cell>
          <cell r="H41">
            <v>1.1516792477641196</v>
          </cell>
          <cell r="I41">
            <v>1.1348078685078062</v>
          </cell>
          <cell r="J41">
            <v>1.1179364892514927</v>
          </cell>
          <cell r="K41">
            <v>1.1010651099951794</v>
          </cell>
          <cell r="L41">
            <v>1.0841937307388658</v>
          </cell>
          <cell r="M41">
            <v>1.0673223514825525</v>
          </cell>
          <cell r="N41">
            <v>1.0504509722262392</v>
          </cell>
          <cell r="O41">
            <v>1.0335795929699259</v>
          </cell>
          <cell r="P41">
            <v>1.0167082137136125</v>
          </cell>
          <cell r="Q41">
            <v>0.99983683445729921</v>
          </cell>
          <cell r="R41">
            <v>0.98296545520098633</v>
          </cell>
          <cell r="S41">
            <v>0.97036918184399878</v>
          </cell>
          <cell r="T41">
            <v>0.95777290848701124</v>
          </cell>
          <cell r="U41">
            <v>0.94517663513002381</v>
          </cell>
          <cell r="V41">
            <v>0.93258036177303627</v>
          </cell>
          <cell r="W41">
            <v>0.91998408841604862</v>
          </cell>
          <cell r="X41">
            <v>0.90800903599796223</v>
          </cell>
          <cell r="Y41">
            <v>0.89603398357987596</v>
          </cell>
          <cell r="Z41">
            <v>0.88405893116178957</v>
          </cell>
          <cell r="AA41">
            <v>0.87208387874370319</v>
          </cell>
          <cell r="AB41">
            <v>0.8601088263256168</v>
          </cell>
          <cell r="AC41">
            <v>0.85028901883368246</v>
          </cell>
          <cell r="AD41">
            <v>0.84046921134174812</v>
          </cell>
          <cell r="AE41">
            <v>0.83064940384981378</v>
          </cell>
          <cell r="AF41">
            <v>0.82082959635787944</v>
          </cell>
          <cell r="AG41">
            <v>0.81100978886594499</v>
          </cell>
          <cell r="AH41">
            <v>0.80531498729261264</v>
          </cell>
          <cell r="AI41">
            <v>0.7996201857192774</v>
          </cell>
          <cell r="AJ41">
            <v>0.79392538414594271</v>
          </cell>
          <cell r="AK41">
            <v>0.78823058257260759</v>
          </cell>
          <cell r="AL41">
            <v>0.78253578099927423</v>
          </cell>
          <cell r="AM41">
            <v>0.77311696145923769</v>
          </cell>
          <cell r="AN41">
            <v>0.76369814191918761</v>
          </cell>
          <cell r="AO41">
            <v>0.75427932237915207</v>
          </cell>
          <cell r="AP41">
            <v>0.74486050283911653</v>
          </cell>
          <cell r="AQ41">
            <v>0.73544168329905935</v>
          </cell>
          <cell r="AR41">
            <v>0.71575977438166183</v>
          </cell>
          <cell r="AS41">
            <v>0.6960778654642642</v>
          </cell>
          <cell r="AT41">
            <v>0.67639595654686657</v>
          </cell>
          <cell r="AU41">
            <v>0.65671404762946906</v>
          </cell>
          <cell r="AV41">
            <v>0.63703213871207154</v>
          </cell>
          <cell r="AW41">
            <v>0.62193662318951581</v>
          </cell>
          <cell r="AX41">
            <v>0.60684110766695998</v>
          </cell>
          <cell r="AY41">
            <v>0.59174559214440425</v>
          </cell>
          <cell r="AZ41">
            <v>0.57665007662184842</v>
          </cell>
          <cell r="BA41">
            <v>0.56155456109929269</v>
          </cell>
        </row>
        <row r="42">
          <cell r="C42">
            <v>1</v>
          </cell>
          <cell r="D42">
            <v>1.099912186666385</v>
          </cell>
          <cell r="E42">
            <v>1.1650715156133469</v>
          </cell>
          <cell r="F42">
            <v>1.2823601311394435</v>
          </cell>
          <cell r="G42">
            <v>1.2631478175442319</v>
          </cell>
          <cell r="H42">
            <v>1.2439355039490196</v>
          </cell>
          <cell r="I42">
            <v>1.2549573799279472</v>
          </cell>
          <cell r="J42">
            <v>1.2659792559068743</v>
          </cell>
          <cell r="K42">
            <v>1.2770011318858021</v>
          </cell>
          <cell r="L42">
            <v>1.2880230078647297</v>
          </cell>
          <cell r="M42">
            <v>1.2990448838436572</v>
          </cell>
          <cell r="N42">
            <v>1.3018698712964798</v>
          </cell>
          <cell r="O42">
            <v>1.3046948587493026</v>
          </cell>
          <cell r="P42">
            <v>1.3075198462021256</v>
          </cell>
          <cell r="Q42">
            <v>1.3103448336549481</v>
          </cell>
          <cell r="R42">
            <v>1.3131698211077716</v>
          </cell>
          <cell r="S42">
            <v>1.3168105307834512</v>
          </cell>
          <cell r="T42">
            <v>1.3204512404591318</v>
          </cell>
          <cell r="U42">
            <v>1.3240919501348123</v>
          </cell>
          <cell r="V42">
            <v>1.3277326598104928</v>
          </cell>
          <cell r="W42">
            <v>1.3313733694861731</v>
          </cell>
          <cell r="X42">
            <v>1.3338739481089614</v>
          </cell>
          <cell r="Y42">
            <v>1.3363745267317502</v>
          </cell>
          <cell r="Z42">
            <v>1.3388751053545378</v>
          </cell>
          <cell r="AA42">
            <v>1.3413756839773265</v>
          </cell>
          <cell r="AB42">
            <v>1.3438762626001151</v>
          </cell>
          <cell r="AC42">
            <v>1.3379829982684472</v>
          </cell>
          <cell r="AD42">
            <v>1.3320897339367799</v>
          </cell>
          <cell r="AE42">
            <v>1.3261964696051125</v>
          </cell>
          <cell r="AF42">
            <v>1.3203032052734451</v>
          </cell>
          <cell r="AG42">
            <v>1.3144099409417778</v>
          </cell>
          <cell r="AH42">
            <v>1.3045972219783597</v>
          </cell>
          <cell r="AI42">
            <v>1.2947845030149414</v>
          </cell>
          <cell r="AJ42">
            <v>1.2849717840515236</v>
          </cell>
          <cell r="AK42">
            <v>1.2751590650881057</v>
          </cell>
          <cell r="AL42">
            <v>1.2653463461246872</v>
          </cell>
          <cell r="AM42">
            <v>1.2534297450261171</v>
          </cell>
          <cell r="AN42">
            <v>1.2415131439275473</v>
          </cell>
          <cell r="AO42">
            <v>1.2295965428289772</v>
          </cell>
          <cell r="AP42">
            <v>1.2176799417304072</v>
          </cell>
          <cell r="AQ42">
            <v>1.2057633406318371</v>
          </cell>
          <cell r="AR42">
            <v>0</v>
          </cell>
          <cell r="AS42">
            <v>0</v>
          </cell>
          <cell r="AT42">
            <v>0</v>
          </cell>
          <cell r="AU42">
            <v>0</v>
          </cell>
          <cell r="AV42">
            <v>0</v>
          </cell>
          <cell r="AW42">
            <v>0</v>
          </cell>
          <cell r="AX42">
            <v>0</v>
          </cell>
          <cell r="AY42">
            <v>0</v>
          </cell>
          <cell r="AZ42">
            <v>0</v>
          </cell>
          <cell r="BA42">
            <v>0</v>
          </cell>
        </row>
        <row r="63">
          <cell r="A63" t="str">
            <v>Code</v>
          </cell>
          <cell r="B63" t="str">
            <v>Sector</v>
          </cell>
          <cell r="C63">
            <v>2010</v>
          </cell>
          <cell r="D63">
            <v>2011</v>
          </cell>
          <cell r="E63">
            <v>2012</v>
          </cell>
          <cell r="F63">
            <v>2013</v>
          </cell>
          <cell r="G63">
            <v>2014</v>
          </cell>
          <cell r="H63">
            <v>2015</v>
          </cell>
          <cell r="I63">
            <v>2016</v>
          </cell>
          <cell r="J63">
            <v>2017</v>
          </cell>
          <cell r="K63">
            <v>2018</v>
          </cell>
          <cell r="L63">
            <v>2019</v>
          </cell>
          <cell r="M63">
            <v>2020</v>
          </cell>
          <cell r="N63">
            <v>2021</v>
          </cell>
          <cell r="O63">
            <v>2022</v>
          </cell>
          <cell r="P63">
            <v>2023</v>
          </cell>
          <cell r="Q63">
            <v>2024</v>
          </cell>
          <cell r="R63">
            <v>2025</v>
          </cell>
          <cell r="S63">
            <v>2026</v>
          </cell>
          <cell r="T63">
            <v>2027</v>
          </cell>
          <cell r="U63">
            <v>2028</v>
          </cell>
          <cell r="V63">
            <v>2029</v>
          </cell>
          <cell r="W63">
            <v>2030</v>
          </cell>
          <cell r="X63">
            <v>2031</v>
          </cell>
          <cell r="Y63">
            <v>2032</v>
          </cell>
          <cell r="Z63">
            <v>2033</v>
          </cell>
          <cell r="AA63">
            <v>2034</v>
          </cell>
          <cell r="AB63">
            <v>2035</v>
          </cell>
          <cell r="AC63">
            <v>2036</v>
          </cell>
          <cell r="AD63">
            <v>2037</v>
          </cell>
          <cell r="AE63">
            <v>2038</v>
          </cell>
          <cell r="AF63">
            <v>2039</v>
          </cell>
          <cell r="AG63">
            <v>2040</v>
          </cell>
          <cell r="AH63">
            <v>2041</v>
          </cell>
          <cell r="AI63">
            <v>2042</v>
          </cell>
          <cell r="AJ63">
            <v>2043</v>
          </cell>
          <cell r="AK63">
            <v>2044</v>
          </cell>
          <cell r="AL63">
            <v>2045</v>
          </cell>
          <cell r="AM63">
            <v>2046</v>
          </cell>
          <cell r="AN63">
            <v>2047</v>
          </cell>
          <cell r="AO63">
            <v>2048</v>
          </cell>
          <cell r="AP63">
            <v>2049</v>
          </cell>
          <cell r="AQ63">
            <v>2050</v>
          </cell>
          <cell r="AR63">
            <v>2051</v>
          </cell>
          <cell r="AS63">
            <v>2052</v>
          </cell>
          <cell r="AT63">
            <v>2053</v>
          </cell>
          <cell r="AU63">
            <v>2054</v>
          </cell>
          <cell r="AV63">
            <v>2055</v>
          </cell>
          <cell r="AW63">
            <v>2056</v>
          </cell>
          <cell r="AX63">
            <v>2057</v>
          </cell>
          <cell r="AY63">
            <v>2058</v>
          </cell>
          <cell r="AZ63">
            <v>2059</v>
          </cell>
          <cell r="BA63">
            <v>2060</v>
          </cell>
        </row>
        <row r="64">
          <cell r="A64">
            <v>1</v>
          </cell>
          <cell r="B64" t="str">
            <v>Power Generation</v>
          </cell>
          <cell r="C64">
            <v>0.59289650355114054</v>
          </cell>
          <cell r="D64">
            <v>0.59050743508161763</v>
          </cell>
          <cell r="E64">
            <v>0.58931070949118391</v>
          </cell>
          <cell r="F64">
            <v>0.5863254695821164</v>
          </cell>
          <cell r="G64">
            <v>0.57202495010378573</v>
          </cell>
          <cell r="H64">
            <v>0.55282690265086254</v>
          </cell>
          <cell r="I64">
            <v>0.53362885519793934</v>
          </cell>
          <cell r="J64">
            <v>0.51443080774501615</v>
          </cell>
          <cell r="K64">
            <v>0.49523276029209301</v>
          </cell>
          <cell r="L64">
            <v>0.47603471283916987</v>
          </cell>
          <cell r="M64">
            <v>0.45683666538624673</v>
          </cell>
          <cell r="N64">
            <v>0.43763861793332359</v>
          </cell>
          <cell r="O64">
            <v>0.41844057048040045</v>
          </cell>
          <cell r="P64">
            <v>0.39924252302747731</v>
          </cell>
          <cell r="Q64">
            <v>0.38004447557455417</v>
          </cell>
          <cell r="R64">
            <v>0.36084642812163092</v>
          </cell>
          <cell r="S64">
            <v>0.33613215558357112</v>
          </cell>
          <cell r="T64">
            <v>0.31225293577582119</v>
          </cell>
          <cell r="U64">
            <v>0.28916714933012472</v>
          </cell>
          <cell r="V64">
            <v>0.26683589744846969</v>
          </cell>
          <cell r="W64">
            <v>0.24522278318004453</v>
          </cell>
          <cell r="X64">
            <v>0.22519474730739691</v>
          </cell>
          <cell r="Y64">
            <v>0.20577177000534561</v>
          </cell>
          <cell r="Z64">
            <v>0.18692684052398867</v>
          </cell>
          <cell r="AA64">
            <v>0.16863453227578118</v>
          </cell>
          <cell r="AB64">
            <v>0.15087088837620599</v>
          </cell>
          <cell r="AC64">
            <v>0.13955249717712462</v>
          </cell>
          <cell r="AD64">
            <v>0.12855706059827168</v>
          </cell>
          <cell r="AE64">
            <v>0.11787095047570341</v>
          </cell>
          <cell r="AF64">
            <v>0.10748129479146865</v>
          </cell>
          <cell r="AG64">
            <v>9.7375925948530978E-2</v>
          </cell>
          <cell r="AH64">
            <v>8.8507835324025549E-2</v>
          </cell>
          <cell r="AI64">
            <v>7.9926891056038993E-2</v>
          </cell>
          <cell r="AJ64">
            <v>7.1619368759401586E-2</v>
          </cell>
          <cell r="AK64">
            <v>6.3572404956674392E-2</v>
          </cell>
          <cell r="AL64">
            <v>5.5773930616305235E-2</v>
          </cell>
          <cell r="AM64">
            <v>5.1677694749685373E-2</v>
          </cell>
          <cell r="AN64">
            <v>4.7707347532077476E-2</v>
          </cell>
          <cell r="AO64">
            <v>4.3857173431373492E-2</v>
          </cell>
          <cell r="AP64">
            <v>4.0121797748907402E-2</v>
          </cell>
          <cell r="AQ64">
            <v>3.6496161586565858E-2</v>
          </cell>
          <cell r="AR64">
            <v>3.24003916608364E-2</v>
          </cell>
          <cell r="AS64">
            <v>2.8438931984398664E-2</v>
          </cell>
          <cell r="AT64">
            <v>2.4605282592861183E-2</v>
          </cell>
          <cell r="AU64">
            <v>2.0893356285559675E-2</v>
          </cell>
          <cell r="AV64">
            <v>1.729744637320153E-2</v>
          </cell>
          <cell r="AW64">
            <v>1.4118077017003879E-2</v>
          </cell>
          <cell r="AX64">
            <v>1.1058297420306402E-2</v>
          </cell>
          <cell r="AY64">
            <v>8.1114847124231001E-3</v>
          </cell>
          <cell r="AZ64">
            <v>5.2714961907964417E-3</v>
          </cell>
          <cell r="BA64">
            <v>2.5326265795585683E-3</v>
          </cell>
        </row>
        <row r="65">
          <cell r="A65">
            <v>2</v>
          </cell>
          <cell r="B65" t="str">
            <v>Iron &amp; Steel Industry</v>
          </cell>
          <cell r="C65">
            <v>2.0375772956457721</v>
          </cell>
          <cell r="D65">
            <v>1.9696535406481577</v>
          </cell>
          <cell r="E65">
            <v>1.6505202557571912</v>
          </cell>
          <cell r="F65">
            <v>1.7082012657062526</v>
          </cell>
          <cell r="G65">
            <v>1.4001273916670471</v>
          </cell>
          <cell r="H65">
            <v>1.3808290330475399</v>
          </cell>
          <cell r="I65">
            <v>1.3615306744280327</v>
          </cell>
          <cell r="J65">
            <v>1.3422323158085254</v>
          </cell>
          <cell r="K65">
            <v>1.3229339571890182</v>
          </cell>
          <cell r="L65">
            <v>1.3036355985695109</v>
          </cell>
          <cell r="M65">
            <v>1.2843372399500037</v>
          </cell>
          <cell r="N65">
            <v>1.2650388813304965</v>
          </cell>
          <cell r="O65">
            <v>1.2457405227109892</v>
          </cell>
          <cell r="P65">
            <v>1.226442164091482</v>
          </cell>
          <cell r="Q65">
            <v>1.2071438054719748</v>
          </cell>
          <cell r="R65">
            <v>1.1878454468524673</v>
          </cell>
          <cell r="S65">
            <v>1.1506808470938699</v>
          </cell>
          <cell r="T65">
            <v>1.1142136382393948</v>
          </cell>
          <cell r="U65">
            <v>1.0784243730209304</v>
          </cell>
          <cell r="V65">
            <v>1.0432943205800225</v>
          </cell>
          <cell r="W65">
            <v>1.008805433779534</v>
          </cell>
          <cell r="X65">
            <v>0.98189871371225135</v>
          </cell>
          <cell r="Y65">
            <v>0.95558877478315463</v>
          </cell>
          <cell r="Z65">
            <v>0.92985598018217996</v>
          </cell>
          <cell r="AA65">
            <v>0.90468154527279332</v>
          </cell>
          <cell r="AB65">
            <v>0.88004749186119235</v>
          </cell>
          <cell r="AC65">
            <v>0.85624071448292183</v>
          </cell>
          <cell r="AD65">
            <v>0.83276651389243661</v>
          </cell>
          <cell r="AE65">
            <v>0.80961796936540231</v>
          </cell>
          <cell r="AF65">
            <v>0.78678835087622889</v>
          </cell>
          <cell r="AG65">
            <v>0.76427111257469182</v>
          </cell>
          <cell r="AH65">
            <v>0.74045003692441591</v>
          </cell>
          <cell r="AI65">
            <v>0.71692728808867545</v>
          </cell>
          <cell r="AJ65">
            <v>0.69369729673075731</v>
          </cell>
          <cell r="AK65">
            <v>0.67075463128539459</v>
          </cell>
          <cell r="AL65">
            <v>0.64809399372480025</v>
          </cell>
          <cell r="AM65">
            <v>0.63855102372518435</v>
          </cell>
          <cell r="AN65">
            <v>0.62914380284895854</v>
          </cell>
          <cell r="AO65">
            <v>0.6198694549975059</v>
          </cell>
          <cell r="AP65">
            <v>0.6107251847497992</v>
          </cell>
          <cell r="AQ65">
            <v>0.60170827455323683</v>
          </cell>
          <cell r="AR65">
            <v>0.59796450487794472</v>
          </cell>
          <cell r="AS65">
            <v>0.594248676338332</v>
          </cell>
          <cell r="AT65">
            <v>0.59056047729481753</v>
          </cell>
          <cell r="AU65">
            <v>0.58689960072512259</v>
          </cell>
          <cell r="AV65">
            <v>0.5832657441390724</v>
          </cell>
          <cell r="AW65">
            <v>0.57685717651716228</v>
          </cell>
          <cell r="AX65">
            <v>0.57049467057834935</v>
          </cell>
          <cell r="AY65">
            <v>0.56417773149728134</v>
          </cell>
          <cell r="AZ65">
            <v>0.55790587151097559</v>
          </cell>
          <cell r="BA65">
            <v>0.55167860979327032</v>
          </cell>
        </row>
        <row r="66">
          <cell r="A66">
            <v>3</v>
          </cell>
          <cell r="B66" t="str">
            <v>Cement</v>
          </cell>
          <cell r="C66">
            <v>0.62735100402732447</v>
          </cell>
          <cell r="D66">
            <v>0.59492184247302204</v>
          </cell>
          <cell r="E66">
            <v>0.59630200110019793</v>
          </cell>
          <cell r="F66">
            <v>0.54696817945515652</v>
          </cell>
          <cell r="G66">
            <v>0.53411625171297805</v>
          </cell>
          <cell r="H66">
            <v>0.53456956621725193</v>
          </cell>
          <cell r="I66">
            <v>0.53501626201899677</v>
          </cell>
          <cell r="J66">
            <v>0.53545648302404214</v>
          </cell>
          <cell r="K66">
            <v>0.53589036899644305</v>
          </cell>
          <cell r="L66">
            <v>0.5363180557064211</v>
          </cell>
          <cell r="M66">
            <v>0.53673967507201092</v>
          </cell>
          <cell r="N66">
            <v>0.53715535529471892</v>
          </cell>
          <cell r="O66">
            <v>0.53756522098949056</v>
          </cell>
          <cell r="P66">
            <v>0.53796939330926119</v>
          </cell>
          <cell r="Q66">
            <v>0.5383679900643521</v>
          </cell>
          <cell r="R66">
            <v>0.53876112583696012</v>
          </cell>
          <cell r="S66">
            <v>0.53037870123221442</v>
          </cell>
          <cell r="T66">
            <v>0.52205462000296632</v>
          </cell>
          <cell r="U66">
            <v>0.51378827513908154</v>
          </cell>
          <cell r="V66">
            <v>0.50557906802184671</v>
          </cell>
          <cell r="W66">
            <v>0.49742640827946349</v>
          </cell>
          <cell r="X66">
            <v>0.49192916219334432</v>
          </cell>
          <cell r="Y66">
            <v>0.48646373049357022</v>
          </cell>
          <cell r="Z66">
            <v>0.48102983779640152</v>
          </cell>
          <cell r="AA66">
            <v>0.47562721188723167</v>
          </cell>
          <cell r="AB66">
            <v>0.47025558367512965</v>
          </cell>
          <cell r="AC66">
            <v>0.45995929819553222</v>
          </cell>
          <cell r="AD66">
            <v>0.44985466969288146</v>
          </cell>
          <cell r="AE66">
            <v>0.43993639620499841</v>
          </cell>
          <cell r="AF66">
            <v>0.43019936954613786</v>
          </cell>
          <cell r="AG66">
            <v>0.42063866653445192</v>
          </cell>
          <cell r="AH66">
            <v>0.41147734522814527</v>
          </cell>
          <cell r="AI66">
            <v>0.40241666685315786</v>
          </cell>
          <cell r="AJ66">
            <v>0.39345498202948076</v>
          </cell>
          <cell r="AK66">
            <v>0.38459067722229628</v>
          </cell>
          <cell r="AL66">
            <v>0.37582217377348154</v>
          </cell>
          <cell r="AM66">
            <v>0.36708857148986024</v>
          </cell>
          <cell r="AN66">
            <v>0.35840714932695544</v>
          </cell>
          <cell r="AO66">
            <v>0.34977744104150926</v>
          </cell>
          <cell r="AP66">
            <v>0.34119898592844539</v>
          </cell>
          <cell r="AQ66">
            <v>0.33267132873888239</v>
          </cell>
          <cell r="AR66">
            <v>0.33188652357570941</v>
          </cell>
          <cell r="AS66">
            <v>0.33109740936887871</v>
          </cell>
          <cell r="AT66">
            <v>0.33030395053190464</v>
          </cell>
          <cell r="AU66">
            <v>0.32950611108536226</v>
          </cell>
          <cell r="AV66">
            <v>0.3287038546514493</v>
          </cell>
          <cell r="AW66">
            <v>0.32507801950601878</v>
          </cell>
          <cell r="AX66">
            <v>0.3214238707936305</v>
          </cell>
          <cell r="AY66">
            <v>0.31774107557015419</v>
          </cell>
          <cell r="AZ66">
            <v>0.31402929565072063</v>
          </cell>
          <cell r="BA66">
            <v>0.31028818750619863</v>
          </cell>
        </row>
        <row r="67">
          <cell r="A67">
            <v>4</v>
          </cell>
          <cell r="B67" t="str">
            <v>Chemical and Petrochemical Industry</v>
          </cell>
          <cell r="C67">
            <v>1.2652423442979688</v>
          </cell>
          <cell r="D67">
            <v>1.2299868635308848</v>
          </cell>
          <cell r="E67">
            <v>1.1240755843609906</v>
          </cell>
          <cell r="F67">
            <v>1.1241480027953119</v>
          </cell>
        </row>
        <row r="68">
          <cell r="A68">
            <v>5</v>
          </cell>
          <cell r="B68" t="str">
            <v>Aluminium</v>
          </cell>
          <cell r="C68">
            <v>1.3449712876232169</v>
          </cell>
          <cell r="D68">
            <v>1.6224552861776789</v>
          </cell>
          <cell r="E68">
            <v>1.6783389954464776</v>
          </cell>
          <cell r="F68">
            <v>2.0666231386437715</v>
          </cell>
          <cell r="G68">
            <v>2.0639175553134463</v>
          </cell>
          <cell r="H68">
            <v>2.0421293442111255</v>
          </cell>
          <cell r="I68">
            <v>2.0218171146240955</v>
          </cell>
          <cell r="J68">
            <v>2.0028358007232145</v>
          </cell>
          <cell r="K68">
            <v>1.9850587438930229</v>
          </cell>
          <cell r="L68">
            <v>1.96837486291552</v>
          </cell>
          <cell r="M68">
            <v>1.952686330628524</v>
          </cell>
          <cell r="N68">
            <v>1.9379066543661723</v>
          </cell>
          <cell r="O68">
            <v>1.9239590806156439</v>
          </cell>
          <cell r="P68">
            <v>1.9107752617519878</v>
          </cell>
          <cell r="Q68">
            <v>1.8982941359606944</v>
          </cell>
          <cell r="R68">
            <v>1.8864609816104381</v>
          </cell>
          <cell r="S68">
            <v>1.8422002718148824</v>
          </cell>
          <cell r="T68">
            <v>1.8004144810599489</v>
          </cell>
          <cell r="U68">
            <v>1.7609016707506433</v>
          </cell>
          <cell r="V68">
            <v>1.7234812899007932</v>
          </cell>
          <cell r="W68">
            <v>1.6879914166802295</v>
          </cell>
          <cell r="X68">
            <v>1.6505501489075296</v>
          </cell>
          <cell r="Y68">
            <v>1.6147204946741494</v>
          </cell>
          <cell r="Z68">
            <v>1.5804005913579982</v>
          </cell>
          <cell r="AA68">
            <v>1.5474969835620296</v>
          </cell>
          <cell r="AB68">
            <v>1.5159237732871187</v>
          </cell>
          <cell r="AC68">
            <v>1.4885124368024718</v>
          </cell>
          <cell r="AD68">
            <v>1.4617531665285342</v>
          </cell>
          <cell r="AE68">
            <v>1.4356229687379209</v>
          </cell>
          <cell r="AF68">
            <v>1.4100999182431426</v>
          </cell>
          <cell r="AG68">
            <v>1.3851630970393838</v>
          </cell>
          <cell r="AH68">
            <v>1.3590425312595762</v>
          </cell>
          <cell r="AI68">
            <v>1.3332661763051845</v>
          </cell>
          <cell r="AJ68">
            <v>1.3078272728158833</v>
          </cell>
          <cell r="AK68">
            <v>1.2827192372609066</v>
          </cell>
          <cell r="AL68">
            <v>1.2579356562587236</v>
          </cell>
          <cell r="AM68">
            <v>1.2345601906169186</v>
          </cell>
          <cell r="AN68">
            <v>1.2113400511963404</v>
          </cell>
          <cell r="AO68">
            <v>1.1882736949468955</v>
          </cell>
          <cell r="AP68">
            <v>1.1653595991897683</v>
          </cell>
          <cell r="AQ68">
            <v>1.1425962612823499</v>
          </cell>
          <cell r="AR68">
            <v>1.119302877255492</v>
          </cell>
          <cell r="AS68">
            <v>1.0961645747954427</v>
          </cell>
          <cell r="AT68">
            <v>1.0731798102988206</v>
          </cell>
          <cell r="AU68">
            <v>1.0503470605801644</v>
          </cell>
          <cell r="AV68">
            <v>1.0276648225354463</v>
          </cell>
          <cell r="AW68">
            <v>1.006898826126988</v>
          </cell>
          <cell r="AX68">
            <v>0.98624496936191564</v>
          </cell>
          <cell r="AY68">
            <v>0.96570234632872121</v>
          </cell>
          <cell r="AZ68">
            <v>0.945270060847473</v>
          </cell>
          <cell r="BA68">
            <v>0.924947226339492</v>
          </cell>
        </row>
        <row r="69">
          <cell r="A69">
            <v>6</v>
          </cell>
          <cell r="B69" t="str">
            <v>Pulp &amp; Paper</v>
          </cell>
          <cell r="C69">
            <v>0.60995015087018667</v>
          </cell>
          <cell r="D69">
            <v>0.58881306597537042</v>
          </cell>
          <cell r="E69">
            <v>0.58881306597537042</v>
          </cell>
          <cell r="F69">
            <v>0.55710743863314616</v>
          </cell>
          <cell r="G69">
            <v>0.48576995354286878</v>
          </cell>
          <cell r="H69">
            <v>0.47374099144523746</v>
          </cell>
          <cell r="I69">
            <v>0.46193330566753277</v>
          </cell>
          <cell r="J69">
            <v>0.45034084619055459</v>
          </cell>
          <cell r="K69">
            <v>0.43895778155835652</v>
          </cell>
          <cell r="L69">
            <v>0.42777848909680533</v>
          </cell>
          <cell r="M69">
            <v>0.41679754565278293</v>
          </cell>
          <cell r="N69">
            <v>0.406009718821984</v>
          </cell>
          <cell r="O69">
            <v>0.39540995863549744</v>
          </cell>
          <cell r="P69">
            <v>0.38499338967741925</v>
          </cell>
          <cell r="Q69">
            <v>0.37475530360764864</v>
          </cell>
          <cell r="R69">
            <v>0.36469115206577313</v>
          </cell>
          <cell r="S69">
            <v>0.35450964601320012</v>
          </cell>
          <cell r="T69">
            <v>0.34450024453573724</v>
          </cell>
          <cell r="U69">
            <v>0.33465862041403116</v>
          </cell>
          <cell r="V69">
            <v>0.32498059028854237</v>
          </cell>
          <cell r="W69">
            <v>0.31546210873049041</v>
          </cell>
          <cell r="X69">
            <v>0.30330239440029605</v>
          </cell>
          <cell r="Y69">
            <v>0.29126843139615805</v>
          </cell>
          <cell r="Z69">
            <v>0.27935827904150778</v>
          </cell>
          <cell r="AA69">
            <v>0.26757003638845422</v>
          </cell>
          <cell r="AB69">
            <v>0.25590184120632548</v>
          </cell>
          <cell r="AC69">
            <v>0.24329920364455673</v>
          </cell>
          <cell r="AD69">
            <v>0.23081267006462722</v>
          </cell>
          <cell r="AE69">
            <v>0.21844064338117952</v>
          </cell>
          <cell r="AF69">
            <v>0.20618155566708224</v>
          </cell>
          <cell r="AG69">
            <v>0.19403386749102047</v>
          </cell>
          <cell r="AH69">
            <v>0.17630589137669367</v>
          </cell>
          <cell r="AI69">
            <v>0.15868995072614606</v>
          </cell>
          <cell r="AJ69">
            <v>0.14118498683918465</v>
          </cell>
          <cell r="AK69">
            <v>0.12378995431291367</v>
          </cell>
          <cell r="AL69">
            <v>0.10650382083361994</v>
          </cell>
          <cell r="AM69">
            <v>0.10650382083361994</v>
          </cell>
          <cell r="AN69">
            <v>0.10650382083361994</v>
          </cell>
          <cell r="AO69">
            <v>0.10650382083361994</v>
          </cell>
          <cell r="AP69">
            <v>0.10650382083361994</v>
          </cell>
          <cell r="AQ69">
            <v>0.10650382083361994</v>
          </cell>
          <cell r="AR69">
            <v>0.10650382083361994</v>
          </cell>
          <cell r="AS69">
            <v>0.10650382083361994</v>
          </cell>
          <cell r="AT69">
            <v>0.10650382083361994</v>
          </cell>
          <cell r="AU69">
            <v>0.10650382083361994</v>
          </cell>
          <cell r="AV69">
            <v>0.10650382083361994</v>
          </cell>
          <cell r="AW69">
            <v>0.10650382083361994</v>
          </cell>
          <cell r="AX69">
            <v>0.10650382083361994</v>
          </cell>
          <cell r="AY69">
            <v>0.10650382083361994</v>
          </cell>
          <cell r="AZ69">
            <v>0.10650382083361994</v>
          </cell>
          <cell r="BA69">
            <v>0.10650382083361994</v>
          </cell>
        </row>
        <row r="70">
          <cell r="A70">
            <v>7</v>
          </cell>
          <cell r="B70" t="str">
            <v>Manufacture of light-road automotor vehicles</v>
          </cell>
          <cell r="C70">
            <v>0.92433466408589537</v>
          </cell>
          <cell r="D70">
            <v>0.95544894189865026</v>
          </cell>
          <cell r="E70">
            <v>0.85436354913720647</v>
          </cell>
          <cell r="F70">
            <v>0.95157766223706075</v>
          </cell>
        </row>
        <row r="71">
          <cell r="A71">
            <v>8</v>
          </cell>
          <cell r="B71" t="str">
            <v>Other Industry</v>
          </cell>
        </row>
        <row r="72">
          <cell r="A72">
            <v>9</v>
          </cell>
          <cell r="B72" t="str">
            <v>Passenger transport - Air</v>
          </cell>
          <cell r="C72">
            <v>186.19806192488642</v>
          </cell>
          <cell r="D72">
            <v>181.28374409254781</v>
          </cell>
          <cell r="E72">
            <v>176.00129418028484</v>
          </cell>
          <cell r="F72">
            <v>171.27104238790841</v>
          </cell>
          <cell r="G72">
            <v>155.71021172031163</v>
          </cell>
          <cell r="H72">
            <v>151.02305278171701</v>
          </cell>
          <cell r="I72">
            <v>146.61941142876449</v>
          </cell>
          <cell r="J72">
            <v>142.47431864380695</v>
          </cell>
          <cell r="K72">
            <v>138.56565377624122</v>
          </cell>
          <cell r="L72">
            <v>134.87374964159645</v>
          </cell>
          <cell r="M72">
            <v>131.38106154746845</v>
          </cell>
          <cell r="N72">
            <v>128.07188849020312</v>
          </cell>
          <cell r="O72">
            <v>124.93213717376744</v>
          </cell>
          <cell r="P72">
            <v>121.94912136895732</v>
          </cell>
          <cell r="Q72">
            <v>119.11139058867779</v>
          </cell>
          <cell r="R72">
            <v>116.40858320075542</v>
          </cell>
          <cell r="S72">
            <v>111.94164456241724</v>
          </cell>
          <cell r="T72">
            <v>107.75143209532509</v>
          </cell>
          <cell r="U72">
            <v>103.81300366372683</v>
          </cell>
          <cell r="V72">
            <v>100.10432717800826</v>
          </cell>
          <cell r="W72">
            <v>96.605868222035994</v>
          </cell>
          <cell r="X72">
            <v>92.403434385016439</v>
          </cell>
          <cell r="Y72">
            <v>88.454166741886723</v>
          </cell>
          <cell r="Z72">
            <v>84.735857090632535</v>
          </cell>
          <cell r="AA72">
            <v>81.228820959349108</v>
          </cell>
          <cell r="AB72">
            <v>77.915549015226603</v>
          </cell>
          <cell r="AC72">
            <v>74.422384733099761</v>
          </cell>
          <cell r="AD72">
            <v>71.127025128212097</v>
          </cell>
          <cell r="AE72">
            <v>68.013131406854285</v>
          </cell>
          <cell r="AF72">
            <v>65.066116017254657</v>
          </cell>
          <cell r="AG72">
            <v>62.272914143240257</v>
          </cell>
          <cell r="AH72">
            <v>59.285009757443646</v>
          </cell>
          <cell r="AI72">
            <v>56.458495729963175</v>
          </cell>
          <cell r="AJ72">
            <v>53.780639779897037</v>
          </cell>
          <cell r="AK72">
            <v>51.240014596213783</v>
          </cell>
          <cell r="AL72">
            <v>48.826334826752266</v>
          </cell>
          <cell r="AM72">
            <v>46.897061593922892</v>
          </cell>
          <cell r="AN72">
            <v>45.056871489673398</v>
          </cell>
          <cell r="AO72">
            <v>43.299733702139498</v>
          </cell>
          <cell r="AP72">
            <v>41.620149776972177</v>
          </cell>
          <cell r="AQ72">
            <v>40.013096144701265</v>
          </cell>
          <cell r="AR72">
            <v>38.742907201255889</v>
          </cell>
          <cell r="AS72">
            <v>37.523841578017546</v>
          </cell>
          <cell r="AT72">
            <v>36.35287369985415</v>
          </cell>
          <cell r="AU72">
            <v>35.227212118645888</v>
          </cell>
          <cell r="AV72">
            <v>34.144277296376124</v>
          </cell>
          <cell r="AW72">
            <v>33.348921731500589</v>
          </cell>
          <cell r="AX72">
            <v>32.584536645056303</v>
          </cell>
          <cell r="AY72">
            <v>31.849347637192967</v>
          </cell>
          <cell r="AZ72">
            <v>31.141713316121059</v>
          </cell>
          <cell r="BA72">
            <v>30.460113064600108</v>
          </cell>
        </row>
        <row r="73">
          <cell r="A73">
            <v>10</v>
          </cell>
          <cell r="B73" t="str">
            <v>Passenger transport - Light Road</v>
          </cell>
          <cell r="C73">
            <v>146.3812565106918</v>
          </cell>
          <cell r="D73">
            <v>143.11691378435967</v>
          </cell>
          <cell r="E73">
            <v>139.67345895745174</v>
          </cell>
          <cell r="F73">
            <v>136.49867228140752</v>
          </cell>
          <cell r="G73">
            <v>127.12253900639521</v>
          </cell>
          <cell r="H73">
            <v>123.43069169882867</v>
          </cell>
          <cell r="I73">
            <v>119.87040770377278</v>
          </cell>
          <cell r="J73">
            <v>116.43477751577922</v>
          </cell>
          <cell r="K73">
            <v>113.11736714067224</v>
          </cell>
          <cell r="L73">
            <v>109.91217788164694</v>
          </cell>
          <cell r="M73">
            <v>106.81361013854776</v>
          </cell>
          <cell r="N73">
            <v>103.81643076072299</v>
          </cell>
          <cell r="O73">
            <v>100.91574355303766</v>
          </cell>
          <cell r="P73">
            <v>98.106962585375442</v>
          </cell>
          <cell r="Q73">
            <v>95.385787999584778</v>
          </cell>
          <cell r="R73">
            <v>92.748184045420686</v>
          </cell>
          <cell r="S73">
            <v>89.597101239058148</v>
          </cell>
          <cell r="T73">
            <v>86.527844844605937</v>
          </cell>
          <cell r="U73">
            <v>83.537268447566561</v>
          </cell>
          <cell r="V73">
            <v>80.622384907824355</v>
          </cell>
          <cell r="W73">
            <v>77.780356407325726</v>
          </cell>
          <cell r="X73">
            <v>75.122683928914725</v>
          </cell>
          <cell r="Y73">
            <v>72.511685400454652</v>
          </cell>
          <cell r="Z73">
            <v>69.946141995058511</v>
          </cell>
          <cell r="AA73">
            <v>67.424876956976789</v>
          </cell>
          <cell r="AB73">
            <v>64.946753801877648</v>
          </cell>
          <cell r="AC73">
            <v>62.542695843106095</v>
          </cell>
          <cell r="AD73">
            <v>60.167005766530139</v>
          </cell>
          <cell r="AE73">
            <v>57.819184405746931</v>
          </cell>
          <cell r="AF73">
            <v>55.498744237293351</v>
          </cell>
          <cell r="AG73">
            <v>53.205209043152884</v>
          </cell>
          <cell r="AH73">
            <v>51.005213354838105</v>
          </cell>
          <cell r="AI73">
            <v>48.831538469816081</v>
          </cell>
          <cell r="AJ73">
            <v>46.683714842791879</v>
          </cell>
          <cell r="AK73">
            <v>44.56128403094359</v>
          </cell>
          <cell r="AL73">
            <v>42.463798367700953</v>
          </cell>
          <cell r="AM73">
            <v>40.502858048656257</v>
          </cell>
          <cell r="AN73">
            <v>38.562998186528603</v>
          </cell>
          <cell r="AO73">
            <v>36.643880670705322</v>
          </cell>
          <cell r="AP73">
            <v>34.745174582754892</v>
          </cell>
          <cell r="AQ73">
            <v>32.866556006201286</v>
          </cell>
          <cell r="AR73">
            <v>31.366439787978408</v>
          </cell>
          <cell r="AS73">
            <v>29.881119423955543</v>
          </cell>
          <cell r="AT73">
            <v>28.410377088015906</v>
          </cell>
          <cell r="AU73">
            <v>26.953999208974114</v>
          </cell>
          <cell r="AV73">
            <v>25.511776367188315</v>
          </cell>
          <cell r="AW73">
            <v>24.509345316228931</v>
          </cell>
          <cell r="AX73">
            <v>23.515902251308731</v>
          </cell>
          <cell r="AY73">
            <v>22.531326829965003</v>
          </cell>
          <cell r="AZ73">
            <v>21.555500848584181</v>
          </cell>
          <cell r="BA73">
            <v>20.588308195094786</v>
          </cell>
        </row>
        <row r="74">
          <cell r="A74">
            <v>11</v>
          </cell>
          <cell r="B74" t="str">
            <v>Passenger transport - Heavy Road</v>
          </cell>
          <cell r="C74">
            <v>33.76330640166708</v>
          </cell>
          <cell r="D74">
            <v>32.769878287270323</v>
          </cell>
          <cell r="E74">
            <v>31.743603722661408</v>
          </cell>
          <cell r="F74">
            <v>30.766598833370729</v>
          </cell>
          <cell r="G74">
            <v>45.775684426408922</v>
          </cell>
          <cell r="H74">
            <v>44.620874572726741</v>
          </cell>
          <cell r="I74">
            <v>43.5103694584514</v>
          </cell>
          <cell r="J74">
            <v>42.44166741883754</v>
          </cell>
          <cell r="K74">
            <v>41.412451651546228</v>
          </cell>
          <cell r="L74">
            <v>40.4205734506941</v>
          </cell>
          <cell r="M74">
            <v>39.464037233084163</v>
          </cell>
          <cell r="N74">
            <v>38.540987137027635</v>
          </cell>
          <cell r="O74">
            <v>37.649695004386984</v>
          </cell>
          <cell r="P74">
            <v>36.788549582090717</v>
          </cell>
          <cell r="Q74">
            <v>35.956046801156454</v>
          </cell>
          <cell r="R74">
            <v>35.150781009837694</v>
          </cell>
          <cell r="S74">
            <v>34.205885099514923</v>
          </cell>
          <cell r="T74">
            <v>33.306370298157269</v>
          </cell>
          <cell r="U74">
            <v>32.449043953026482</v>
          </cell>
          <cell r="V74">
            <v>31.631006028740824</v>
          </cell>
          <cell r="W74">
            <v>30.849616334014407</v>
          </cell>
          <cell r="X74">
            <v>29.87437993455519</v>
          </cell>
          <cell r="Y74">
            <v>28.9448616939152</v>
          </cell>
          <cell r="Z74">
            <v>28.057920404529522</v>
          </cell>
          <cell r="AA74">
            <v>27.210696184236358</v>
          </cell>
          <cell r="AB74">
            <v>26.40057967173734</v>
          </cell>
          <cell r="AC74">
            <v>25.399689045384523</v>
          </cell>
          <cell r="AD74">
            <v>24.441570267560994</v>
          </cell>
          <cell r="AE74">
            <v>23.523538989752392</v>
          </cell>
          <cell r="AF74">
            <v>22.643130885819055</v>
          </cell>
          <cell r="AG74">
            <v>21.798079562005359</v>
          </cell>
          <cell r="AH74">
            <v>20.860791167166074</v>
          </cell>
          <cell r="AI74">
            <v>19.959178613396563</v>
          </cell>
          <cell r="AJ74">
            <v>19.091243056749882</v>
          </cell>
          <cell r="AK74">
            <v>18.255132237164382</v>
          </cell>
          <cell r="AL74">
            <v>17.449127283338516</v>
          </cell>
          <cell r="AM74">
            <v>16.762701204546143</v>
          </cell>
          <cell r="AN74">
            <v>16.100250151405184</v>
          </cell>
          <cell r="AO74">
            <v>15.460539607874097</v>
          </cell>
          <cell r="AP74">
            <v>14.842418384228205</v>
          </cell>
          <cell r="AQ74">
            <v>14.244811703362082</v>
          </cell>
          <cell r="AR74">
            <v>13.533667545526244</v>
          </cell>
          <cell r="AS74">
            <v>12.844408751782048</v>
          </cell>
          <cell r="AT74">
            <v>12.176040353515678</v>
          </cell>
          <cell r="AU74">
            <v>11.527626793773335</v>
          </cell>
          <cell r="AV74">
            <v>10.898287557992466</v>
          </cell>
          <cell r="AW74">
            <v>10.332131756540344</v>
          </cell>
          <cell r="AX74">
            <v>9.7825099642495452</v>
          </cell>
          <cell r="AY74">
            <v>9.2487083163777424</v>
          </cell>
          <cell r="AZ74">
            <v>8.7300534604619386</v>
          </cell>
          <cell r="BA74">
            <v>8.2259097226495204</v>
          </cell>
        </row>
        <row r="75">
          <cell r="A75">
            <v>12</v>
          </cell>
          <cell r="B75" t="str">
            <v>Passenger transport - Rail</v>
          </cell>
          <cell r="C75">
            <v>21.023851773789737</v>
          </cell>
          <cell r="D75">
            <v>19.955440792245152</v>
          </cell>
          <cell r="E75">
            <v>18.801622680923415</v>
          </cell>
          <cell r="F75">
            <v>17.775915264267411</v>
          </cell>
          <cell r="G75">
            <v>19.019115533603248</v>
          </cell>
          <cell r="H75">
            <v>24.971927721775053</v>
          </cell>
          <cell r="I75">
            <v>30.924739909946858</v>
          </cell>
          <cell r="J75">
            <v>36.877552098118663</v>
          </cell>
          <cell r="K75">
            <v>42.830364286290468</v>
          </cell>
          <cell r="L75">
            <v>48.783176474462273</v>
          </cell>
          <cell r="M75">
            <v>54.735988662634078</v>
          </cell>
          <cell r="N75">
            <v>60.688800850805883</v>
          </cell>
          <cell r="O75">
            <v>66.641613038977681</v>
          </cell>
          <cell r="P75">
            <v>72.594425227149486</v>
          </cell>
          <cell r="Q75">
            <v>78.547237415321291</v>
          </cell>
          <cell r="R75">
            <v>84.50004960349311</v>
          </cell>
          <cell r="S75">
            <v>84.047161547229408</v>
          </cell>
          <cell r="T75">
            <v>83.594273490965705</v>
          </cell>
          <cell r="U75">
            <v>83.141385434702002</v>
          </cell>
          <cell r="V75">
            <v>82.688497378438299</v>
          </cell>
          <cell r="W75">
            <v>82.235609322174597</v>
          </cell>
          <cell r="X75">
            <v>81.322840873282956</v>
          </cell>
          <cell r="Y75">
            <v>80.410072424391316</v>
          </cell>
          <cell r="Z75">
            <v>79.497303975499676</v>
          </cell>
          <cell r="AA75">
            <v>78.584535526608036</v>
          </cell>
          <cell r="AB75">
            <v>77.671767077716424</v>
          </cell>
          <cell r="AC75">
            <v>74.326050646321661</v>
          </cell>
          <cell r="AD75">
            <v>70.980334214926899</v>
          </cell>
          <cell r="AE75">
            <v>67.634617783532136</v>
          </cell>
          <cell r="AF75">
            <v>64.288901352137373</v>
          </cell>
          <cell r="AG75">
            <v>60.943184920742638</v>
          </cell>
          <cell r="AH75">
            <v>58.824376257425662</v>
          </cell>
          <cell r="AI75">
            <v>56.705567594108686</v>
          </cell>
          <cell r="AJ75">
            <v>54.58675893079171</v>
          </cell>
          <cell r="AK75">
            <v>52.467950267474734</v>
          </cell>
          <cell r="AL75">
            <v>50.349141604157751</v>
          </cell>
          <cell r="AM75">
            <v>48.49054141048299</v>
          </cell>
          <cell r="AN75">
            <v>46.631941216808229</v>
          </cell>
          <cell r="AO75">
            <v>44.773341023133469</v>
          </cell>
          <cell r="AP75">
            <v>42.914740829458708</v>
          </cell>
          <cell r="AQ75">
            <v>41.05614063578394</v>
          </cell>
          <cell r="AR75">
            <v>39.380090324668892</v>
          </cell>
          <cell r="AS75">
            <v>37.704040013553843</v>
          </cell>
          <cell r="AT75">
            <v>36.027989702438795</v>
          </cell>
          <cell r="AU75">
            <v>34.351939391323747</v>
          </cell>
          <cell r="AV75">
            <v>32.675889080208684</v>
          </cell>
          <cell r="AW75">
            <v>31.073409419545104</v>
          </cell>
          <cell r="AX75">
            <v>29.470929758881525</v>
          </cell>
          <cell r="AY75">
            <v>27.868450098217945</v>
          </cell>
          <cell r="AZ75">
            <v>26.265970437554365</v>
          </cell>
          <cell r="BA75">
            <v>24.663490776890789</v>
          </cell>
        </row>
        <row r="76">
          <cell r="A76">
            <v>13</v>
          </cell>
          <cell r="B76" t="str">
            <v>Other transport</v>
          </cell>
          <cell r="C76">
            <v>1.0087377222364005</v>
          </cell>
          <cell r="D76">
            <v>1.0606674895529273</v>
          </cell>
          <cell r="E76">
            <v>1.0834155676919714</v>
          </cell>
          <cell r="F76">
            <v>1.1499361795972396</v>
          </cell>
        </row>
        <row r="77">
          <cell r="A77">
            <v>14</v>
          </cell>
          <cell r="B77" t="str">
            <v>Services / Commercial Buildings</v>
          </cell>
          <cell r="C77">
            <v>1</v>
          </cell>
          <cell r="D77">
            <v>1.0562022153008768</v>
          </cell>
          <cell r="E77">
            <v>0.99170371391432843</v>
          </cell>
          <cell r="F77">
            <v>1.1045618030805164</v>
          </cell>
          <cell r="G77">
            <v>1.0527061940823348</v>
          </cell>
          <cell r="H77">
            <v>1.014457658302923</v>
          </cell>
          <cell r="I77">
            <v>0.97742864507534488</v>
          </cell>
          <cell r="J77">
            <v>0.94156174444984231</v>
          </cell>
          <cell r="K77">
            <v>0.90680309429387318</v>
          </cell>
          <cell r="L77">
            <v>0.87310211040198682</v>
          </cell>
          <cell r="M77">
            <v>0.84041124087382379</v>
          </cell>
          <cell r="N77">
            <v>0.80868574225198098</v>
          </cell>
          <cell r="O77">
            <v>0.77788347520345835</v>
          </cell>
          <cell r="P77">
            <v>0.74796471778267437</v>
          </cell>
          <cell r="Q77">
            <v>0.71889199453596886</v>
          </cell>
          <cell r="R77">
            <v>0.69062991990158784</v>
          </cell>
          <cell r="S77">
            <v>0.66495192673871295</v>
          </cell>
          <cell r="T77">
            <v>0.63997050254479393</v>
          </cell>
          <cell r="U77">
            <v>0.61565768279479849</v>
          </cell>
          <cell r="V77">
            <v>0.59198698008549588</v>
          </cell>
          <cell r="W77">
            <v>0.56893328787726105</v>
          </cell>
          <cell r="X77">
            <v>0.55358339884703878</v>
          </cell>
          <cell r="Y77">
            <v>0.53859317452384248</v>
          </cell>
          <cell r="Z77">
            <v>0.52395012028220977</v>
          </cell>
          <cell r="AA77">
            <v>0.50964231361678891</v>
          </cell>
          <cell r="AB77">
            <v>0.49565837176672989</v>
          </cell>
          <cell r="AC77">
            <v>0.48051563133257097</v>
          </cell>
          <cell r="AD77">
            <v>0.46570806797242065</v>
          </cell>
          <cell r="AE77">
            <v>0.45122467503144298</v>
          </cell>
          <cell r="AF77">
            <v>0.43705492255696293</v>
          </cell>
          <cell r="AG77">
            <v>0.42318873176723176</v>
          </cell>
          <cell r="AH77">
            <v>0.40888014341482187</v>
          </cell>
          <cell r="AI77">
            <v>0.3948716618063719</v>
          </cell>
          <cell r="AJ77">
            <v>0.38115394331962282</v>
          </cell>
          <cell r="AK77">
            <v>0.36771802822478933</v>
          </cell>
          <cell r="AL77">
            <v>0.35455532116923361</v>
          </cell>
          <cell r="AM77">
            <v>0.34115089859203296</v>
          </cell>
          <cell r="AN77">
            <v>0.32801361170061938</v>
          </cell>
          <cell r="AO77">
            <v>0.31513555369283008</v>
          </cell>
          <cell r="AP77">
            <v>0.3025091267567403</v>
          </cell>
          <cell r="AQ77">
            <v>0.29012702712289629</v>
          </cell>
          <cell r="AR77">
            <v>0.28081986382801188</v>
          </cell>
          <cell r="AS77">
            <v>0.271689379697168</v>
          </cell>
          <cell r="AT77">
            <v>0.26273059114501301</v>
          </cell>
          <cell r="AU77">
            <v>0.25393870026951904</v>
          </cell>
          <cell r="AV77">
            <v>0.24530908628382603</v>
          </cell>
          <cell r="AW77">
            <v>0.23677766744719464</v>
          </cell>
          <cell r="AX77">
            <v>0.22840086399757534</v>
          </cell>
          <cell r="AY77">
            <v>0.22017451052481984</v>
          </cell>
          <cell r="AZ77">
            <v>0.21209458991119653</v>
          </cell>
          <cell r="BA77">
            <v>0.2041572267904242</v>
          </cell>
        </row>
        <row r="97">
          <cell r="A97" t="str">
            <v>Code</v>
          </cell>
          <cell r="B97" t="str">
            <v>Sector</v>
          </cell>
          <cell r="C97">
            <v>2010</v>
          </cell>
          <cell r="D97">
            <v>2011</v>
          </cell>
          <cell r="E97">
            <v>2012</v>
          </cell>
          <cell r="F97">
            <v>2013</v>
          </cell>
          <cell r="G97">
            <v>2014</v>
          </cell>
          <cell r="H97">
            <v>2015</v>
          </cell>
          <cell r="I97">
            <v>2016</v>
          </cell>
          <cell r="J97">
            <v>2017</v>
          </cell>
          <cell r="K97">
            <v>2018</v>
          </cell>
          <cell r="L97">
            <v>2019</v>
          </cell>
          <cell r="M97">
            <v>2020</v>
          </cell>
          <cell r="N97">
            <v>2021</v>
          </cell>
          <cell r="O97">
            <v>2022</v>
          </cell>
          <cell r="P97">
            <v>2023</v>
          </cell>
          <cell r="Q97">
            <v>2024</v>
          </cell>
          <cell r="R97">
            <v>2025</v>
          </cell>
          <cell r="S97">
            <v>2026</v>
          </cell>
          <cell r="T97">
            <v>2027</v>
          </cell>
          <cell r="U97">
            <v>2028</v>
          </cell>
          <cell r="V97">
            <v>2029</v>
          </cell>
          <cell r="W97">
            <v>2030</v>
          </cell>
          <cell r="X97">
            <v>2031</v>
          </cell>
          <cell r="Y97">
            <v>2032</v>
          </cell>
          <cell r="Z97">
            <v>2033</v>
          </cell>
          <cell r="AA97">
            <v>2034</v>
          </cell>
          <cell r="AB97">
            <v>2035</v>
          </cell>
          <cell r="AC97">
            <v>2036</v>
          </cell>
          <cell r="AD97">
            <v>2037</v>
          </cell>
          <cell r="AE97">
            <v>2038</v>
          </cell>
          <cell r="AF97">
            <v>2039</v>
          </cell>
          <cell r="AG97">
            <v>2040</v>
          </cell>
          <cell r="AH97">
            <v>2041</v>
          </cell>
          <cell r="AI97">
            <v>2042</v>
          </cell>
          <cell r="AJ97">
            <v>2043</v>
          </cell>
          <cell r="AK97">
            <v>2044</v>
          </cell>
          <cell r="AL97">
            <v>2045</v>
          </cell>
          <cell r="AM97">
            <v>2046</v>
          </cell>
          <cell r="AN97">
            <v>2047</v>
          </cell>
          <cell r="AO97">
            <v>2048</v>
          </cell>
          <cell r="AP97">
            <v>2049</v>
          </cell>
          <cell r="AQ97">
            <v>2050</v>
          </cell>
        </row>
        <row r="98">
          <cell r="A98">
            <v>1</v>
          </cell>
          <cell r="B98" t="str">
            <v>Power Generation</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row>
        <row r="99">
          <cell r="A99">
            <v>2</v>
          </cell>
          <cell r="B99" t="str">
            <v>Iron &amp; Steel Industry</v>
          </cell>
          <cell r="C99">
            <v>611.12240632968519</v>
          </cell>
          <cell r="D99">
            <v>646.97080247723295</v>
          </cell>
          <cell r="E99">
            <v>621.14980636196685</v>
          </cell>
          <cell r="F99">
            <v>687.25550502470401</v>
          </cell>
          <cell r="G99">
            <v>680.53413972485771</v>
          </cell>
          <cell r="H99">
            <v>665.08819309135094</v>
          </cell>
          <cell r="I99">
            <v>649.12871408984267</v>
          </cell>
          <cell r="J99">
            <v>632.65570272033335</v>
          </cell>
          <cell r="K99">
            <v>615.66915898282286</v>
          </cell>
          <cell r="L99">
            <v>598.16908287731121</v>
          </cell>
          <cell r="M99">
            <v>580.15547440379817</v>
          </cell>
          <cell r="N99">
            <v>561.62833356228396</v>
          </cell>
          <cell r="O99">
            <v>542.58766035276858</v>
          </cell>
          <cell r="P99">
            <v>523.03345477525193</v>
          </cell>
          <cell r="Q99">
            <v>502.96571682973399</v>
          </cell>
          <cell r="R99">
            <v>482.38444651621478</v>
          </cell>
          <cell r="S99">
            <v>452.26500775760258</v>
          </cell>
          <cell r="T99">
            <v>422.8471492426192</v>
          </cell>
          <cell r="U99">
            <v>394.09590392611943</v>
          </cell>
          <cell r="V99">
            <v>365.97859048488192</v>
          </cell>
          <cell r="W99">
            <v>338.46462955464676</v>
          </cell>
          <cell r="X99">
            <v>314.15825428594883</v>
          </cell>
          <cell r="Y99">
            <v>290.11137310248102</v>
          </cell>
          <cell r="Z99">
            <v>266.31240178714461</v>
          </cell>
          <cell r="AA99">
            <v>242.75043552940397</v>
          </cell>
          <cell r="AB99">
            <v>219.41519983662263</v>
          </cell>
          <cell r="AC99">
            <v>205.29105345287735</v>
          </cell>
          <cell r="AD99">
            <v>191.26840447165765</v>
          </cell>
          <cell r="AE99">
            <v>177.34296986632441</v>
          </cell>
          <cell r="AF99">
            <v>163.5107042499819</v>
          </cell>
          <cell r="AG99">
            <v>149.76778361946128</v>
          </cell>
          <cell r="AH99">
            <v>137.78787582186442</v>
          </cell>
          <cell r="AI99">
            <v>125.92782001273387</v>
          </cell>
          <cell r="AJ99">
            <v>114.1818877723489</v>
          </cell>
          <cell r="AK99">
            <v>102.54471001516571</v>
          </cell>
          <cell r="AL99">
            <v>91.011249249344502</v>
          </cell>
          <cell r="AM99">
            <v>85.103202445766982</v>
          </cell>
          <cell r="AN99">
            <v>79.281318627404687</v>
          </cell>
          <cell r="AO99">
            <v>73.541685866435657</v>
          </cell>
          <cell r="AP99">
            <v>67.880625514424722</v>
          </cell>
          <cell r="AQ99">
            <v>62.294675068860585</v>
          </cell>
          <cell r="AR99">
            <v>55.780181996024723</v>
          </cell>
          <cell r="AS99">
            <v>49.37841985709597</v>
          </cell>
          <cell r="AT99">
            <v>43.083933021845674</v>
          </cell>
          <cell r="AU99">
            <v>36.891612305980743</v>
          </cell>
          <cell r="AV99">
            <v>30.796667900707185</v>
          </cell>
          <cell r="AW99">
            <v>25.46164307729747</v>
          </cell>
          <cell r="AX99">
            <v>20.198414086742606</v>
          </cell>
          <cell r="AY99">
            <v>15.003004881939953</v>
          </cell>
          <cell r="AZ99">
            <v>9.871727685207361</v>
          </cell>
          <cell r="BA99">
            <v>4.8011573284169007</v>
          </cell>
        </row>
        <row r="100">
          <cell r="A100">
            <v>3</v>
          </cell>
          <cell r="B100" t="str">
            <v>Cement</v>
          </cell>
          <cell r="C100">
            <v>212.13148792018703</v>
          </cell>
          <cell r="D100">
            <v>211.41352625153041</v>
          </cell>
          <cell r="E100">
            <v>217.67975540257288</v>
          </cell>
          <cell r="F100">
            <v>213.45045813783059</v>
          </cell>
          <cell r="G100">
            <v>202.62012802453373</v>
          </cell>
          <cell r="H100">
            <v>196.5263583176208</v>
          </cell>
          <cell r="I100">
            <v>190.38352088058392</v>
          </cell>
          <cell r="J100">
            <v>184.19161571342309</v>
          </cell>
          <cell r="K100">
            <v>177.95064281613827</v>
          </cell>
          <cell r="L100">
            <v>171.66060218872951</v>
          </cell>
          <cell r="M100">
            <v>165.32149383119682</v>
          </cell>
          <cell r="N100">
            <v>158.93331774354016</v>
          </cell>
          <cell r="O100">
            <v>152.4960739257595</v>
          </cell>
          <cell r="P100">
            <v>146.00976237785491</v>
          </cell>
          <cell r="Q100">
            <v>139.47438309982635</v>
          </cell>
          <cell r="R100">
            <v>132.88993609167372</v>
          </cell>
          <cell r="S100">
            <v>124.2116591877414</v>
          </cell>
          <cell r="T100">
            <v>115.78076347621349</v>
          </cell>
          <cell r="U100">
            <v>107.5849193776845</v>
          </cell>
          <cell r="V100">
            <v>99.61260327132662</v>
          </cell>
          <cell r="W100">
            <v>91.853032699021199</v>
          </cell>
          <cell r="X100">
            <v>84.288509595515492</v>
          </cell>
          <cell r="Y100">
            <v>76.961426244123174</v>
          </cell>
          <cell r="Z100">
            <v>69.861182967271304</v>
          </cell>
          <cell r="AA100">
            <v>62.977801751363899</v>
          </cell>
          <cell r="AB100">
            <v>56.301881330147289</v>
          </cell>
          <cell r="AC100">
            <v>52.945122266965186</v>
          </cell>
          <cell r="AD100">
            <v>49.572255481185486</v>
          </cell>
          <cell r="AE100">
            <v>46.183960692714628</v>
          </cell>
          <cell r="AF100">
            <v>42.780879907831419</v>
          </cell>
          <cell r="AG100">
            <v>39.363619999039258</v>
          </cell>
          <cell r="AH100">
            <v>36.190791637669946</v>
          </cell>
          <cell r="AI100">
            <v>33.054144306194154</v>
          </cell>
          <cell r="AJ100">
            <v>29.951948703931524</v>
          </cell>
          <cell r="AK100">
            <v>26.882584006338391</v>
          </cell>
          <cell r="AL100">
            <v>23.844529490686373</v>
          </cell>
          <cell r="AM100">
            <v>22.311614254439338</v>
          </cell>
          <cell r="AN100">
            <v>20.798973692994398</v>
          </cell>
          <cell r="AO100">
            <v>19.305687305927364</v>
          </cell>
          <cell r="AP100">
            <v>17.830889484873488</v>
          </cell>
          <cell r="AQ100">
            <v>16.373765481919353</v>
          </cell>
          <cell r="AR100">
            <v>14.541304766401129</v>
          </cell>
          <cell r="AS100">
            <v>12.767859294542722</v>
          </cell>
          <cell r="AT100">
            <v>11.050573014893377</v>
          </cell>
          <cell r="AU100">
            <v>9.3867712422946159</v>
          </cell>
          <cell r="AV100">
            <v>7.7739464863585672</v>
          </cell>
          <cell r="AW100">
            <v>6.3582031351346586</v>
          </cell>
          <cell r="AX100">
            <v>4.9905057283039751</v>
          </cell>
          <cell r="AY100">
            <v>3.6681934855619804</v>
          </cell>
          <cell r="AZ100">
            <v>2.3887985371952749</v>
          </cell>
          <cell r="BA100">
            <v>1.1500287524374491</v>
          </cell>
        </row>
        <row r="101">
          <cell r="A101">
            <v>4</v>
          </cell>
          <cell r="B101" t="str">
            <v>Chemical and Petrochemical Industry</v>
          </cell>
          <cell r="C101">
            <v>684.19170293160641</v>
          </cell>
          <cell r="D101">
            <v>686.58904765929549</v>
          </cell>
          <cell r="E101">
            <v>635.10248053493365</v>
          </cell>
          <cell r="F101">
            <v>664.48262968274696</v>
          </cell>
          <cell r="G101">
            <v>670.65978404685825</v>
          </cell>
          <cell r="H101">
            <v>684.26327279394854</v>
          </cell>
          <cell r="I101">
            <v>695.35864378836004</v>
          </cell>
          <cell r="J101">
            <v>703.94589703009262</v>
          </cell>
          <cell r="K101">
            <v>710.02503251914618</v>
          </cell>
          <cell r="L101">
            <v>713.59605025552094</v>
          </cell>
          <cell r="M101">
            <v>714.65895023921655</v>
          </cell>
          <cell r="N101">
            <v>713.21373247023337</v>
          </cell>
          <cell r="O101">
            <v>709.26039694857127</v>
          </cell>
          <cell r="P101">
            <v>702.79894367423015</v>
          </cell>
          <cell r="Q101">
            <v>693.82937264721011</v>
          </cell>
          <cell r="R101">
            <v>682.35168386751138</v>
          </cell>
          <cell r="S101">
            <v>643.22351224539364</v>
          </cell>
          <cell r="T101">
            <v>604.59373967536283</v>
          </cell>
          <cell r="U101">
            <v>566.43752574563428</v>
          </cell>
          <cell r="V101">
            <v>528.73165380969783</v>
          </cell>
          <cell r="W101">
            <v>491.45440044204895</v>
          </cell>
          <cell r="X101">
            <v>448.60322889492721</v>
          </cell>
          <cell r="Y101">
            <v>407.43260368626488</v>
          </cell>
          <cell r="Z101">
            <v>367.86750262969679</v>
          </cell>
          <cell r="AA101">
            <v>329.83730353974408</v>
          </cell>
          <cell r="AB101">
            <v>293.27546632175063</v>
          </cell>
          <cell r="AC101">
            <v>265.85175477950321</v>
          </cell>
          <cell r="AD101">
            <v>239.91024745099784</v>
          </cell>
          <cell r="AE101">
            <v>215.38839770968895</v>
          </cell>
          <cell r="AF101">
            <v>192.2271292704003</v>
          </cell>
          <cell r="AG101">
            <v>170.37059879640327</v>
          </cell>
          <cell r="AH101">
            <v>153.70963562306912</v>
          </cell>
          <cell r="AI101">
            <v>137.77312557533079</v>
          </cell>
          <cell r="AJ101">
            <v>122.52644284823376</v>
          </cell>
          <cell r="AK101">
            <v>107.93713365567328</v>
          </cell>
          <cell r="AL101">
            <v>93.97474855110687</v>
          </cell>
          <cell r="AM101">
            <v>86.538917148985206</v>
          </cell>
          <cell r="AN101">
            <v>79.39725047028584</v>
          </cell>
          <cell r="AO101">
            <v>72.536392998566598</v>
          </cell>
          <cell r="AP101">
            <v>65.943785644831124</v>
          </cell>
          <cell r="AQ101">
            <v>59.607607253033855</v>
          </cell>
          <cell r="AR101">
            <v>53.470018593901109</v>
          </cell>
          <cell r="AS101">
            <v>47.416846902267444</v>
          </cell>
          <cell r="AT101">
            <v>41.44400680649899</v>
          </cell>
          <cell r="AU101">
            <v>35.547672366105594</v>
          </cell>
          <cell r="AV101">
            <v>29.724256800430219</v>
          </cell>
          <cell r="AW101">
            <v>24.666888571589624</v>
          </cell>
          <cell r="AX101">
            <v>19.638990740179693</v>
          </cell>
          <cell r="AY101">
            <v>14.638931238103366</v>
          </cell>
          <cell r="AZ101">
            <v>9.6651963246655548</v>
          </cell>
          <cell r="BA101">
            <v>4.7163800538382441</v>
          </cell>
        </row>
        <row r="102">
          <cell r="A102">
            <v>5</v>
          </cell>
          <cell r="B102" t="str">
            <v>Aluminium</v>
          </cell>
          <cell r="C102">
            <v>335.64117922862425</v>
          </cell>
          <cell r="D102">
            <v>399.67564701752053</v>
          </cell>
          <cell r="E102">
            <v>433.70400638770781</v>
          </cell>
          <cell r="F102">
            <v>511.56187243924825</v>
          </cell>
          <cell r="G102">
            <v>529.89476323832923</v>
          </cell>
          <cell r="H102">
            <v>524.00917112206787</v>
          </cell>
          <cell r="I102">
            <v>517.2971793494554</v>
          </cell>
          <cell r="J102">
            <v>509.75878792049161</v>
          </cell>
          <cell r="K102">
            <v>501.39399683517678</v>
          </cell>
          <cell r="L102">
            <v>492.20280609351079</v>
          </cell>
          <cell r="M102">
            <v>482.18521569549353</v>
          </cell>
          <cell r="N102">
            <v>471.34122564112505</v>
          </cell>
          <cell r="O102">
            <v>459.67083593040547</v>
          </cell>
          <cell r="P102">
            <v>447.17404656333474</v>
          </cell>
          <cell r="Q102">
            <v>433.85085753991274</v>
          </cell>
          <cell r="R102">
            <v>419.70126886013963</v>
          </cell>
          <cell r="S102">
            <v>388.8872431671669</v>
          </cell>
          <cell r="T102">
            <v>359.33840923844059</v>
          </cell>
          <cell r="U102">
            <v>330.99170940102459</v>
          </cell>
          <cell r="V102">
            <v>303.78820792894908</v>
          </cell>
          <cell r="W102">
            <v>277.67275965504058</v>
          </cell>
          <cell r="X102">
            <v>251.09577017498458</v>
          </cell>
          <cell r="Y102">
            <v>225.87642439776758</v>
          </cell>
          <cell r="Z102">
            <v>201.95411500982848</v>
          </cell>
          <cell r="AA102">
            <v>179.27178927587394</v>
          </cell>
          <cell r="AB102">
            <v>157.77569221251818</v>
          </cell>
          <cell r="AC102">
            <v>143.45012692357594</v>
          </cell>
          <cell r="AD102">
            <v>129.85454399232026</v>
          </cell>
          <cell r="AE102">
            <v>116.95813934095419</v>
          </cell>
          <cell r="AF102">
            <v>104.73181802727137</v>
          </cell>
          <cell r="AG102">
            <v>93.148077329158909</v>
          </cell>
          <cell r="AH102">
            <v>83.299917742322194</v>
          </cell>
          <cell r="AI102">
            <v>73.991133900483632</v>
          </cell>
          <cell r="AJ102">
            <v>65.195945917153765</v>
          </cell>
          <cell r="AK102">
            <v>56.890191035022085</v>
          </cell>
          <cell r="AL102">
            <v>49.051198783998245</v>
          </cell>
          <cell r="AM102">
            <v>44.78978520957785</v>
          </cell>
          <cell r="AN102">
            <v>40.740334472305236</v>
          </cell>
          <cell r="AO102">
            <v>36.893223143770221</v>
          </cell>
          <cell r="AP102">
            <v>33.239401667980253</v>
          </cell>
          <cell r="AQ102">
            <v>29.770352212665571</v>
          </cell>
          <cell r="AR102">
            <v>26.193847978984824</v>
          </cell>
          <cell r="AS102">
            <v>22.784498224661796</v>
          </cell>
          <cell r="AT102">
            <v>19.534213483929666</v>
          </cell>
          <cell r="AU102">
            <v>16.435417991997642</v>
          </cell>
          <cell r="AV102">
            <v>13.481009545700013</v>
          </cell>
          <cell r="AW102">
            <v>10.923079298954599</v>
          </cell>
          <cell r="AX102">
            <v>8.4930484367713763</v>
          </cell>
          <cell r="AY102">
            <v>6.1838339021367563</v>
          </cell>
          <cell r="AZ102">
            <v>3.9888661703695294</v>
          </cell>
          <cell r="BA102">
            <v>1.9020435378180618</v>
          </cell>
        </row>
        <row r="103">
          <cell r="A103">
            <v>6</v>
          </cell>
          <cell r="B103" t="str">
            <v>Pulp &amp; Paper</v>
          </cell>
          <cell r="C103">
            <v>304.4660408027658</v>
          </cell>
          <cell r="D103">
            <v>298.55716723180456</v>
          </cell>
          <cell r="E103">
            <v>291.85973751725032</v>
          </cell>
          <cell r="F103">
            <v>286.4387238159207</v>
          </cell>
          <cell r="G103">
            <v>162.97085548084289</v>
          </cell>
          <cell r="H103">
            <v>158.63917707148124</v>
          </cell>
          <cell r="I103">
            <v>154.22846843242453</v>
          </cell>
          <cell r="J103">
            <v>149.73872956367276</v>
          </cell>
          <cell r="K103">
            <v>145.16996046522598</v>
          </cell>
          <cell r="L103">
            <v>140.52216113708414</v>
          </cell>
          <cell r="M103">
            <v>135.79533157924723</v>
          </cell>
          <cell r="N103">
            <v>130.98947179171529</v>
          </cell>
          <cell r="O103">
            <v>126.10458177448827</v>
          </cell>
          <cell r="P103">
            <v>121.14066152756619</v>
          </cell>
          <cell r="Q103">
            <v>116.09771105094909</v>
          </cell>
          <cell r="R103">
            <v>110.97573034463697</v>
          </cell>
          <cell r="S103">
            <v>103.98077772956169</v>
          </cell>
          <cell r="T103">
            <v>97.156573986105087</v>
          </cell>
          <cell r="U103">
            <v>90.494608920947641</v>
          </cell>
          <cell r="V103">
            <v>83.986928634141719</v>
          </cell>
          <cell r="W103">
            <v>77.626090795334349</v>
          </cell>
          <cell r="X103">
            <v>71.478508902140462</v>
          </cell>
          <cell r="Y103">
            <v>65.489278384533364</v>
          </cell>
          <cell r="Z103">
            <v>59.651330192324203</v>
          </cell>
          <cell r="AA103">
            <v>53.958009870374461</v>
          </cell>
          <cell r="AB103">
            <v>48.403047603161895</v>
          </cell>
          <cell r="AC103">
            <v>44.829998622824178</v>
          </cell>
          <cell r="AD103">
            <v>41.351395457726241</v>
          </cell>
          <cell r="AE103">
            <v>37.96325264683648</v>
          </cell>
          <cell r="AF103">
            <v>34.661805858719262</v>
          </cell>
          <cell r="AG103">
            <v>31.443496764898821</v>
          </cell>
          <cell r="AH103">
            <v>28.550823447440251</v>
          </cell>
          <cell r="AI103">
            <v>25.756513294756211</v>
          </cell>
          <cell r="AJ103">
            <v>23.055864962291015</v>
          </cell>
          <cell r="AK103">
            <v>20.444472012971229</v>
          </cell>
          <cell r="AL103">
            <v>17.918200150427325</v>
          </cell>
          <cell r="AM103">
            <v>16.562768124966198</v>
          </cell>
          <cell r="AN103">
            <v>15.253842371293377</v>
          </cell>
          <cell r="AO103">
            <v>13.989311435423792</v>
          </cell>
          <cell r="AP103">
            <v>12.767189775381233</v>
          </cell>
          <cell r="AQ103">
            <v>11.585608513451502</v>
          </cell>
          <cell r="AR103">
            <v>10.349250683642532</v>
          </cell>
          <cell r="AS103">
            <v>9.1399200143457122</v>
          </cell>
          <cell r="AT103">
            <v>7.9563085221283814</v>
          </cell>
          <cell r="AU103">
            <v>6.7971912837227055</v>
          </cell>
          <cell r="AV103">
            <v>5.6614199459071104</v>
          </cell>
          <cell r="AW103">
            <v>4.6464523403457862</v>
          </cell>
          <cell r="AX103">
            <v>3.6595151608504399</v>
          </cell>
          <cell r="AY103">
            <v>2.6990560848151688</v>
          </cell>
          <cell r="AZ103">
            <v>1.7636353353677412</v>
          </cell>
          <cell r="BA103">
            <v>0.85191566328151924</v>
          </cell>
        </row>
        <row r="104">
          <cell r="A104">
            <v>7</v>
          </cell>
          <cell r="B104" t="str">
            <v>Manufacture of light-road automotor vehicles</v>
          </cell>
          <cell r="C104">
            <v>2400.8386673765676</v>
          </cell>
          <cell r="D104">
            <v>2383.0305000772173</v>
          </cell>
          <cell r="E104">
            <v>2530.2055316970827</v>
          </cell>
          <cell r="F104">
            <v>2429.6565347210544</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row>
        <row r="105">
          <cell r="A105">
            <v>8</v>
          </cell>
          <cell r="B105" t="str">
            <v>Other Industry</v>
          </cell>
          <cell r="C105">
            <v>1</v>
          </cell>
          <cell r="D105">
            <v>0.99258252229050881</v>
          </cell>
          <cell r="E105">
            <v>1.0538840306424573</v>
          </cell>
          <cell r="F105">
            <v>1.0120032502542025</v>
          </cell>
          <cell r="G105">
            <v>1.0584717518423088</v>
          </cell>
          <cell r="H105">
            <v>1.0373839226362587</v>
          </cell>
          <cell r="I105">
            <v>1.0152934450243458</v>
          </cell>
          <cell r="J105">
            <v>0.99220031900657002</v>
          </cell>
          <cell r="K105">
            <v>0.96810454458293116</v>
          </cell>
          <cell r="L105">
            <v>0.94300612175342913</v>
          </cell>
          <cell r="M105">
            <v>0.91690505051806437</v>
          </cell>
          <cell r="N105">
            <v>0.88980133087683677</v>
          </cell>
          <cell r="O105">
            <v>0.86169496282974611</v>
          </cell>
          <cell r="P105">
            <v>0.83258594637679229</v>
          </cell>
          <cell r="Q105">
            <v>0.80247428151797573</v>
          </cell>
          <cell r="R105">
            <v>0.77135996825329634</v>
          </cell>
          <cell r="S105">
            <v>0.72478207134632111</v>
          </cell>
          <cell r="T105">
            <v>0.67910087072263592</v>
          </cell>
          <cell r="U105">
            <v>0.6342716746741961</v>
          </cell>
          <cell r="V105">
            <v>0.5902527128955638</v>
          </cell>
          <cell r="W105">
            <v>0.5470049016147468</v>
          </cell>
          <cell r="X105">
            <v>0.50829269018170897</v>
          </cell>
          <cell r="Y105">
            <v>0.46990149757129168</v>
          </cell>
          <cell r="Z105">
            <v>0.43181699300701026</v>
          </cell>
          <cell r="AA105">
            <v>0.39402568620281125</v>
          </cell>
          <cell r="AB105">
            <v>0.35651486663573539</v>
          </cell>
          <cell r="AC105">
            <v>0.33509956878461178</v>
          </cell>
          <cell r="AD105">
            <v>0.31360742712139783</v>
          </cell>
          <cell r="AE105">
            <v>0.29204168433098843</v>
          </cell>
          <cell r="AF105">
            <v>0.2704054031809176</v>
          </cell>
          <cell r="AG105">
            <v>0.24870147882885923</v>
          </cell>
          <cell r="AH105">
            <v>0.23051250633982925</v>
          </cell>
          <cell r="AI105">
            <v>0.21219202571790935</v>
          </cell>
          <cell r="AJ105">
            <v>0.19374632249739995</v>
          </cell>
          <cell r="AK105">
            <v>0.175181287931512</v>
          </cell>
          <cell r="AL105">
            <v>0.15650244943083658</v>
          </cell>
          <cell r="AM105">
            <v>0.14692778417822625</v>
          </cell>
          <cell r="AN105">
            <v>0.1374114281784673</v>
          </cell>
          <cell r="AO105">
            <v>0.12795073410465993</v>
          </cell>
          <cell r="AP105">
            <v>0.11854321249754016</v>
          </cell>
          <cell r="AQ105">
            <v>0.10918652017071627</v>
          </cell>
          <cell r="AR105">
            <v>9.7983313459188856E-2</v>
          </cell>
          <cell r="AS105">
            <v>8.6925115437989864E-2</v>
          </cell>
          <cell r="AT105">
            <v>7.6004908390093134E-2</v>
          </cell>
          <cell r="AU105">
            <v>6.521612024075793E-2</v>
          </cell>
          <cell r="AV105">
            <v>5.4552589736139856E-2</v>
          </cell>
          <cell r="AW105">
            <v>4.4951521288715483E-2</v>
          </cell>
          <cell r="AX105">
            <v>3.5542958438675151E-2</v>
          </cell>
          <cell r="AY105">
            <v>2.6316240242447279E-2</v>
          </cell>
          <cell r="AZ105">
            <v>1.7261478690972099E-2</v>
          </cell>
          <cell r="BA105">
            <v>8.3694899081062039E-3</v>
          </cell>
        </row>
        <row r="106">
          <cell r="A106">
            <v>9</v>
          </cell>
          <cell r="B106" t="str">
            <v>Passenger transport - Air</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row>
        <row r="107">
          <cell r="A107">
            <v>10</v>
          </cell>
          <cell r="B107" t="str">
            <v>Passenger transport - Light Road</v>
          </cell>
          <cell r="C107">
            <v>13.175477857746056</v>
          </cell>
          <cell r="D107">
            <v>14.762685878221459</v>
          </cell>
          <cell r="E107">
            <v>16.369741931620243</v>
          </cell>
          <cell r="F107">
            <v>17.915500460886797</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row>
        <row r="108">
          <cell r="A108">
            <v>11</v>
          </cell>
          <cell r="B108" t="str">
            <v>Passenger transport - Heavy Road</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row>
        <row r="109">
          <cell r="A109">
            <v>12</v>
          </cell>
          <cell r="B109" t="str">
            <v>Passenger transport - Rail</v>
          </cell>
          <cell r="C109">
            <v>68.073302265021255</v>
          </cell>
          <cell r="D109">
            <v>70.532832529280284</v>
          </cell>
          <cell r="E109">
            <v>62.20501934015693</v>
          </cell>
          <cell r="F109">
            <v>70.033319983466569</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row>
        <row r="110">
          <cell r="A110">
            <v>13</v>
          </cell>
          <cell r="B110" t="str">
            <v>Other transport</v>
          </cell>
          <cell r="C110">
            <v>64.779432800584743</v>
          </cell>
          <cell r="D110">
            <v>67.252235667453306</v>
          </cell>
          <cell r="E110">
            <v>65.478967726480974</v>
          </cell>
          <cell r="F110">
            <v>70.033319983466569</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row>
        <row r="111">
          <cell r="A111">
            <v>14</v>
          </cell>
          <cell r="B111" t="str">
            <v>Services / Commercial Buildings</v>
          </cell>
          <cell r="C111">
            <v>2272.7248529775929</v>
          </cell>
          <cell r="D111">
            <v>2505.2411548852078</v>
          </cell>
          <cell r="E111">
            <v>2579.6311042792395</v>
          </cell>
          <cell r="F111">
            <v>2886.9753618435338</v>
          </cell>
          <cell r="G111">
            <v>2828.4495264122079</v>
          </cell>
          <cell r="H111">
            <v>2772.7894464627857</v>
          </cell>
          <cell r="I111">
            <v>2714.4021062963498</v>
          </cell>
          <cell r="J111">
            <v>2653.2875059129001</v>
          </cell>
          <cell r="K111">
            <v>2589.4456453124371</v>
          </cell>
          <cell r="L111">
            <v>2522.87652449496</v>
          </cell>
          <cell r="M111">
            <v>2453.5801434604687</v>
          </cell>
          <cell r="N111">
            <v>2381.556502208964</v>
          </cell>
          <cell r="O111">
            <v>2306.8056007404452</v>
          </cell>
          <cell r="P111">
            <v>2229.3274390549132</v>
          </cell>
          <cell r="Q111">
            <v>2149.1220171523669</v>
          </cell>
          <cell r="R111">
            <v>2066.1893350328073</v>
          </cell>
          <cell r="S111">
            <v>1942.8540190853305</v>
          </cell>
          <cell r="T111">
            <v>1821.7174844241679</v>
          </cell>
          <cell r="U111">
            <v>1702.6701428942981</v>
          </cell>
          <cell r="V111">
            <v>1585.6095698870408</v>
          </cell>
          <cell r="W111">
            <v>1470.4399284194023</v>
          </cell>
          <cell r="X111">
            <v>1364.2425084106635</v>
          </cell>
          <cell r="Y111">
            <v>1259.2759077773967</v>
          </cell>
          <cell r="Z111">
            <v>1155.4851808400435</v>
          </cell>
          <cell r="AA111">
            <v>1052.8186044462966</v>
          </cell>
          <cell r="AB111">
            <v>951.22744513620137</v>
          </cell>
          <cell r="AC111">
            <v>886.99387408836401</v>
          </cell>
          <cell r="AD111">
            <v>823.67328316580335</v>
          </cell>
          <cell r="AE111">
            <v>761.22714608016224</v>
          </cell>
          <cell r="AF111">
            <v>699.6190741383258</v>
          </cell>
          <cell r="AG111">
            <v>638.81467001769329</v>
          </cell>
          <cell r="AH111">
            <v>584.2924965218541</v>
          </cell>
          <cell r="AI111">
            <v>530.94535348839213</v>
          </cell>
          <cell r="AJ111">
            <v>478.71707941540387</v>
          </cell>
          <cell r="AK111">
            <v>427.55503571805502</v>
          </cell>
          <cell r="AL111">
            <v>377.40983476039804</v>
          </cell>
          <cell r="AM111">
            <v>351.26932861120167</v>
          </cell>
          <cell r="AN111">
            <v>325.73823912294318</v>
          </cell>
          <cell r="AO111">
            <v>300.78889787181993</v>
          </cell>
          <cell r="AP111">
            <v>276.39528638086603</v>
          </cell>
          <cell r="AQ111">
            <v>252.53291493778062</v>
          </cell>
          <cell r="AR111">
            <v>225.38510395386982</v>
          </cell>
          <cell r="AS111">
            <v>198.87501264334605</v>
          </cell>
          <cell r="AT111">
            <v>172.97177846824056</v>
          </cell>
          <cell r="AU111">
            <v>147.64649873765126</v>
          </cell>
          <cell r="AV111">
            <v>122.87207747007068</v>
          </cell>
          <cell r="AW111">
            <v>100.60448885754153</v>
          </cell>
          <cell r="AX111">
            <v>79.048998196317044</v>
          </cell>
          <cell r="AY111">
            <v>58.166169562561116</v>
          </cell>
          <cell r="AZ111">
            <v>37.919426196482803</v>
          </cell>
          <cell r="BA111">
            <v>18.274795998178444</v>
          </cell>
        </row>
        <row r="119">
          <cell r="A119" t="str">
            <v>Code</v>
          </cell>
          <cell r="B119" t="str">
            <v>Sector</v>
          </cell>
          <cell r="C119">
            <v>2010</v>
          </cell>
          <cell r="D119">
            <v>2011</v>
          </cell>
          <cell r="E119">
            <v>2012</v>
          </cell>
          <cell r="F119">
            <v>2013</v>
          </cell>
          <cell r="G119">
            <v>2014</v>
          </cell>
          <cell r="H119">
            <v>2015</v>
          </cell>
          <cell r="I119">
            <v>2016</v>
          </cell>
          <cell r="J119">
            <v>2017</v>
          </cell>
          <cell r="K119">
            <v>2018</v>
          </cell>
          <cell r="L119">
            <v>2019</v>
          </cell>
          <cell r="M119">
            <v>2020</v>
          </cell>
          <cell r="N119">
            <v>2021</v>
          </cell>
          <cell r="O119">
            <v>2022</v>
          </cell>
          <cell r="P119">
            <v>2023</v>
          </cell>
          <cell r="Q119">
            <v>2024</v>
          </cell>
          <cell r="R119">
            <v>2025</v>
          </cell>
          <cell r="S119">
            <v>2026</v>
          </cell>
          <cell r="T119">
            <v>2027</v>
          </cell>
          <cell r="U119">
            <v>2028</v>
          </cell>
          <cell r="V119">
            <v>2029</v>
          </cell>
          <cell r="W119">
            <v>2030</v>
          </cell>
          <cell r="X119">
            <v>2031</v>
          </cell>
          <cell r="Y119">
            <v>2032</v>
          </cell>
          <cell r="Z119">
            <v>2033</v>
          </cell>
          <cell r="AA119">
            <v>2034</v>
          </cell>
          <cell r="AB119">
            <v>2035</v>
          </cell>
          <cell r="AC119">
            <v>2036</v>
          </cell>
          <cell r="AD119">
            <v>2037</v>
          </cell>
          <cell r="AE119">
            <v>2038</v>
          </cell>
          <cell r="AF119">
            <v>2039</v>
          </cell>
          <cell r="AG119">
            <v>2040</v>
          </cell>
          <cell r="AH119">
            <v>2041</v>
          </cell>
          <cell r="AI119">
            <v>2042</v>
          </cell>
          <cell r="AJ119">
            <v>2043</v>
          </cell>
          <cell r="AK119">
            <v>2044</v>
          </cell>
          <cell r="AL119">
            <v>2045</v>
          </cell>
          <cell r="AM119">
            <v>2046</v>
          </cell>
          <cell r="AN119">
            <v>2047</v>
          </cell>
          <cell r="AO119">
            <v>2048</v>
          </cell>
          <cell r="AP119">
            <v>2049</v>
          </cell>
          <cell r="AQ119">
            <v>2050</v>
          </cell>
          <cell r="AR119">
            <v>2051</v>
          </cell>
          <cell r="AS119">
            <v>2052</v>
          </cell>
          <cell r="AT119">
            <v>2053</v>
          </cell>
          <cell r="AU119">
            <v>2054</v>
          </cell>
          <cell r="AV119">
            <v>2055</v>
          </cell>
          <cell r="AW119">
            <v>2056</v>
          </cell>
          <cell r="AX119">
            <v>2057</v>
          </cell>
          <cell r="AY119">
            <v>2058</v>
          </cell>
          <cell r="AZ119">
            <v>2059</v>
          </cell>
          <cell r="BA119">
            <v>2060</v>
          </cell>
        </row>
        <row r="120">
          <cell r="A120">
            <v>1</v>
          </cell>
          <cell r="B120" t="str">
            <v>Power Generation</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row>
        <row r="121">
          <cell r="A121">
            <v>2</v>
          </cell>
          <cell r="B121" t="str">
            <v>Iron &amp; Steel Industry</v>
          </cell>
          <cell r="C121">
            <v>0.42433175254349448</v>
          </cell>
          <cell r="D121">
            <v>0.42611526212028755</v>
          </cell>
          <cell r="E121">
            <v>0.40177691714527131</v>
          </cell>
          <cell r="F121">
            <v>0.41669425710766733</v>
          </cell>
          <cell r="G121">
            <v>0.40747106964313667</v>
          </cell>
          <cell r="H121">
            <v>0.39605437149348671</v>
          </cell>
          <cell r="I121">
            <v>0.38445718475901569</v>
          </cell>
          <cell r="J121">
            <v>0.37268242607443069</v>
          </cell>
          <cell r="K121">
            <v>0.36073294956868401</v>
          </cell>
          <cell r="L121">
            <v>0.34861154853048371</v>
          </cell>
          <cell r="M121">
            <v>0.33632095702083181</v>
          </cell>
          <cell r="N121">
            <v>0.32386385143454643</v>
          </cell>
          <cell r="O121">
            <v>0.31124285201263852</v>
          </cell>
          <cell r="P121">
            <v>0.29846052430734127</v>
          </cell>
          <cell r="Q121">
            <v>0.28551938060151055</v>
          </cell>
          <cell r="R121">
            <v>0.27242188128404687</v>
          </cell>
          <cell r="S121">
            <v>0.25299313130680773</v>
          </cell>
          <cell r="T121">
            <v>0.23431773604875281</v>
          </cell>
          <cell r="U121">
            <v>0.21635549102145182</v>
          </cell>
          <cell r="V121">
            <v>0.19906891609891381</v>
          </cell>
          <cell r="W121">
            <v>0.18242303216724107</v>
          </cell>
          <cell r="X121">
            <v>0.16742375755586528</v>
          </cell>
          <cell r="Y121">
            <v>0.1528939193865449</v>
          </cell>
          <cell r="Z121">
            <v>0.13881203293879119</v>
          </cell>
          <cell r="AA121">
            <v>0.1251578961491227</v>
          </cell>
          <cell r="AB121">
            <v>0.11191249574130048</v>
          </cell>
          <cell r="AC121">
            <v>0.10397196468132193</v>
          </cell>
          <cell r="AD121">
            <v>9.6193406987720026E-2</v>
          </cell>
          <cell r="AE121">
            <v>8.8571312997415427E-2</v>
          </cell>
          <cell r="AF121">
            <v>8.110044273270374E-2</v>
          </cell>
          <cell r="AG121">
            <v>7.3775808668183479E-2</v>
          </cell>
          <cell r="AH121">
            <v>6.7446793872535812E-2</v>
          </cell>
          <cell r="AI121">
            <v>6.1255341304608746E-2</v>
          </cell>
          <cell r="AJ121">
            <v>5.5196113725892434E-2</v>
          </cell>
          <cell r="AK121">
            <v>4.9264078557539712E-2</v>
          </cell>
          <cell r="AL121">
            <v>4.3454485272578496E-2</v>
          </cell>
          <cell r="AM121">
            <v>4.0342535078885064E-2</v>
          </cell>
          <cell r="AN121">
            <v>3.731540690591062E-2</v>
          </cell>
          <cell r="AO121">
            <v>3.4369475413632375E-2</v>
          </cell>
          <cell r="AP121">
            <v>3.1501325214465581E-2</v>
          </cell>
          <cell r="AQ121">
            <v>2.8707735667050892E-2</v>
          </cell>
          <cell r="AR121">
            <v>2.5609327030320889E-2</v>
          </cell>
          <cell r="AS121">
            <v>2.2585605900403177E-2</v>
          </cell>
          <cell r="AT121">
            <v>1.9633253136557179E-2</v>
          </cell>
          <cell r="AU121">
            <v>1.6749156064836818E-2</v>
          </cell>
          <cell r="AV121">
            <v>1.393039242350567E-2</v>
          </cell>
          <cell r="AW121">
            <v>1.1475637918926359E-2</v>
          </cell>
          <cell r="AX121">
            <v>9.0707693073958009E-3</v>
          </cell>
          <cell r="AY121">
            <v>6.7134714991673346E-3</v>
          </cell>
          <cell r="AZ121">
            <v>4.4015909796264767E-3</v>
          </cell>
          <cell r="BA121">
            <v>2.1331215364447575E-3</v>
          </cell>
        </row>
        <row r="122">
          <cell r="A122">
            <v>3</v>
          </cell>
          <cell r="B122" t="str">
            <v>Cement</v>
          </cell>
          <cell r="C122">
            <v>6.2223249137585666E-2</v>
          </cell>
          <cell r="D122">
            <v>5.8157761373177762E-2</v>
          </cell>
          <cell r="E122">
            <v>5.6752772806940945E-2</v>
          </cell>
          <cell r="F122">
            <v>5.238901704175368E-2</v>
          </cell>
          <cell r="G122">
            <v>4.8528163902688354E-2</v>
          </cell>
          <cell r="H122">
            <v>4.6722542192057369E-2</v>
          </cell>
          <cell r="I122">
            <v>4.4931703504559835E-2</v>
          </cell>
          <cell r="J122">
            <v>4.3155326423241464E-2</v>
          </cell>
          <cell r="K122">
            <v>4.1393098781896454E-2</v>
          </cell>
          <cell r="L122">
            <v>3.964471733463612E-2</v>
          </cell>
          <cell r="M122">
            <v>3.7909887439520396E-2</v>
          </cell>
          <cell r="N122">
            <v>3.6188322755558944E-2</v>
          </cell>
          <cell r="O122">
            <v>3.4479744952427289E-2</v>
          </cell>
          <cell r="P122">
            <v>3.2783883432279871E-2</v>
          </cell>
          <cell r="Q122">
            <v>3.1100475063075728E-2</v>
          </cell>
          <cell r="R122">
            <v>2.9429263922865039E-2</v>
          </cell>
          <cell r="S122">
            <v>2.741134519209867E-2</v>
          </cell>
          <cell r="T122">
            <v>2.5461874308202296E-2</v>
          </cell>
          <cell r="U122">
            <v>2.3577437082665069E-2</v>
          </cell>
          <cell r="V122">
            <v>2.1754842542258204E-2</v>
          </cell>
          <cell r="W122">
            <v>1.9991104982786032E-2</v>
          </cell>
          <cell r="X122">
            <v>1.8291507189040896E-2</v>
          </cell>
          <cell r="Y122">
            <v>1.6653123392820102E-2</v>
          </cell>
          <cell r="Z122">
            <v>1.5073136759389271E-2</v>
          </cell>
          <cell r="AA122">
            <v>1.3548896613654278E-2</v>
          </cell>
          <cell r="AB122">
            <v>1.2077906421260953E-2</v>
          </cell>
          <cell r="AC122">
            <v>1.1251111565157023E-2</v>
          </cell>
          <cell r="AD122">
            <v>1.0436315706409174E-2</v>
          </cell>
          <cell r="AE122">
            <v>9.6333286871074179E-3</v>
          </cell>
          <cell r="AF122">
            <v>8.8419595045855989E-3</v>
          </cell>
          <cell r="AG122">
            <v>8.0620168780412126E-3</v>
          </cell>
          <cell r="AH122">
            <v>7.3712549245493145E-3</v>
          </cell>
          <cell r="AI122">
            <v>6.6954102183387574E-3</v>
          </cell>
          <cell r="AJ122">
            <v>6.0338899174362873E-3</v>
          </cell>
          <cell r="AK122">
            <v>5.3861357978629747E-3</v>
          </cell>
          <cell r="AL122">
            <v>4.7516216495015629E-3</v>
          </cell>
          <cell r="AM122">
            <v>4.4328279041122012E-3</v>
          </cell>
          <cell r="AN122">
            <v>4.1199549356995668E-3</v>
          </cell>
          <cell r="AO122">
            <v>3.8127680467285176E-3</v>
          </cell>
          <cell r="AP122">
            <v>3.5110461361636345E-3</v>
          </cell>
          <cell r="AQ122">
            <v>3.2145807066819025E-3</v>
          </cell>
          <cell r="AR122">
            <v>2.8626385967526775E-3</v>
          </cell>
          <cell r="AS122">
            <v>2.5204139038253362E-3</v>
          </cell>
          <cell r="AT122">
            <v>2.1874215345457069E-3</v>
          </cell>
          <cell r="AU122">
            <v>1.8632070391660148E-3</v>
          </cell>
          <cell r="AV122">
            <v>1.5473442149343075E-3</v>
          </cell>
          <cell r="AW122">
            <v>1.2704734239275615E-3</v>
          </cell>
          <cell r="AX122">
            <v>1.0010784459272811E-3</v>
          </cell>
          <cell r="AY122">
            <v>7.3871135472065885E-4</v>
          </cell>
          <cell r="AZ122">
            <v>4.8295617523518502E-4</v>
          </cell>
          <cell r="BA122">
            <v>2.3342602928610074E-4</v>
          </cell>
        </row>
        <row r="123">
          <cell r="A123">
            <v>4</v>
          </cell>
          <cell r="B123" t="str">
            <v>Chemical and Petrochemical Industry</v>
          </cell>
          <cell r="C123">
            <v>0.95223222939854091</v>
          </cell>
          <cell r="D123">
            <v>0.93628319190604825</v>
          </cell>
          <cell r="E123">
            <v>0.82859352502343897</v>
          </cell>
          <cell r="F123">
            <v>0.86061963507048655</v>
          </cell>
          <cell r="G123" t="e">
            <v>#DIV/0!</v>
          </cell>
          <cell r="H123" t="e">
            <v>#DIV/0!</v>
          </cell>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t="e">
            <v>#DIV/0!</v>
          </cell>
          <cell r="AL123" t="e">
            <v>#DIV/0!</v>
          </cell>
          <cell r="AM123" t="e">
            <v>#DIV/0!</v>
          </cell>
          <cell r="AN123" t="e">
            <v>#DIV/0!</v>
          </cell>
          <cell r="AO123" t="e">
            <v>#DIV/0!</v>
          </cell>
          <cell r="AP123" t="e">
            <v>#DIV/0!</v>
          </cell>
          <cell r="AQ123" t="e">
            <v>#DIV/0!</v>
          </cell>
          <cell r="AR123" t="e">
            <v>#DIV/0!</v>
          </cell>
          <cell r="AS123" t="e">
            <v>#DIV/0!</v>
          </cell>
          <cell r="AT123" t="e">
            <v>#DIV/0!</v>
          </cell>
          <cell r="AU123" t="e">
            <v>#DIV/0!</v>
          </cell>
          <cell r="AV123" t="e">
            <v>#DIV/0!</v>
          </cell>
          <cell r="AW123" t="e">
            <v>#DIV/0!</v>
          </cell>
          <cell r="AX123" t="e">
            <v>#DIV/0!</v>
          </cell>
          <cell r="AY123" t="e">
            <v>#DIV/0!</v>
          </cell>
          <cell r="AZ123" t="e">
            <v>#DIV/0!</v>
          </cell>
          <cell r="BA123" t="e">
            <v>#DIV/0!</v>
          </cell>
        </row>
        <row r="124">
          <cell r="A124">
            <v>5</v>
          </cell>
          <cell r="B124" t="str">
            <v>Aluminium</v>
          </cell>
          <cell r="C124">
            <v>4.3185369867795647</v>
          </cell>
          <cell r="D124">
            <v>4.313271919958936</v>
          </cell>
          <cell r="E124">
            <v>4.4172652793891043</v>
          </cell>
          <cell r="F124">
            <v>4.3413772816014369</v>
          </cell>
          <cell r="G124">
            <v>4.1958524015878735</v>
          </cell>
          <cell r="H124">
            <v>4.0037819140551685</v>
          </cell>
          <cell r="I124">
            <v>3.8186223276195737</v>
          </cell>
          <cell r="J124">
            <v>3.6396944091149663</v>
          </cell>
          <cell r="K124">
            <v>3.4664051123849595</v>
          </cell>
          <cell r="L124">
            <v>3.298234328401497</v>
          </cell>
          <cell r="M124">
            <v>3.1347240068194728</v>
          </cell>
          <cell r="N124">
            <v>2.975469168136629</v>
          </cell>
          <cell r="O124">
            <v>2.8201104339119323</v>
          </cell>
          <cell r="P124">
            <v>2.668327784096781</v>
          </cell>
          <cell r="Q124">
            <v>2.519835312562599</v>
          </cell>
          <cell r="R124">
            <v>2.3743767994461717</v>
          </cell>
          <cell r="S124">
            <v>2.1367733728591585</v>
          </cell>
          <cell r="T124">
            <v>1.919213322141325</v>
          </cell>
          <cell r="U124">
            <v>1.7197335989242495</v>
          </cell>
          <cell r="V124">
            <v>1.5365999134720074</v>
          </cell>
          <cell r="W124">
            <v>1.3682755977199907</v>
          </cell>
          <cell r="X124">
            <v>1.2100983207665754</v>
          </cell>
          <cell r="Y124">
            <v>1.0651316281684926</v>
          </cell>
          <cell r="Z124">
            <v>0.93226076458434715</v>
          </cell>
          <cell r="AA124">
            <v>0.81047905100972362</v>
          </cell>
          <cell r="AB124">
            <v>0.69887582247599289</v>
          </cell>
          <cell r="AC124">
            <v>0.62777124727009426</v>
          </cell>
          <cell r="AD124">
            <v>0.56151469821091404</v>
          </cell>
          <cell r="AE124">
            <v>0.49980358323012569</v>
          </cell>
          <cell r="AF124">
            <v>0.44235659088345003</v>
          </cell>
          <cell r="AG124">
            <v>0.38891198023840379</v>
          </cell>
          <cell r="AH124">
            <v>0.34548715742802016</v>
          </cell>
          <cell r="AI124">
            <v>0.30485690295357071</v>
          </cell>
          <cell r="AJ124">
            <v>0.26686081659074851</v>
          </cell>
          <cell r="AK124">
            <v>0.2313492467724152</v>
          </cell>
          <cell r="AL124">
            <v>0.19818243894290866</v>
          </cell>
          <cell r="AM124">
            <v>0.18036172733181852</v>
          </cell>
          <cell r="AN124">
            <v>0.16351013812538134</v>
          </cell>
          <cell r="AO124">
            <v>0.14757954836595844</v>
          </cell>
          <cell r="AP124">
            <v>0.13252475842962791</v>
          </cell>
          <cell r="AQ124">
            <v>0.11830327644963144</v>
          </cell>
          <cell r="AR124">
            <v>0.10374307909365751</v>
          </cell>
          <cell r="AS124">
            <v>8.9939646374304613E-2</v>
          </cell>
          <cell r="AT124">
            <v>7.6853619386833216E-2</v>
          </cell>
          <cell r="AU124">
            <v>6.4448174218679363E-2</v>
          </cell>
          <cell r="AV124">
            <v>5.2688823293702496E-2</v>
          </cell>
          <cell r="AW124">
            <v>4.2575893544521563E-2</v>
          </cell>
          <cell r="AX124">
            <v>3.3014754374161584E-2</v>
          </cell>
          <cell r="AY124">
            <v>2.3973488587813799E-2</v>
          </cell>
          <cell r="AZ124">
            <v>1.5422507370526027E-2</v>
          </cell>
          <cell r="BA124">
            <v>7.33434284144049E-3</v>
          </cell>
        </row>
        <row r="125">
          <cell r="A125">
            <v>6</v>
          </cell>
          <cell r="B125" t="str">
            <v>Pulp &amp; Paper</v>
          </cell>
          <cell r="C125">
            <v>0.74664376859168757</v>
          </cell>
          <cell r="D125">
            <v>0.74064942068156403</v>
          </cell>
          <cell r="E125">
            <v>0.72403468828664974</v>
          </cell>
          <cell r="F125">
            <v>0.72317416982420524</v>
          </cell>
          <cell r="G125">
            <v>0.40720129154804652</v>
          </cell>
          <cell r="H125">
            <v>0.39269850859929689</v>
          </cell>
          <cell r="I125">
            <v>0.3782686750310198</v>
          </cell>
          <cell r="J125">
            <v>0.3639097963001362</v>
          </cell>
          <cell r="K125">
            <v>0.34961994991851597</v>
          </cell>
          <cell r="L125">
            <v>0.33539728222827658</v>
          </cell>
          <cell r="M125">
            <v>0.32124000534872527</v>
          </cell>
          <cell r="N125">
            <v>0.30714639428437873</v>
          </cell>
          <cell r="O125">
            <v>0.29311478418423242</v>
          </cell>
          <cell r="P125">
            <v>0.27914356774313126</v>
          </cell>
          <cell r="Q125">
            <v>0.2652311927367183</v>
          </cell>
          <cell r="R125">
            <v>0.25137615968201976</v>
          </cell>
          <cell r="S125">
            <v>0.23352393587396503</v>
          </cell>
          <cell r="T125">
            <v>0.21635371291175712</v>
          </cell>
          <cell r="U125">
            <v>0.19982955112352263</v>
          </cell>
          <cell r="V125">
            <v>0.18391792385685832</v>
          </cell>
          <cell r="W125">
            <v>0.16858752089775095</v>
          </cell>
          <cell r="X125">
            <v>0.15442939714437734</v>
          </cell>
          <cell r="Y125">
            <v>0.14075804082752394</v>
          </cell>
          <cell r="Z125">
            <v>0.12755082427567019</v>
          </cell>
          <cell r="AA125">
            <v>0.11478646502131203</v>
          </cell>
          <cell r="AB125">
            <v>0.10244492815260578</v>
          </cell>
          <cell r="AC125">
            <v>9.4443495333455821E-2</v>
          </cell>
          <cell r="AD125">
            <v>8.6713829868900971E-2</v>
          </cell>
          <cell r="AE125">
            <v>7.9243874236882575E-2</v>
          </cell>
          <cell r="AF125">
            <v>7.2022250526839554E-2</v>
          </cell>
          <cell r="AG125">
            <v>6.5038213712299342E-2</v>
          </cell>
          <cell r="AH125">
            <v>5.8867767310043187E-2</v>
          </cell>
          <cell r="AI125">
            <v>5.2938486375934013E-2</v>
          </cell>
          <cell r="AJ125">
            <v>4.7238459529832924E-2</v>
          </cell>
          <cell r="AK125">
            <v>4.1756527328473514E-2</v>
          </cell>
          <cell r="AL125">
            <v>3.6482224142848525E-2</v>
          </cell>
          <cell r="AM125">
            <v>3.3629523505605219E-2</v>
          </cell>
          <cell r="AN125">
            <v>3.0886679114737699E-2</v>
          </cell>
          <cell r="AO125">
            <v>2.8248523590823131E-2</v>
          </cell>
          <cell r="AP125">
            <v>2.5710199636810573E-2</v>
          </cell>
          <cell r="AQ125">
            <v>2.3267137237655132E-2</v>
          </cell>
          <cell r="AR125">
            <v>2.0730901806550982E-2</v>
          </cell>
          <cell r="AS125">
            <v>1.8261637724916693E-2</v>
          </cell>
          <cell r="AT125">
            <v>1.5856225847918543E-2</v>
          </cell>
          <cell r="AU125">
            <v>1.3511743882847739E-2</v>
          </cell>
          <cell r="AV125">
            <v>1.122545102282798E-2</v>
          </cell>
          <cell r="AW125">
            <v>9.1919765841813918E-3</v>
          </cell>
          <cell r="AX125">
            <v>7.2230766441916724E-3</v>
          </cell>
          <cell r="AY125">
            <v>5.3152546665600547E-3</v>
          </cell>
          <cell r="AZ125">
            <v>3.4652669114770556E-3</v>
          </cell>
          <cell r="BA125">
            <v>1.6700999411755461E-3</v>
          </cell>
        </row>
        <row r="126">
          <cell r="A126">
            <v>7</v>
          </cell>
          <cell r="B126" t="str">
            <v>Manufacture of light-road automotor vehicles</v>
          </cell>
          <cell r="C126">
            <v>1</v>
          </cell>
          <cell r="D126">
            <v>0.95141480373298271</v>
          </cell>
          <cell r="E126">
            <v>0.97926810838785772</v>
          </cell>
          <cell r="F126">
            <v>0.91796339706892915</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row>
        <row r="127">
          <cell r="A127">
            <v>8</v>
          </cell>
          <cell r="B127" t="str">
            <v>Other Industry</v>
          </cell>
          <cell r="C127">
            <v>1</v>
          </cell>
          <cell r="D127">
            <v>0.95141480373298271</v>
          </cell>
          <cell r="E127">
            <v>0.97926810838785772</v>
          </cell>
          <cell r="F127">
            <v>0.91796339706892915</v>
          </cell>
          <cell r="G127">
            <v>0.93577434756819822</v>
          </cell>
          <cell r="H127">
            <v>0.88016411396272498</v>
          </cell>
          <cell r="I127">
            <v>0.82670013365711403</v>
          </cell>
          <cell r="J127">
            <v>0.77533264288629422</v>
          </cell>
          <cell r="K127">
            <v>0.72601107623350458</v>
          </cell>
          <cell r="L127">
            <v>0.67868426556669303</v>
          </cell>
          <cell r="M127">
            <v>0.63330062208531035</v>
          </cell>
          <cell r="N127">
            <v>0.5898083026026909</v>
          </cell>
          <cell r="O127">
            <v>0.54815536112245333</v>
          </cell>
          <cell r="P127">
            <v>0.50828988670427311</v>
          </cell>
          <cell r="Q127">
            <v>0.47016012855481398</v>
          </cell>
          <cell r="R127">
            <v>0.43371460922334359</v>
          </cell>
          <cell r="S127">
            <v>0.39109897500333779</v>
          </cell>
          <cell r="T127">
            <v>0.35167848857960415</v>
          </cell>
          <cell r="U127">
            <v>0.31522388344777341</v>
          </cell>
          <cell r="V127">
            <v>0.28152312254161055</v>
          </cell>
          <cell r="W127">
            <v>0.25037996711558091</v>
          </cell>
          <cell r="X127">
            <v>0.22479252954947129</v>
          </cell>
          <cell r="Y127">
            <v>0.20078649084301176</v>
          </cell>
          <cell r="Z127">
            <v>0.1782736020319268</v>
          </cell>
          <cell r="AA127">
            <v>0.15717066653277104</v>
          </cell>
          <cell r="AB127">
            <v>0.13739921633585622</v>
          </cell>
          <cell r="AC127">
            <v>0.12477860623227585</v>
          </cell>
          <cell r="AD127">
            <v>0.11282679484468822</v>
          </cell>
          <cell r="AE127">
            <v>0.10151504378264679</v>
          </cell>
          <cell r="AF127">
            <v>9.081562523589938E-2</v>
          </cell>
          <cell r="AG127">
            <v>8.0701801549596594E-2</v>
          </cell>
          <cell r="AH127">
            <v>7.2270158157723113E-2</v>
          </cell>
          <cell r="AI127">
            <v>6.5094257177411227E-2</v>
          </cell>
          <cell r="AJ127">
            <v>5.8156222393565868E-2</v>
          </cell>
          <cell r="AK127">
            <v>5.1451677629015785E-2</v>
          </cell>
          <cell r="AL127">
            <v>4.4976128415624983E-2</v>
          </cell>
          <cell r="AM127">
            <v>4.1315590322484809E-2</v>
          </cell>
          <cell r="AN127">
            <v>3.7807850848796232E-2</v>
          </cell>
          <cell r="AO127">
            <v>3.4446969753133931E-2</v>
          </cell>
          <cell r="AP127">
            <v>3.1227271438487952E-2</v>
          </cell>
          <cell r="AQ127">
            <v>2.8143329486160735E-2</v>
          </cell>
          <cell r="AR127">
            <v>2.4711987526209501E-2</v>
          </cell>
          <cell r="AS127">
            <v>2.1451118137358234E-2</v>
          </cell>
          <cell r="AT127">
            <v>1.8352507179803947E-2</v>
          </cell>
          <cell r="AU127">
            <v>1.5408409988152979E-2</v>
          </cell>
          <cell r="AV127">
            <v>1.2611517403289505E-2</v>
          </cell>
          <cell r="AW127">
            <v>1.0168232535382619E-2</v>
          </cell>
          <cell r="AX127">
            <v>7.8669022392359265E-3</v>
          </cell>
          <cell r="AY127">
            <v>5.6993211049531731E-3</v>
          </cell>
          <cell r="AZ127">
            <v>3.6578541468058551E-3</v>
          </cell>
          <cell r="BA127">
            <v>1.7353875691247921E-3</v>
          </cell>
        </row>
        <row r="128">
          <cell r="A128">
            <v>9</v>
          </cell>
          <cell r="B128" t="str">
            <v>Passenger transport - Air</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row>
        <row r="129">
          <cell r="A129">
            <v>10</v>
          </cell>
          <cell r="B129" t="str">
            <v>Passenger transport - Light Road</v>
          </cell>
          <cell r="C129">
            <v>0.56756325863015644</v>
          </cell>
          <cell r="D129">
            <v>0.60902758707133597</v>
          </cell>
          <cell r="E129">
            <v>0.64791099974166855</v>
          </cell>
          <cell r="F129">
            <v>0.68142912181359749</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row>
        <row r="130">
          <cell r="A130">
            <v>11</v>
          </cell>
          <cell r="B130" t="str">
            <v>Passenger transport - Heavy Road</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row>
        <row r="131">
          <cell r="A131">
            <v>12</v>
          </cell>
          <cell r="B131" t="str">
            <v>Passenger transport - Rail</v>
          </cell>
          <cell r="C131">
            <v>19.572880662474663</v>
          </cell>
          <cell r="D131">
            <v>19.01357267144709</v>
          </cell>
          <cell r="E131">
            <v>15.782993029856527</v>
          </cell>
          <cell r="F131">
            <v>16.7827553184575</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row>
        <row r="132">
          <cell r="A132">
            <v>13</v>
          </cell>
          <cell r="B132" t="str">
            <v>Other transport</v>
          </cell>
          <cell r="C132">
            <v>1</v>
          </cell>
          <cell r="D132">
            <v>0.99511406815153292</v>
          </cell>
          <cell r="E132">
            <v>0.93923327543745139</v>
          </cell>
          <cell r="F132">
            <v>0.98064322207120902</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row>
        <row r="133">
          <cell r="A133">
            <v>14</v>
          </cell>
          <cell r="B133" t="str">
            <v>Services / Commercial Buildings</v>
          </cell>
          <cell r="C133">
            <v>1</v>
          </cell>
          <cell r="D133">
            <v>1.0832121266019874</v>
          </cell>
          <cell r="E133">
            <v>1.0963841829078065</v>
          </cell>
          <cell r="F133">
            <v>1.2064667491034458</v>
          </cell>
          <cell r="G133">
            <v>1.1625445244757371</v>
          </cell>
          <cell r="H133">
            <v>1.1212042064886685</v>
          </cell>
          <cell r="I133">
            <v>1.0800967767511245</v>
          </cell>
          <cell r="J133">
            <v>1.0392112718719935</v>
          </cell>
          <cell r="K133">
            <v>0.99853740597526242</v>
          </cell>
          <cell r="L133">
            <v>0.95806551915997773</v>
          </cell>
          <cell r="M133">
            <v>0.91778653059461313</v>
          </cell>
          <cell r="N133">
            <v>0.87769189576684581</v>
          </cell>
          <cell r="O133">
            <v>0.83777356746550724</v>
          </cell>
          <cell r="P133">
            <v>0.79802396012003185</v>
          </cell>
          <cell r="Q133">
            <v>0.75843591716509784</v>
          </cell>
          <cell r="R133">
            <v>0.71900268113523447</v>
          </cell>
          <cell r="S133">
            <v>0.66678767460486588</v>
          </cell>
          <cell r="T133">
            <v>0.61673349531310484</v>
          </cell>
          <cell r="U133">
            <v>0.56871679043071488</v>
          </cell>
          <cell r="V133">
            <v>0.52262308391463441</v>
          </cell>
          <cell r="W133">
            <v>0.47834601069121457</v>
          </cell>
          <cell r="X133">
            <v>0.43853814528597623</v>
          </cell>
          <cell r="Y133">
            <v>0.40005403555418889</v>
          </cell>
          <cell r="Z133">
            <v>0.36283044136090098</v>
          </cell>
          <cell r="AA133">
            <v>0.32680801860508091</v>
          </cell>
          <cell r="AB133">
            <v>0.29193102729074949</v>
          </cell>
          <cell r="AC133">
            <v>0.26917137136633962</v>
          </cell>
          <cell r="AD133">
            <v>0.24718948019455678</v>
          </cell>
          <cell r="AE133">
            <v>0.22594837786071847</v>
          </cell>
          <cell r="AF133">
            <v>0.20541331750396449</v>
          </cell>
          <cell r="AG133">
            <v>0.18555161946071602</v>
          </cell>
          <cell r="AH133">
            <v>0.16791632607402596</v>
          </cell>
          <cell r="AI133">
            <v>0.15098505706686341</v>
          </cell>
          <cell r="AJ133">
            <v>0.13472008819774414</v>
          </cell>
          <cell r="AK133">
            <v>0.1190862263975324</v>
          </cell>
          <cell r="AL133">
            <v>0.10405060611558443</v>
          </cell>
          <cell r="AM133">
            <v>9.586904933030832E-2</v>
          </cell>
          <cell r="AN133">
            <v>8.8015207906436937E-2</v>
          </cell>
          <cell r="AO133">
            <v>8.0471979666756455E-2</v>
          </cell>
          <cell r="AP133">
            <v>7.3223367878985188E-2</v>
          </cell>
          <cell r="AQ133">
            <v>6.6254395985286929E-2</v>
          </cell>
          <cell r="AR133">
            <v>5.8565278453240076E-2</v>
          </cell>
          <cell r="AS133">
            <v>5.1186260177859384E-2</v>
          </cell>
          <cell r="AT133">
            <v>4.4100725511843165E-2</v>
          </cell>
          <cell r="AU133">
            <v>3.729317291642107E-2</v>
          </cell>
          <cell r="AV133">
            <v>3.0749125228843849E-2</v>
          </cell>
          <cell r="AW133">
            <v>2.4946366313372589E-2</v>
          </cell>
          <cell r="AX133">
            <v>1.9423746271607107E-2</v>
          </cell>
          <cell r="AY133">
            <v>1.4164114942576538E-2</v>
          </cell>
          <cell r="AZ133">
            <v>9.1516227685926512E-3</v>
          </cell>
          <cell r="BA133">
            <v>4.3716025463273588E-3</v>
          </cell>
        </row>
      </sheetData>
      <sheetData sheetId="6">
        <row r="21">
          <cell r="E21">
            <v>33562.649190218086</v>
          </cell>
        </row>
        <row r="26">
          <cell r="D26">
            <v>2.9166666666666665</v>
          </cell>
          <cell r="E26">
            <v>1.7664552205377941</v>
          </cell>
        </row>
        <row r="37">
          <cell r="E37">
            <v>15104.795546243191</v>
          </cell>
        </row>
        <row r="42">
          <cell r="D42">
            <v>1.6666666666666667</v>
          </cell>
          <cell r="E42">
            <v>0.79498923927595744</v>
          </cell>
        </row>
      </sheetData>
      <sheetData sheetId="7">
        <row r="2">
          <cell r="A2" t="str">
            <v>Code</v>
          </cell>
          <cell r="B2" t="str">
            <v>Sector</v>
          </cell>
          <cell r="C2">
            <v>2010</v>
          </cell>
          <cell r="D2">
            <v>2011</v>
          </cell>
          <cell r="E2">
            <v>2012</v>
          </cell>
          <cell r="F2">
            <v>2013</v>
          </cell>
          <cell r="G2">
            <v>2014</v>
          </cell>
          <cell r="H2">
            <v>2015</v>
          </cell>
          <cell r="I2">
            <v>2016</v>
          </cell>
          <cell r="J2">
            <v>2017</v>
          </cell>
          <cell r="K2">
            <v>2018</v>
          </cell>
          <cell r="L2">
            <v>2019</v>
          </cell>
          <cell r="M2">
            <v>2020</v>
          </cell>
          <cell r="N2">
            <v>2021</v>
          </cell>
          <cell r="O2">
            <v>2022</v>
          </cell>
          <cell r="P2">
            <v>2023</v>
          </cell>
          <cell r="Q2">
            <v>2024</v>
          </cell>
          <cell r="R2">
            <v>2025</v>
          </cell>
          <cell r="S2">
            <v>2026</v>
          </cell>
          <cell r="T2">
            <v>2027</v>
          </cell>
          <cell r="U2">
            <v>2028</v>
          </cell>
          <cell r="V2">
            <v>2029</v>
          </cell>
          <cell r="W2">
            <v>2030</v>
          </cell>
          <cell r="X2">
            <v>2031</v>
          </cell>
          <cell r="Y2">
            <v>2032</v>
          </cell>
          <cell r="Z2">
            <v>2033</v>
          </cell>
          <cell r="AA2">
            <v>2034</v>
          </cell>
          <cell r="AB2">
            <v>2035</v>
          </cell>
          <cell r="AC2">
            <v>2036</v>
          </cell>
          <cell r="AD2">
            <v>2037</v>
          </cell>
          <cell r="AE2">
            <v>2038</v>
          </cell>
          <cell r="AF2">
            <v>2039</v>
          </cell>
          <cell r="AG2">
            <v>2040</v>
          </cell>
          <cell r="AH2">
            <v>2041</v>
          </cell>
          <cell r="AI2">
            <v>2042</v>
          </cell>
          <cell r="AJ2">
            <v>2043</v>
          </cell>
          <cell r="AK2">
            <v>2044</v>
          </cell>
          <cell r="AL2">
            <v>2045</v>
          </cell>
          <cell r="AM2">
            <v>2046</v>
          </cell>
          <cell r="AN2">
            <v>2047</v>
          </cell>
          <cell r="AO2">
            <v>2048</v>
          </cell>
          <cell r="AP2">
            <v>2049</v>
          </cell>
          <cell r="AQ2">
            <v>2050</v>
          </cell>
        </row>
        <row r="3">
          <cell r="A3">
            <v>1</v>
          </cell>
          <cell r="B3" t="str">
            <v>Power Generation</v>
          </cell>
          <cell r="C3">
            <v>13491.479657651229</v>
          </cell>
          <cell r="D3">
            <v>13067.914576999998</v>
          </cell>
          <cell r="E3">
            <v>13358.541172000003</v>
          </cell>
          <cell r="F3">
            <v>13655.577414000001</v>
          </cell>
          <cell r="G3">
            <v>13564.516989472557</v>
          </cell>
          <cell r="H3">
            <v>13473.456564945112</v>
          </cell>
          <cell r="I3">
            <v>13382.396140417668</v>
          </cell>
          <cell r="J3">
            <v>13291.335715890224</v>
          </cell>
          <cell r="K3">
            <v>13200.275291362779</v>
          </cell>
          <cell r="L3">
            <v>13109.214866835335</v>
          </cell>
          <cell r="M3">
            <v>13018.15444230789</v>
          </cell>
          <cell r="N3">
            <v>12675.442760758951</v>
          </cell>
          <cell r="O3">
            <v>12332.731079210011</v>
          </cell>
          <cell r="P3">
            <v>11990.019397661072</v>
          </cell>
          <cell r="Q3">
            <v>11647.307716112131</v>
          </cell>
          <cell r="R3">
            <v>11304.596034563192</v>
          </cell>
          <cell r="S3">
            <v>10824.547709225546</v>
          </cell>
          <cell r="T3">
            <v>10344.4993838879</v>
          </cell>
          <cell r="U3">
            <v>9864.4510585502539</v>
          </cell>
          <cell r="V3">
            <v>9384.4027332126061</v>
          </cell>
          <cell r="W3">
            <v>8904.3544078749601</v>
          </cell>
          <cell r="X3">
            <v>8372.7867460397847</v>
          </cell>
          <cell r="Y3">
            <v>7841.2190842046111</v>
          </cell>
          <cell r="Z3">
            <v>7309.6514223694357</v>
          </cell>
          <cell r="AA3">
            <v>6778.0837605342613</v>
          </cell>
          <cell r="AB3">
            <v>6246.5160986990868</v>
          </cell>
          <cell r="AC3">
            <v>5745.2346645368098</v>
          </cell>
          <cell r="AD3">
            <v>5243.9532303745327</v>
          </cell>
          <cell r="AE3">
            <v>4742.6717962122548</v>
          </cell>
          <cell r="AF3">
            <v>4241.3903620499786</v>
          </cell>
          <cell r="AG3">
            <v>3740.1089278877012</v>
          </cell>
          <cell r="AH3">
            <v>3413.8162556335678</v>
          </cell>
          <cell r="AI3">
            <v>3087.5235833794345</v>
          </cell>
          <cell r="AJ3">
            <v>2761.2309111253012</v>
          </cell>
          <cell r="AK3">
            <v>2434.9382388711679</v>
          </cell>
          <cell r="AL3">
            <v>2108.6455666170345</v>
          </cell>
          <cell r="AM3">
            <v>1963.4132865473034</v>
          </cell>
          <cell r="AN3">
            <v>1818.1810064775723</v>
          </cell>
          <cell r="AO3">
            <v>1672.9487264078409</v>
          </cell>
          <cell r="AP3">
            <v>1527.7164463381098</v>
          </cell>
          <cell r="AQ3">
            <v>1382.4841662683787</v>
          </cell>
        </row>
        <row r="4">
          <cell r="A4">
            <v>2</v>
          </cell>
          <cell r="B4" t="str">
            <v>Iron &amp; Steel Industry</v>
          </cell>
          <cell r="C4">
            <v>2791.1593234154961</v>
          </cell>
          <cell r="D4">
            <v>2990.5249707660996</v>
          </cell>
          <cell r="E4">
            <v>2551.7153761458931</v>
          </cell>
          <cell r="F4">
            <v>2817.3431803343847</v>
          </cell>
          <cell r="G4">
            <v>2821.0470937426398</v>
          </cell>
          <cell r="H4">
            <v>2824.7510071508955</v>
          </cell>
          <cell r="I4">
            <v>2828.4549205591507</v>
          </cell>
          <cell r="J4">
            <v>2832.1588339674063</v>
          </cell>
          <cell r="K4">
            <v>2835.8627473756615</v>
          </cell>
          <cell r="L4">
            <v>2839.5666607839171</v>
          </cell>
          <cell r="M4">
            <v>2843.2705741921723</v>
          </cell>
          <cell r="N4">
            <v>2795.4463209150576</v>
          </cell>
          <cell r="O4">
            <v>2747.6220676379435</v>
          </cell>
          <cell r="P4">
            <v>2699.7978143608289</v>
          </cell>
          <cell r="Q4">
            <v>2651.9735610837147</v>
          </cell>
          <cell r="R4">
            <v>2604.1493078066001</v>
          </cell>
          <cell r="S4">
            <v>2511.6091554671107</v>
          </cell>
          <cell r="T4">
            <v>2419.0690031276213</v>
          </cell>
          <cell r="U4">
            <v>2326.5288507881314</v>
          </cell>
          <cell r="V4">
            <v>2233.988698448642</v>
          </cell>
          <cell r="W4">
            <v>2141.4485461091526</v>
          </cell>
          <cell r="X4">
            <v>2088.8013159248953</v>
          </cell>
          <cell r="Y4">
            <v>2036.154085740638</v>
          </cell>
          <cell r="Z4">
            <v>1983.5068555563807</v>
          </cell>
          <cell r="AA4">
            <v>1930.8596253721234</v>
          </cell>
          <cell r="AB4">
            <v>1878.2123951878662</v>
          </cell>
          <cell r="AC4">
            <v>1823.7025527435198</v>
          </cell>
          <cell r="AD4">
            <v>1769.1927102991738</v>
          </cell>
          <cell r="AE4">
            <v>1714.6828678548275</v>
          </cell>
          <cell r="AF4">
            <v>1660.1730254104814</v>
          </cell>
          <cell r="AG4">
            <v>1605.6631829661351</v>
          </cell>
          <cell r="AH4">
            <v>1570.6277649625215</v>
          </cell>
          <cell r="AI4">
            <v>1535.5923469589081</v>
          </cell>
          <cell r="AJ4">
            <v>1500.5569289552946</v>
          </cell>
          <cell r="AK4">
            <v>1465.5215109516812</v>
          </cell>
          <cell r="AL4">
            <v>1430.4860929480676</v>
          </cell>
          <cell r="AM4">
            <v>1406.5631090668792</v>
          </cell>
          <cell r="AN4">
            <v>1382.640125185691</v>
          </cell>
          <cell r="AO4">
            <v>1358.7171413045025</v>
          </cell>
          <cell r="AP4">
            <v>1334.7941574233143</v>
          </cell>
          <cell r="AQ4">
            <v>1310.8711735421259</v>
          </cell>
        </row>
        <row r="5">
          <cell r="A5">
            <v>3</v>
          </cell>
          <cell r="B5" t="str">
            <v>Cement</v>
          </cell>
          <cell r="C5">
            <v>2182.6244947880637</v>
          </cell>
          <cell r="D5">
            <v>2162.6438430844769</v>
          </cell>
          <cell r="E5">
            <v>2287.1635574020929</v>
          </cell>
          <cell r="F5">
            <v>2228.5321444086053</v>
          </cell>
          <cell r="G5">
            <v>2249.4765015989906</v>
          </cell>
          <cell r="H5">
            <v>2270.4208587893759</v>
          </cell>
          <cell r="I5">
            <v>2291.3652159797612</v>
          </cell>
          <cell r="J5">
            <v>2312.3095731701469</v>
          </cell>
          <cell r="K5">
            <v>2333.2539303605322</v>
          </cell>
          <cell r="L5">
            <v>2354.1982875509175</v>
          </cell>
          <cell r="M5">
            <v>2375.1426447413028</v>
          </cell>
          <cell r="N5">
            <v>2354.6967580333308</v>
          </cell>
          <cell r="O5">
            <v>2334.2508713253587</v>
          </cell>
          <cell r="P5">
            <v>2313.8049846173863</v>
          </cell>
          <cell r="Q5">
            <v>2293.3590979094142</v>
          </cell>
          <cell r="R5">
            <v>2272.9132112014422</v>
          </cell>
          <cell r="S5">
            <v>2258.0132860625636</v>
          </cell>
          <cell r="T5">
            <v>2243.1133609236845</v>
          </cell>
          <cell r="U5">
            <v>2228.2134357848058</v>
          </cell>
          <cell r="V5">
            <v>2213.3135106459267</v>
          </cell>
          <cell r="W5">
            <v>2198.4135855070481</v>
          </cell>
          <cell r="X5">
            <v>2176.0092505472981</v>
          </cell>
          <cell r="Y5">
            <v>2153.6049155875485</v>
          </cell>
          <cell r="Z5">
            <v>2131.2005806277984</v>
          </cell>
          <cell r="AA5">
            <v>2108.7962456680489</v>
          </cell>
          <cell r="AB5">
            <v>2086.3919107082988</v>
          </cell>
          <cell r="AC5">
            <v>2068.0702442493653</v>
          </cell>
          <cell r="AD5">
            <v>2049.7485777904312</v>
          </cell>
          <cell r="AE5">
            <v>2031.4269113314976</v>
          </cell>
          <cell r="AF5">
            <v>2013.1052448725641</v>
          </cell>
          <cell r="AG5">
            <v>1994.7835784136303</v>
          </cell>
          <cell r="AH5">
            <v>1970.6893429308911</v>
          </cell>
          <cell r="AI5">
            <v>1946.595107448152</v>
          </cell>
          <cell r="AJ5">
            <v>1922.5008719654127</v>
          </cell>
          <cell r="AK5">
            <v>1898.4066364826735</v>
          </cell>
          <cell r="AL5">
            <v>1874.3124009999344</v>
          </cell>
          <cell r="AM5">
            <v>1836.8824749672888</v>
          </cell>
          <cell r="AN5">
            <v>1799.4525489346431</v>
          </cell>
          <cell r="AO5">
            <v>1762.0226229019977</v>
          </cell>
          <cell r="AP5">
            <v>1724.592696869352</v>
          </cell>
          <cell r="AQ5">
            <v>1687.1627708367064</v>
          </cell>
        </row>
        <row r="6">
          <cell r="A6">
            <v>4</v>
          </cell>
          <cell r="B6" t="str">
            <v>Chemical and Petrochemical Industry</v>
          </cell>
          <cell r="C6">
            <v>965.31230520124302</v>
          </cell>
          <cell r="D6">
            <v>1272.5655335398646</v>
          </cell>
          <cell r="E6">
            <v>1215.5919841453122</v>
          </cell>
          <cell r="F6">
            <v>1224.5764818039158</v>
          </cell>
          <cell r="G6">
            <v>1372.1469986311577</v>
          </cell>
          <cell r="H6">
            <v>1519.7175154583997</v>
          </cell>
          <cell r="I6">
            <v>1667.2880322856415</v>
          </cell>
          <cell r="J6">
            <v>1814.8585491128833</v>
          </cell>
          <cell r="K6">
            <v>1962.4290659401252</v>
          </cell>
          <cell r="L6">
            <v>2109.999582767367</v>
          </cell>
          <cell r="M6">
            <v>2257.570099594609</v>
          </cell>
          <cell r="N6">
            <v>2267.8934805218637</v>
          </cell>
          <cell r="O6">
            <v>2278.2168614491184</v>
          </cell>
          <cell r="P6">
            <v>2288.540242376373</v>
          </cell>
          <cell r="Q6">
            <v>2298.8636233036277</v>
          </cell>
          <cell r="R6">
            <v>2309.1870042308824</v>
          </cell>
          <cell r="S6">
            <v>2295.5540443289051</v>
          </cell>
          <cell r="T6">
            <v>2281.9210844269273</v>
          </cell>
          <cell r="U6">
            <v>2268.28812452495</v>
          </cell>
          <cell r="V6">
            <v>2254.6551646229723</v>
          </cell>
          <cell r="W6">
            <v>2241.022204720995</v>
          </cell>
          <cell r="X6">
            <v>2232.074700354478</v>
          </cell>
          <cell r="Y6">
            <v>2223.1271959879605</v>
          </cell>
          <cell r="Z6">
            <v>2214.1796916214435</v>
          </cell>
          <cell r="AA6">
            <v>2205.232187254926</v>
          </cell>
          <cell r="AB6">
            <v>2196.284682888409</v>
          </cell>
          <cell r="AC6">
            <v>2186.4243879385704</v>
          </cell>
          <cell r="AD6">
            <v>2176.5640929887322</v>
          </cell>
          <cell r="AE6">
            <v>2166.7037980388936</v>
          </cell>
          <cell r="AF6">
            <v>2156.8435030890555</v>
          </cell>
          <cell r="AG6">
            <v>2146.9832081392169</v>
          </cell>
          <cell r="AH6">
            <v>2142.6935276692175</v>
          </cell>
          <cell r="AI6">
            <v>2138.403847199218</v>
          </cell>
          <cell r="AJ6">
            <v>2134.1141667292186</v>
          </cell>
          <cell r="AK6">
            <v>2129.8244862592192</v>
          </cell>
          <cell r="AL6">
            <v>2125.5348057892197</v>
          </cell>
          <cell r="AM6">
            <v>2120.9825400627824</v>
          </cell>
          <cell r="AN6">
            <v>2116.4302743363455</v>
          </cell>
          <cell r="AO6">
            <v>2111.8780086099082</v>
          </cell>
          <cell r="AP6">
            <v>2107.3257428834713</v>
          </cell>
          <cell r="AQ6">
            <v>2102.773477157034</v>
          </cell>
        </row>
        <row r="7">
          <cell r="A7">
            <v>5</v>
          </cell>
          <cell r="B7" t="str">
            <v>Aluminium</v>
          </cell>
          <cell r="C7">
            <v>162.15499850716208</v>
          </cell>
          <cell r="D7">
            <v>150.33966749451628</v>
          </cell>
          <cell r="E7">
            <v>164.78574420201568</v>
          </cell>
          <cell r="F7">
            <v>243.51848131496749</v>
          </cell>
          <cell r="G7">
            <v>253.07975537316801</v>
          </cell>
          <cell r="H7">
            <v>262.64102943136851</v>
          </cell>
          <cell r="I7">
            <v>272.20230348956903</v>
          </cell>
          <cell r="J7">
            <v>281.76357754776956</v>
          </cell>
          <cell r="K7">
            <v>291.32485160597008</v>
          </cell>
          <cell r="L7">
            <v>300.88612566417061</v>
          </cell>
          <cell r="M7">
            <v>310.44739972237113</v>
          </cell>
          <cell r="N7">
            <v>319.37437208865464</v>
          </cell>
          <cell r="O7">
            <v>328.3013444549382</v>
          </cell>
          <cell r="P7">
            <v>337.22831682122171</v>
          </cell>
          <cell r="Q7">
            <v>346.15528918750528</v>
          </cell>
          <cell r="R7">
            <v>355.08226155378878</v>
          </cell>
          <cell r="S7">
            <v>345.86482472139528</v>
          </cell>
          <cell r="T7">
            <v>336.64738788900178</v>
          </cell>
          <cell r="U7">
            <v>327.42995105660827</v>
          </cell>
          <cell r="V7">
            <v>318.21251422421477</v>
          </cell>
          <cell r="W7">
            <v>308.99507739182127</v>
          </cell>
          <cell r="X7">
            <v>304.4965812020119</v>
          </cell>
          <cell r="Y7">
            <v>299.99808501220258</v>
          </cell>
          <cell r="Z7">
            <v>295.49958882239321</v>
          </cell>
          <cell r="AA7">
            <v>291.00109263258389</v>
          </cell>
          <cell r="AB7">
            <v>286.50259644277452</v>
          </cell>
          <cell r="AC7">
            <v>290.11749654688208</v>
          </cell>
          <cell r="AD7">
            <v>293.73239665098964</v>
          </cell>
          <cell r="AE7">
            <v>297.34729675509726</v>
          </cell>
          <cell r="AF7">
            <v>300.96219685920482</v>
          </cell>
          <cell r="AG7">
            <v>304.57709696331239</v>
          </cell>
          <cell r="AH7">
            <v>301.49559732209963</v>
          </cell>
          <cell r="AI7">
            <v>298.41409768088681</v>
          </cell>
          <cell r="AJ7">
            <v>295.33259803967405</v>
          </cell>
          <cell r="AK7">
            <v>292.25109839846124</v>
          </cell>
          <cell r="AL7">
            <v>289.16959875724848</v>
          </cell>
          <cell r="AM7">
            <v>283.89811429912885</v>
          </cell>
          <cell r="AN7">
            <v>278.62662984100916</v>
          </cell>
          <cell r="AO7">
            <v>273.35514538288953</v>
          </cell>
          <cell r="AP7">
            <v>268.08366092476984</v>
          </cell>
          <cell r="AQ7">
            <v>262.81217646665021</v>
          </cell>
        </row>
        <row r="8">
          <cell r="A8">
            <v>6</v>
          </cell>
          <cell r="B8" t="str">
            <v>Pulp &amp; Paper</v>
          </cell>
          <cell r="C8">
            <v>238.54110371042191</v>
          </cell>
          <cell r="D8">
            <v>237.35164856391825</v>
          </cell>
          <cell r="E8">
            <v>237.35164856391825</v>
          </cell>
          <cell r="F8">
            <v>220.6621176600182</v>
          </cell>
          <cell r="G8">
            <v>217.64069084526267</v>
          </cell>
          <cell r="H8">
            <v>214.61926403050711</v>
          </cell>
          <cell r="I8">
            <v>211.59783721575158</v>
          </cell>
          <cell r="J8">
            <v>208.57641040099602</v>
          </cell>
          <cell r="K8">
            <v>205.5549835862405</v>
          </cell>
          <cell r="L8">
            <v>202.53355677148494</v>
          </cell>
          <cell r="M8">
            <v>199.51212995672941</v>
          </cell>
          <cell r="N8">
            <v>195.9120777671244</v>
          </cell>
          <cell r="O8">
            <v>192.31202557751936</v>
          </cell>
          <cell r="P8">
            <v>188.71197338791436</v>
          </cell>
          <cell r="Q8">
            <v>185.11192119830932</v>
          </cell>
          <cell r="R8">
            <v>181.51186900870431</v>
          </cell>
          <cell r="S8">
            <v>178.26377525570027</v>
          </cell>
          <cell r="T8">
            <v>175.01568150269625</v>
          </cell>
          <cell r="U8">
            <v>171.76758774969221</v>
          </cell>
          <cell r="V8">
            <v>168.5194939966882</v>
          </cell>
          <cell r="W8">
            <v>165.27140024368416</v>
          </cell>
          <cell r="X8">
            <v>161.76500873803229</v>
          </cell>
          <cell r="Y8">
            <v>158.25861723238046</v>
          </cell>
          <cell r="Z8">
            <v>154.7522257267286</v>
          </cell>
          <cell r="AA8">
            <v>151.24583422107676</v>
          </cell>
          <cell r="AB8">
            <v>147.7394427154249</v>
          </cell>
          <cell r="AC8">
            <v>144.94298331434621</v>
          </cell>
          <cell r="AD8">
            <v>142.14652391326752</v>
          </cell>
          <cell r="AE8">
            <v>139.35006451218882</v>
          </cell>
          <cell r="AF8">
            <v>136.55360511111013</v>
          </cell>
          <cell r="AG8">
            <v>133.75714571003144</v>
          </cell>
          <cell r="AH8">
            <v>131.71685781866904</v>
          </cell>
          <cell r="AI8">
            <v>129.67656992730662</v>
          </cell>
          <cell r="AJ8">
            <v>127.63628203594422</v>
          </cell>
          <cell r="AK8">
            <v>125.59599414458182</v>
          </cell>
          <cell r="AL8">
            <v>123.55570625321941</v>
          </cell>
          <cell r="AM8">
            <v>121.75602955530618</v>
          </cell>
          <cell r="AN8">
            <v>119.95635285739296</v>
          </cell>
          <cell r="AO8">
            <v>118.15667615947973</v>
          </cell>
          <cell r="AP8">
            <v>116.3569994615665</v>
          </cell>
          <cell r="AQ8">
            <v>114.55732276365327</v>
          </cell>
        </row>
        <row r="9">
          <cell r="A9">
            <v>7</v>
          </cell>
          <cell r="B9" t="str">
            <v>Manufacture of light-road automotor vehicles</v>
          </cell>
          <cell r="C9">
            <v>2103.7841930268614</v>
          </cell>
          <cell r="D9">
            <v>2084.4305413154134</v>
          </cell>
          <cell r="E9">
            <v>1932.864508825658</v>
          </cell>
          <cell r="F9">
            <v>2232.4497670955552</v>
          </cell>
          <cell r="G9">
            <v>2216.1619801312718</v>
          </cell>
          <cell r="H9">
            <v>2199.8741931669888</v>
          </cell>
          <cell r="I9">
            <v>2183.5864062027053</v>
          </cell>
          <cell r="J9">
            <v>2167.2986192384219</v>
          </cell>
          <cell r="K9">
            <v>2151.0108322741385</v>
          </cell>
          <cell r="L9">
            <v>2134.7230453098555</v>
          </cell>
          <cell r="M9">
            <v>2118.435258345572</v>
          </cell>
          <cell r="N9">
            <v>2095.4462653099399</v>
          </cell>
          <cell r="O9">
            <v>2072.4572722743083</v>
          </cell>
          <cell r="P9">
            <v>2049.4682792386761</v>
          </cell>
          <cell r="Q9">
            <v>2026.4792862030442</v>
          </cell>
          <cell r="R9">
            <v>2003.4902931674123</v>
          </cell>
          <cell r="S9">
            <v>1974.331381169711</v>
          </cell>
          <cell r="T9">
            <v>1945.1724691720096</v>
          </cell>
          <cell r="U9">
            <v>1916.0135571743081</v>
          </cell>
          <cell r="V9">
            <v>1886.8546451766067</v>
          </cell>
          <cell r="W9">
            <v>1857.6957331789054</v>
          </cell>
          <cell r="X9">
            <v>1839.4163387399183</v>
          </cell>
          <cell r="Y9">
            <v>1821.1369443009312</v>
          </cell>
          <cell r="Z9">
            <v>1802.8575498619443</v>
          </cell>
          <cell r="AA9">
            <v>1784.5781554229573</v>
          </cell>
          <cell r="AB9">
            <v>1766.2987609839702</v>
          </cell>
          <cell r="AC9">
            <v>1737.3270784050562</v>
          </cell>
          <cell r="AD9">
            <v>1708.3553958261423</v>
          </cell>
          <cell r="AE9">
            <v>1679.3837132472286</v>
          </cell>
          <cell r="AF9">
            <v>1650.4120306683146</v>
          </cell>
          <cell r="AG9">
            <v>1621.4403480894007</v>
          </cell>
          <cell r="AH9">
            <v>1584.5961970390404</v>
          </cell>
          <cell r="AI9">
            <v>1547.7520459886798</v>
          </cell>
          <cell r="AJ9">
            <v>1510.9078949383195</v>
          </cell>
          <cell r="AK9">
            <v>1474.0637438879589</v>
          </cell>
          <cell r="AL9">
            <v>1437.2195928375986</v>
          </cell>
          <cell r="AM9">
            <v>1398.3027945017254</v>
          </cell>
          <cell r="AN9">
            <v>1359.3859961658522</v>
          </cell>
          <cell r="AO9">
            <v>1320.4691978299793</v>
          </cell>
          <cell r="AP9">
            <v>1281.5523994941061</v>
          </cell>
          <cell r="AQ9">
            <v>1242.6356011582329</v>
          </cell>
        </row>
        <row r="10">
          <cell r="A10">
            <v>8</v>
          </cell>
          <cell r="B10" t="str">
            <v>Other Industry</v>
          </cell>
          <cell r="C10">
            <v>2103.7841930268614</v>
          </cell>
          <cell r="D10">
            <v>2084.4305413154134</v>
          </cell>
          <cell r="E10">
            <v>1932.864508825658</v>
          </cell>
          <cell r="F10">
            <v>2232.4497670955552</v>
          </cell>
          <cell r="G10">
            <v>2216.1619801312718</v>
          </cell>
          <cell r="H10">
            <v>2199.8741931669888</v>
          </cell>
          <cell r="I10">
            <v>2183.5864062027053</v>
          </cell>
          <cell r="J10">
            <v>2167.2986192384219</v>
          </cell>
          <cell r="K10">
            <v>2151.0108322741385</v>
          </cell>
          <cell r="L10">
            <v>2134.7230453098555</v>
          </cell>
          <cell r="M10">
            <v>2118.435258345572</v>
          </cell>
          <cell r="N10">
            <v>2095.4462653099399</v>
          </cell>
          <cell r="O10">
            <v>2072.4572722743083</v>
          </cell>
          <cell r="P10">
            <v>2049.4682792386761</v>
          </cell>
          <cell r="Q10">
            <v>2026.4792862030442</v>
          </cell>
          <cell r="R10">
            <v>2003.4902931674123</v>
          </cell>
          <cell r="S10">
            <v>1974.331381169711</v>
          </cell>
          <cell r="T10">
            <v>1945.1724691720096</v>
          </cell>
          <cell r="U10">
            <v>1916.0135571743081</v>
          </cell>
          <cell r="V10">
            <v>1886.8546451766067</v>
          </cell>
          <cell r="W10">
            <v>1857.6957331789054</v>
          </cell>
          <cell r="X10">
            <v>1839.4163387399183</v>
          </cell>
          <cell r="Y10">
            <v>1821.1369443009312</v>
          </cell>
          <cell r="Z10">
            <v>1802.8575498619443</v>
          </cell>
          <cell r="AA10">
            <v>1784.5781554229573</v>
          </cell>
          <cell r="AB10">
            <v>1766.2987609839702</v>
          </cell>
          <cell r="AC10">
            <v>1737.3270784050562</v>
          </cell>
          <cell r="AD10">
            <v>1708.3553958261423</v>
          </cell>
          <cell r="AE10">
            <v>1679.3837132472286</v>
          </cell>
          <cell r="AF10">
            <v>1650.4120306683146</v>
          </cell>
          <cell r="AG10">
            <v>1621.4403480894007</v>
          </cell>
          <cell r="AH10">
            <v>1584.5961970390404</v>
          </cell>
          <cell r="AI10">
            <v>1547.7520459886798</v>
          </cell>
          <cell r="AJ10">
            <v>1510.9078949383195</v>
          </cell>
          <cell r="AK10">
            <v>1474.0637438879589</v>
          </cell>
          <cell r="AL10">
            <v>1437.2195928375986</v>
          </cell>
          <cell r="AM10">
            <v>1398.3027945017254</v>
          </cell>
          <cell r="AN10">
            <v>1359.3859961658522</v>
          </cell>
          <cell r="AO10">
            <v>1320.4691978299793</v>
          </cell>
          <cell r="AP10">
            <v>1281.5523994941061</v>
          </cell>
          <cell r="AQ10">
            <v>1242.6356011582329</v>
          </cell>
        </row>
        <row r="11">
          <cell r="A11">
            <v>9</v>
          </cell>
          <cell r="B11" t="str">
            <v>Passenger transport - Air</v>
          </cell>
          <cell r="C11">
            <v>885.38884953655895</v>
          </cell>
          <cell r="D11">
            <v>910.45255721715716</v>
          </cell>
          <cell r="E11">
            <v>935.51626489775526</v>
          </cell>
          <cell r="F11">
            <v>960.57997257835348</v>
          </cell>
          <cell r="G11">
            <v>985.64368025895158</v>
          </cell>
          <cell r="H11">
            <v>1010.7073879395498</v>
          </cell>
          <cell r="I11">
            <v>1007.8695750130779</v>
          </cell>
          <cell r="J11">
            <v>1005.031762086606</v>
          </cell>
          <cell r="K11">
            <v>1002.193949160134</v>
          </cell>
          <cell r="L11">
            <v>999.35613623366214</v>
          </cell>
          <cell r="M11">
            <v>996.51832330719026</v>
          </cell>
          <cell r="N11">
            <v>989.1853390303105</v>
          </cell>
          <cell r="O11">
            <v>981.85235475343086</v>
          </cell>
          <cell r="P11">
            <v>974.5193704765511</v>
          </cell>
          <cell r="Q11">
            <v>967.18638619967146</v>
          </cell>
          <cell r="R11">
            <v>959.8534019227917</v>
          </cell>
          <cell r="S11">
            <v>946.48918124721718</v>
          </cell>
          <cell r="T11">
            <v>933.12496057164265</v>
          </cell>
          <cell r="U11">
            <v>919.760739896068</v>
          </cell>
          <cell r="V11">
            <v>906.39651922049347</v>
          </cell>
          <cell r="W11">
            <v>893.03229854491894</v>
          </cell>
          <cell r="X11">
            <v>870.70215858888378</v>
          </cell>
          <cell r="Y11">
            <v>848.37201863284861</v>
          </cell>
          <cell r="Z11">
            <v>826.04187867681344</v>
          </cell>
          <cell r="AA11">
            <v>803.71173872077838</v>
          </cell>
          <cell r="AB11">
            <v>781.38159876474322</v>
          </cell>
          <cell r="AC11">
            <v>759.46357775635602</v>
          </cell>
          <cell r="AD11">
            <v>737.54555674796882</v>
          </cell>
          <cell r="AE11">
            <v>715.62753573958162</v>
          </cell>
          <cell r="AF11">
            <v>693.70951473119442</v>
          </cell>
          <cell r="AG11">
            <v>671.79149372280722</v>
          </cell>
          <cell r="AH11">
            <v>649.09037401574346</v>
          </cell>
          <cell r="AI11">
            <v>626.38925430867982</v>
          </cell>
          <cell r="AJ11">
            <v>603.68813460161607</v>
          </cell>
          <cell r="AK11">
            <v>580.98701489455243</v>
          </cell>
          <cell r="AL11">
            <v>558.28589518748868</v>
          </cell>
          <cell r="AM11">
            <v>533.01434816521703</v>
          </cell>
          <cell r="AN11">
            <v>507.74280114294544</v>
          </cell>
          <cell r="AO11">
            <v>482.47125412067379</v>
          </cell>
          <cell r="AP11">
            <v>457.1997070984022</v>
          </cell>
          <cell r="AQ11">
            <v>431.92816007613055</v>
          </cell>
        </row>
        <row r="12">
          <cell r="A12">
            <v>10</v>
          </cell>
          <cell r="B12" t="str">
            <v>Passenger transport - Light Road</v>
          </cell>
          <cell r="C12">
            <v>3409.3325925804043</v>
          </cell>
          <cell r="D12">
            <v>3469.1204255933508</v>
          </cell>
          <cell r="E12">
            <v>3528.9082586062982</v>
          </cell>
          <cell r="F12">
            <v>3588.6960916192456</v>
          </cell>
          <cell r="G12">
            <v>3648.4839246321926</v>
          </cell>
          <cell r="H12">
            <v>3708.27175764514</v>
          </cell>
          <cell r="I12">
            <v>3708.380631044186</v>
          </cell>
          <cell r="J12">
            <v>3708.4895044432315</v>
          </cell>
          <cell r="K12">
            <v>3708.5983778422774</v>
          </cell>
          <cell r="L12">
            <v>3708.7072512413229</v>
          </cell>
          <cell r="M12">
            <v>3708.8161246403688</v>
          </cell>
          <cell r="N12">
            <v>3694.0916611149664</v>
          </cell>
          <cell r="O12">
            <v>3679.3671975895636</v>
          </cell>
          <cell r="P12">
            <v>3664.6427340641603</v>
          </cell>
          <cell r="Q12">
            <v>3649.9182705387575</v>
          </cell>
          <cell r="R12">
            <v>3635.1938070133547</v>
          </cell>
          <cell r="S12">
            <v>3584.5581238772334</v>
          </cell>
          <cell r="T12">
            <v>3533.922440741112</v>
          </cell>
          <cell r="U12">
            <v>3483.2867576049903</v>
          </cell>
          <cell r="V12">
            <v>3432.6510744688685</v>
          </cell>
          <cell r="W12">
            <v>3382.0153913327472</v>
          </cell>
          <cell r="X12">
            <v>3309.5382448155478</v>
          </cell>
          <cell r="Y12">
            <v>3237.061098298348</v>
          </cell>
          <cell r="Z12">
            <v>3164.5839517811487</v>
          </cell>
          <cell r="AA12">
            <v>3092.1068052639494</v>
          </cell>
          <cell r="AB12">
            <v>3019.62965874675</v>
          </cell>
          <cell r="AC12">
            <v>2934.203720022444</v>
          </cell>
          <cell r="AD12">
            <v>2848.7777812981385</v>
          </cell>
          <cell r="AE12">
            <v>2763.351842573833</v>
          </cell>
          <cell r="AF12">
            <v>2677.925903849527</v>
          </cell>
          <cell r="AG12">
            <v>2592.499965125221</v>
          </cell>
          <cell r="AH12">
            <v>2507.0670383340757</v>
          </cell>
          <cell r="AI12">
            <v>2421.6341115429309</v>
          </cell>
          <cell r="AJ12">
            <v>2336.2011847517861</v>
          </cell>
          <cell r="AK12">
            <v>2250.7682579606408</v>
          </cell>
          <cell r="AL12">
            <v>2165.3353311694959</v>
          </cell>
          <cell r="AM12">
            <v>2093.3338931085227</v>
          </cell>
          <cell r="AN12">
            <v>2021.3324550475497</v>
          </cell>
          <cell r="AO12">
            <v>1949.3310169865767</v>
          </cell>
          <cell r="AP12">
            <v>1877.329578925604</v>
          </cell>
          <cell r="AQ12">
            <v>1805.3281408646308</v>
          </cell>
        </row>
        <row r="13">
          <cell r="A13">
            <v>11</v>
          </cell>
          <cell r="B13" t="str">
            <v>Passenger transport - Heavy Road</v>
          </cell>
          <cell r="C13">
            <v>432.62758213249293</v>
          </cell>
          <cell r="D13">
            <v>429.66605277511684</v>
          </cell>
          <cell r="E13">
            <v>426.7045234177408</v>
          </cell>
          <cell r="F13">
            <v>423.74299406036465</v>
          </cell>
          <cell r="G13">
            <v>420.78146470298861</v>
          </cell>
          <cell r="H13">
            <v>417.81993534561252</v>
          </cell>
          <cell r="I13">
            <v>415.82892233464355</v>
          </cell>
          <cell r="J13">
            <v>413.83790932367458</v>
          </cell>
          <cell r="K13">
            <v>411.84689631270567</v>
          </cell>
          <cell r="L13">
            <v>409.8558833017367</v>
          </cell>
          <cell r="M13">
            <v>407.86487029076773</v>
          </cell>
          <cell r="N13">
            <v>407.78469844029701</v>
          </cell>
          <cell r="O13">
            <v>407.70452658982623</v>
          </cell>
          <cell r="P13">
            <v>407.62435473935545</v>
          </cell>
          <cell r="Q13">
            <v>407.54418288888473</v>
          </cell>
          <cell r="R13">
            <v>407.4640110384139</v>
          </cell>
          <cell r="S13">
            <v>407.03599658876703</v>
          </cell>
          <cell r="T13">
            <v>406.60798213912005</v>
          </cell>
          <cell r="U13">
            <v>406.17996768947319</v>
          </cell>
          <cell r="V13">
            <v>405.75195323982626</v>
          </cell>
          <cell r="W13">
            <v>405.32393879017934</v>
          </cell>
          <cell r="X13">
            <v>403.29251449487299</v>
          </cell>
          <cell r="Y13">
            <v>401.26109019956664</v>
          </cell>
          <cell r="Z13">
            <v>399.22966590426023</v>
          </cell>
          <cell r="AA13">
            <v>397.19824160895388</v>
          </cell>
          <cell r="AB13">
            <v>395.16681731364747</v>
          </cell>
          <cell r="AC13">
            <v>391.44693427486283</v>
          </cell>
          <cell r="AD13">
            <v>387.72705123607818</v>
          </cell>
          <cell r="AE13">
            <v>384.00716819729348</v>
          </cell>
          <cell r="AF13">
            <v>380.28728515850878</v>
          </cell>
          <cell r="AG13">
            <v>376.56740211972414</v>
          </cell>
          <cell r="AH13">
            <v>372.49515719759984</v>
          </cell>
          <cell r="AI13">
            <v>368.4229122754756</v>
          </cell>
          <cell r="AJ13">
            <v>364.3506673533513</v>
          </cell>
          <cell r="AK13">
            <v>360.278422431227</v>
          </cell>
          <cell r="AL13">
            <v>356.20617750910276</v>
          </cell>
          <cell r="AM13">
            <v>351.86407820675072</v>
          </cell>
          <cell r="AN13">
            <v>347.52197890439874</v>
          </cell>
          <cell r="AO13">
            <v>343.17987960204675</v>
          </cell>
          <cell r="AP13">
            <v>338.83778029969471</v>
          </cell>
          <cell r="AQ13">
            <v>334.49568099734273</v>
          </cell>
        </row>
        <row r="14">
          <cell r="A14">
            <v>12</v>
          </cell>
          <cell r="B14" t="str">
            <v>Passenger transport - Rail</v>
          </cell>
          <cell r="C14">
            <v>73.951330818737901</v>
          </cell>
          <cell r="D14">
            <v>74.02679063893531</v>
          </cell>
          <cell r="E14">
            <v>74.102250459132705</v>
          </cell>
          <cell r="F14">
            <v>74.177710279330114</v>
          </cell>
          <cell r="G14">
            <v>74.253170099527509</v>
          </cell>
          <cell r="H14">
            <v>74.328629919724918</v>
          </cell>
          <cell r="I14">
            <v>73.28716386868166</v>
          </cell>
          <cell r="J14">
            <v>72.245697817638401</v>
          </cell>
          <cell r="K14">
            <v>71.204231766595157</v>
          </cell>
          <cell r="L14">
            <v>70.162765715551899</v>
          </cell>
          <cell r="M14">
            <v>69.121299664508641</v>
          </cell>
          <cell r="N14">
            <v>67.049047004269326</v>
          </cell>
          <cell r="O14">
            <v>64.976794344030012</v>
          </cell>
          <cell r="P14">
            <v>62.90454168379069</v>
          </cell>
          <cell r="Q14">
            <v>60.832289023551368</v>
          </cell>
          <cell r="R14">
            <v>58.760036363312054</v>
          </cell>
          <cell r="S14">
            <v>56.606362817391151</v>
          </cell>
          <cell r="T14">
            <v>54.452689271470256</v>
          </cell>
          <cell r="U14">
            <v>52.299015725549353</v>
          </cell>
          <cell r="V14">
            <v>50.145342179628457</v>
          </cell>
          <cell r="W14">
            <v>47.991668633707555</v>
          </cell>
          <cell r="X14">
            <v>45.316584236786198</v>
          </cell>
          <cell r="Y14">
            <v>42.641499839864842</v>
          </cell>
          <cell r="Z14">
            <v>39.966415442943486</v>
          </cell>
          <cell r="AA14">
            <v>37.291331046022137</v>
          </cell>
          <cell r="AB14">
            <v>34.616246649100781</v>
          </cell>
          <cell r="AC14">
            <v>32.11556058222515</v>
          </cell>
          <cell r="AD14">
            <v>29.614874515349523</v>
          </cell>
          <cell r="AE14">
            <v>27.114188448473893</v>
          </cell>
          <cell r="AF14">
            <v>24.613502381598266</v>
          </cell>
          <cell r="AG14">
            <v>22.112816314722636</v>
          </cell>
          <cell r="AH14">
            <v>20.73673064877331</v>
          </cell>
          <cell r="AI14">
            <v>19.360644982823988</v>
          </cell>
          <cell r="AJ14">
            <v>17.984559316874662</v>
          </cell>
          <cell r="AK14">
            <v>16.60847365092534</v>
          </cell>
          <cell r="AL14">
            <v>15.232387984976015</v>
          </cell>
          <cell r="AM14">
            <v>14.455850863442704</v>
          </cell>
          <cell r="AN14">
            <v>13.679313741909393</v>
          </cell>
          <cell r="AO14">
            <v>12.902776620376082</v>
          </cell>
          <cell r="AP14">
            <v>12.126239498842772</v>
          </cell>
          <cell r="AQ14">
            <v>11.349702377309461</v>
          </cell>
        </row>
        <row r="15">
          <cell r="A15">
            <v>13</v>
          </cell>
          <cell r="B15" t="str">
            <v>Other transport</v>
          </cell>
          <cell r="C15">
            <v>2901.5790064649864</v>
          </cell>
          <cell r="D15">
            <v>3191.4821097861814</v>
          </cell>
          <cell r="E15">
            <v>3380.5470507340324</v>
          </cell>
          <cell r="F15">
            <v>3720.8692352418975</v>
          </cell>
          <cell r="G15">
            <v>3665.1231894484099</v>
          </cell>
          <cell r="H15">
            <v>3609.3771436549205</v>
          </cell>
          <cell r="I15">
            <v>3641.3579876072372</v>
          </cell>
          <cell r="J15">
            <v>3673.338831559553</v>
          </cell>
          <cell r="K15">
            <v>3705.3196755118706</v>
          </cell>
          <cell r="L15">
            <v>3737.3005194641873</v>
          </cell>
          <cell r="M15">
            <v>3769.2813634165041</v>
          </cell>
          <cell r="N15">
            <v>3777.4782877031412</v>
          </cell>
          <cell r="O15">
            <v>3785.6752119897792</v>
          </cell>
          <cell r="P15">
            <v>3793.8721362764172</v>
          </cell>
          <cell r="Q15">
            <v>3802.0690605630543</v>
          </cell>
          <cell r="R15">
            <v>3810.2659848496933</v>
          </cell>
          <cell r="S15">
            <v>3820.8297916132797</v>
          </cell>
          <cell r="T15">
            <v>3831.3935983768679</v>
          </cell>
          <cell r="U15">
            <v>3841.957405140457</v>
          </cell>
          <cell r="V15">
            <v>3852.5212119040452</v>
          </cell>
          <cell r="W15">
            <v>3863.0850186676334</v>
          </cell>
          <cell r="X15">
            <v>3870.3406451035307</v>
          </cell>
          <cell r="Y15">
            <v>3877.5962715394298</v>
          </cell>
          <cell r="Z15">
            <v>3884.8518979753253</v>
          </cell>
          <cell r="AA15">
            <v>3892.1075244112244</v>
          </cell>
          <cell r="AB15">
            <v>3899.3631508471226</v>
          </cell>
          <cell r="AC15">
            <v>3882.2633787828063</v>
          </cell>
          <cell r="AD15">
            <v>3865.1636067184913</v>
          </cell>
          <cell r="AE15">
            <v>3848.0638346541764</v>
          </cell>
          <cell r="AF15">
            <v>3830.9640625898614</v>
          </cell>
          <cell r="AG15">
            <v>3813.8642905255465</v>
          </cell>
          <cell r="AH15">
            <v>3785.3919111849518</v>
          </cell>
          <cell r="AI15">
            <v>3756.9195318443567</v>
          </cell>
          <cell r="AJ15">
            <v>3728.4471525037625</v>
          </cell>
          <cell r="AK15">
            <v>3699.9747731631683</v>
          </cell>
          <cell r="AL15">
            <v>3671.5023938225727</v>
          </cell>
          <cell r="AM15">
            <v>3636.9254342465438</v>
          </cell>
          <cell r="AN15">
            <v>3602.3484746705162</v>
          </cell>
          <cell r="AO15">
            <v>3567.7715150944873</v>
          </cell>
          <cell r="AP15">
            <v>3533.1945555184593</v>
          </cell>
          <cell r="AQ15">
            <v>3498.6175959424304</v>
          </cell>
        </row>
        <row r="16">
          <cell r="A16">
            <v>14</v>
          </cell>
          <cell r="B16" t="str">
            <v>Services / Commercial Buildings</v>
          </cell>
          <cell r="C16">
            <v>901.8000807862071</v>
          </cell>
          <cell r="D16">
            <v>876.40176065756123</v>
          </cell>
          <cell r="E16">
            <v>837.1377493596998</v>
          </cell>
          <cell r="F16">
            <v>948.28282419375432</v>
          </cell>
          <cell r="G16">
            <v>937.93387404110354</v>
          </cell>
          <cell r="H16">
            <v>927.58492388845275</v>
          </cell>
          <cell r="I16">
            <v>917.23597373580196</v>
          </cell>
          <cell r="J16">
            <v>906.88702358315129</v>
          </cell>
          <cell r="K16">
            <v>896.5380734305005</v>
          </cell>
          <cell r="L16">
            <v>886.18912327784972</v>
          </cell>
          <cell r="M16">
            <v>875.84017312519893</v>
          </cell>
          <cell r="N16">
            <v>859.36305728131993</v>
          </cell>
          <cell r="O16">
            <v>842.88594143744092</v>
          </cell>
          <cell r="P16">
            <v>826.40882559356191</v>
          </cell>
          <cell r="Q16">
            <v>809.93170974968291</v>
          </cell>
          <cell r="R16">
            <v>793.4545939058039</v>
          </cell>
          <cell r="S16">
            <v>774.91558468191511</v>
          </cell>
          <cell r="T16">
            <v>756.3765754580262</v>
          </cell>
          <cell r="U16">
            <v>737.8375662341374</v>
          </cell>
          <cell r="V16">
            <v>719.29855701024849</v>
          </cell>
          <cell r="W16">
            <v>700.75954778635969</v>
          </cell>
          <cell r="X16">
            <v>690.25108044155024</v>
          </cell>
          <cell r="Y16">
            <v>679.7426130967408</v>
          </cell>
          <cell r="Z16">
            <v>669.23414575193135</v>
          </cell>
          <cell r="AA16">
            <v>658.7256784071219</v>
          </cell>
          <cell r="AB16">
            <v>648.21721106231246</v>
          </cell>
          <cell r="AC16">
            <v>636.42313483520104</v>
          </cell>
          <cell r="AD16">
            <v>624.62905860808951</v>
          </cell>
          <cell r="AE16">
            <v>612.83498238097809</v>
          </cell>
          <cell r="AF16">
            <v>601.04090615386656</v>
          </cell>
          <cell r="AG16">
            <v>589.24682992675514</v>
          </cell>
          <cell r="AH16">
            <v>576.00455662687295</v>
          </cell>
          <cell r="AI16">
            <v>562.76228332699066</v>
          </cell>
          <cell r="AJ16">
            <v>549.52001002710847</v>
          </cell>
          <cell r="AK16">
            <v>536.27773672722617</v>
          </cell>
          <cell r="AL16">
            <v>523.03546342734398</v>
          </cell>
          <cell r="AM16">
            <v>508.6607468120431</v>
          </cell>
          <cell r="AN16">
            <v>494.28603019674222</v>
          </cell>
          <cell r="AO16">
            <v>479.91131358144128</v>
          </cell>
          <cell r="AP16">
            <v>465.53659696614039</v>
          </cell>
          <cell r="AQ16">
            <v>451.16188035083951</v>
          </cell>
        </row>
        <row r="19">
          <cell r="A19" t="str">
            <v>Code</v>
          </cell>
          <cell r="B19" t="str">
            <v>Sector</v>
          </cell>
          <cell r="C19">
            <v>2010</v>
          </cell>
          <cell r="D19">
            <v>2011</v>
          </cell>
          <cell r="E19">
            <v>2012</v>
          </cell>
          <cell r="F19">
            <v>2013</v>
          </cell>
          <cell r="G19">
            <v>2014</v>
          </cell>
          <cell r="H19">
            <v>2015</v>
          </cell>
          <cell r="I19">
            <v>2016</v>
          </cell>
          <cell r="J19">
            <v>2017</v>
          </cell>
          <cell r="K19">
            <v>2018</v>
          </cell>
          <cell r="L19">
            <v>2019</v>
          </cell>
          <cell r="M19">
            <v>2020</v>
          </cell>
          <cell r="N19">
            <v>2021</v>
          </cell>
          <cell r="O19">
            <v>2022</v>
          </cell>
          <cell r="P19">
            <v>2023</v>
          </cell>
          <cell r="Q19">
            <v>2024</v>
          </cell>
          <cell r="R19">
            <v>2025</v>
          </cell>
          <cell r="S19">
            <v>2026</v>
          </cell>
          <cell r="T19">
            <v>2027</v>
          </cell>
          <cell r="U19">
            <v>2028</v>
          </cell>
          <cell r="V19">
            <v>2029</v>
          </cell>
          <cell r="W19">
            <v>2030</v>
          </cell>
          <cell r="X19">
            <v>2031</v>
          </cell>
          <cell r="Y19">
            <v>2032</v>
          </cell>
          <cell r="Z19">
            <v>2033</v>
          </cell>
          <cell r="AA19">
            <v>2034</v>
          </cell>
          <cell r="AB19">
            <v>2035</v>
          </cell>
          <cell r="AC19">
            <v>2036</v>
          </cell>
          <cell r="AD19">
            <v>2037</v>
          </cell>
          <cell r="AE19">
            <v>2038</v>
          </cell>
          <cell r="AF19">
            <v>2039</v>
          </cell>
          <cell r="AG19">
            <v>2040</v>
          </cell>
          <cell r="AH19">
            <v>2041</v>
          </cell>
          <cell r="AI19">
            <v>2042</v>
          </cell>
          <cell r="AJ19">
            <v>2043</v>
          </cell>
          <cell r="AK19">
            <v>2044</v>
          </cell>
          <cell r="AL19">
            <v>2045</v>
          </cell>
          <cell r="AM19">
            <v>2046</v>
          </cell>
          <cell r="AN19">
            <v>2047</v>
          </cell>
          <cell r="AO19">
            <v>2048</v>
          </cell>
          <cell r="AP19">
            <v>2049</v>
          </cell>
          <cell r="AQ19">
            <v>2050</v>
          </cell>
        </row>
        <row r="20">
          <cell r="A20">
            <v>1</v>
          </cell>
          <cell r="B20" t="str">
            <v>Power Generation</v>
          </cell>
          <cell r="C20">
            <v>21535927173.396137</v>
          </cell>
          <cell r="D20">
            <v>22129974663.559998</v>
          </cell>
          <cell r="E20">
            <v>22668078072.998005</v>
          </cell>
          <cell r="F20">
            <v>23290097603.524799</v>
          </cell>
          <cell r="G20">
            <v>23801687953.542744</v>
          </cell>
          <cell r="H20">
            <v>24313278303.560692</v>
          </cell>
          <cell r="I20">
            <v>24824868653.578636</v>
          </cell>
          <cell r="J20">
            <v>25336459003.596584</v>
          </cell>
          <cell r="K20">
            <v>25848049353.614529</v>
          </cell>
          <cell r="L20">
            <v>26359639703.632477</v>
          </cell>
          <cell r="M20">
            <v>26871230053.650421</v>
          </cell>
          <cell r="N20">
            <v>27338587612.754372</v>
          </cell>
          <cell r="O20">
            <v>27805945171.858318</v>
          </cell>
          <cell r="P20">
            <v>28273302730.962261</v>
          </cell>
          <cell r="Q20">
            <v>28740660290.066212</v>
          </cell>
          <cell r="R20">
            <v>29208017849.170158</v>
          </cell>
          <cell r="S20">
            <v>29703033113.97768</v>
          </cell>
          <cell r="T20">
            <v>30198048378.785202</v>
          </cell>
          <cell r="U20">
            <v>30693063643.592724</v>
          </cell>
          <cell r="V20">
            <v>31188078908.400246</v>
          </cell>
          <cell r="W20">
            <v>31683094173.207767</v>
          </cell>
          <cell r="X20">
            <v>32165597241.802773</v>
          </cell>
          <cell r="Y20">
            <v>32648100310.397778</v>
          </cell>
          <cell r="Z20">
            <v>33130603378.992783</v>
          </cell>
          <cell r="AA20">
            <v>33613106447.587795</v>
          </cell>
          <cell r="AB20">
            <v>34095609516.182796</v>
          </cell>
          <cell r="AC20">
            <v>34559467592.482231</v>
          </cell>
          <cell r="AD20">
            <v>35023325668.781662</v>
          </cell>
          <cell r="AE20">
            <v>35487183745.081093</v>
          </cell>
          <cell r="AF20">
            <v>35951041821.380524</v>
          </cell>
          <cell r="AG20">
            <v>36414899897.679955</v>
          </cell>
          <cell r="AH20">
            <v>36929346346.708145</v>
          </cell>
          <cell r="AI20">
            <v>37443792795.736336</v>
          </cell>
          <cell r="AJ20">
            <v>37958239244.764526</v>
          </cell>
          <cell r="AK20">
            <v>38472685693.792717</v>
          </cell>
          <cell r="AL20">
            <v>38987132142.820908</v>
          </cell>
          <cell r="AM20">
            <v>39501331537.192047</v>
          </cell>
          <cell r="AN20">
            <v>40015530931.563187</v>
          </cell>
          <cell r="AO20">
            <v>40529730325.934334</v>
          </cell>
          <cell r="AP20">
            <v>41043929720.305473</v>
          </cell>
          <cell r="AQ20">
            <v>41558129114.676613</v>
          </cell>
        </row>
        <row r="21">
          <cell r="A21">
            <v>2</v>
          </cell>
          <cell r="B21" t="str">
            <v>Iron &amp; Steel Industry</v>
          </cell>
          <cell r="C21">
            <v>1440.1995671230011</v>
          </cell>
          <cell r="D21">
            <v>1518.3000000000009</v>
          </cell>
          <cell r="E21">
            <v>1546.0067013689998</v>
          </cell>
          <cell r="F21">
            <v>1649.3039999999996</v>
          </cell>
          <cell r="G21">
            <v>1663.7068393530662</v>
          </cell>
          <cell r="H21">
            <v>1678.1096787061326</v>
          </cell>
          <cell r="I21">
            <v>1692.5125180591992</v>
          </cell>
          <cell r="J21">
            <v>1706.9153574122656</v>
          </cell>
          <cell r="K21">
            <v>1721.3181967653322</v>
          </cell>
          <cell r="L21">
            <v>1735.7210361183986</v>
          </cell>
          <cell r="M21">
            <v>1750.1238754714652</v>
          </cell>
          <cell r="N21">
            <v>1774.2816022265001</v>
          </cell>
          <cell r="O21">
            <v>1798.4393289815348</v>
          </cell>
          <cell r="P21">
            <v>1822.5970557365697</v>
          </cell>
          <cell r="Q21">
            <v>1846.7547824916044</v>
          </cell>
          <cell r="R21">
            <v>1870.9125092466393</v>
          </cell>
          <cell r="S21">
            <v>1894.5760011754717</v>
          </cell>
          <cell r="T21">
            <v>1918.2394931043041</v>
          </cell>
          <cell r="U21">
            <v>1941.9029850331367</v>
          </cell>
          <cell r="V21">
            <v>1965.5664769619691</v>
          </cell>
          <cell r="W21">
            <v>1989.2299688908015</v>
          </cell>
          <cell r="X21">
            <v>2009.8908108404471</v>
          </cell>
          <cell r="Y21">
            <v>2030.5516527900925</v>
          </cell>
          <cell r="Z21">
            <v>2051.2124947397378</v>
          </cell>
          <cell r="AA21">
            <v>2071.8733366893834</v>
          </cell>
          <cell r="AB21">
            <v>2092.5341786390291</v>
          </cell>
          <cell r="AC21">
            <v>2108.8392030883037</v>
          </cell>
          <cell r="AD21">
            <v>2125.1442275375789</v>
          </cell>
          <cell r="AE21">
            <v>2141.4492519868536</v>
          </cell>
          <cell r="AF21">
            <v>2157.7542764361287</v>
          </cell>
          <cell r="AG21">
            <v>2174.0593008854034</v>
          </cell>
          <cell r="AH21">
            <v>2183.0871940168599</v>
          </cell>
          <cell r="AI21">
            <v>2192.1150871483169</v>
          </cell>
          <cell r="AJ21">
            <v>2201.1429802797734</v>
          </cell>
          <cell r="AK21">
            <v>2210.1708734112303</v>
          </cell>
          <cell r="AL21">
            <v>2219.1987665426868</v>
          </cell>
          <cell r="AM21">
            <v>2222.2567460175624</v>
          </cell>
          <cell r="AN21">
            <v>2225.3147254924379</v>
          </cell>
          <cell r="AO21">
            <v>2228.3727049673134</v>
          </cell>
          <cell r="AP21">
            <v>2231.430684442189</v>
          </cell>
          <cell r="AQ21">
            <v>2234.4886639170645</v>
          </cell>
        </row>
        <row r="22">
          <cell r="A22">
            <v>3</v>
          </cell>
          <cell r="B22" t="str">
            <v>Cement</v>
          </cell>
          <cell r="C22">
            <v>3409.1997904373338</v>
          </cell>
          <cell r="D22">
            <v>3635.1730407050004</v>
          </cell>
          <cell r="E22">
            <v>3835.5792084920004</v>
          </cell>
          <cell r="F22">
            <v>4074.3360000000011</v>
          </cell>
          <cell r="G22">
            <v>4109.163733296431</v>
          </cell>
          <cell r="H22">
            <v>4143.9914665928618</v>
          </cell>
          <cell r="I22">
            <v>4178.8191998892917</v>
          </cell>
          <cell r="J22">
            <v>4213.6469331857224</v>
          </cell>
          <cell r="K22">
            <v>4248.4746664821523</v>
          </cell>
          <cell r="L22">
            <v>4283.3023997785831</v>
          </cell>
          <cell r="M22">
            <v>4318.130133075013</v>
          </cell>
          <cell r="N22">
            <v>4325.9947150878461</v>
          </cell>
          <cell r="O22">
            <v>4333.8592971006801</v>
          </cell>
          <cell r="P22">
            <v>4341.7238791135132</v>
          </cell>
          <cell r="Q22">
            <v>4349.5884611263473</v>
          </cell>
          <cell r="R22">
            <v>4357.4530431391804</v>
          </cell>
          <cell r="S22">
            <v>4363.3532511256708</v>
          </cell>
          <cell r="T22">
            <v>4369.2534591121603</v>
          </cell>
          <cell r="U22">
            <v>4375.1536670986507</v>
          </cell>
          <cell r="V22">
            <v>4381.0538750851401</v>
          </cell>
          <cell r="W22">
            <v>4386.9540830716305</v>
          </cell>
          <cell r="X22">
            <v>4388.4018877857552</v>
          </cell>
          <cell r="Y22">
            <v>4389.849692499879</v>
          </cell>
          <cell r="Z22">
            <v>4391.2974972140037</v>
          </cell>
          <cell r="AA22">
            <v>4392.7453019281274</v>
          </cell>
          <cell r="AB22">
            <v>4394.1931066422521</v>
          </cell>
          <cell r="AC22">
            <v>4419.4336564216092</v>
          </cell>
          <cell r="AD22">
            <v>4444.6742062009662</v>
          </cell>
          <cell r="AE22">
            <v>4469.9147559803232</v>
          </cell>
          <cell r="AF22">
            <v>4495.1553057596802</v>
          </cell>
          <cell r="AG22">
            <v>4520.3958555390373</v>
          </cell>
          <cell r="AH22">
            <v>4530.9504961162847</v>
          </cell>
          <cell r="AI22">
            <v>4541.5051366935322</v>
          </cell>
          <cell r="AJ22">
            <v>4552.0597772707806</v>
          </cell>
          <cell r="AK22">
            <v>4562.6144178480281</v>
          </cell>
          <cell r="AL22">
            <v>4573.1690584252756</v>
          </cell>
          <cell r="AM22">
            <v>4571.6664504278833</v>
          </cell>
          <cell r="AN22">
            <v>4570.163842430492</v>
          </cell>
          <cell r="AO22">
            <v>4568.6612344330997</v>
          </cell>
          <cell r="AP22">
            <v>4567.1586264357084</v>
          </cell>
          <cell r="AQ22">
            <v>4565.6560184383161</v>
          </cell>
        </row>
        <row r="23">
          <cell r="A23">
            <v>4</v>
          </cell>
          <cell r="B23" t="str">
            <v>Chemical and Petrochemical Industry</v>
          </cell>
          <cell r="C23">
            <v>1.0501639926970656</v>
          </cell>
          <cell r="D23">
            <v>1.0717952822356573</v>
          </cell>
          <cell r="E23">
            <v>1.1202745514263825</v>
          </cell>
          <cell r="F23">
            <v>1.1284818511389074</v>
          </cell>
          <cell r="G23">
            <v>1.1815043044708946</v>
          </cell>
          <cell r="H23">
            <v>1.2345267578028818</v>
          </cell>
          <cell r="I23">
            <v>1.287549211134869</v>
          </cell>
          <cell r="J23">
            <v>1.3405716644668564</v>
          </cell>
          <cell r="K23">
            <v>1.3935941177988436</v>
          </cell>
          <cell r="L23">
            <v>1.4466165711308308</v>
          </cell>
          <cell r="M23">
            <v>1.4996390244628179</v>
          </cell>
          <cell r="N23">
            <v>1.5467334492038975</v>
          </cell>
          <cell r="O23">
            <v>1.5938278739449774</v>
          </cell>
          <cell r="P23">
            <v>1.6409222986860565</v>
          </cell>
          <cell r="Q23">
            <v>1.6880167234271364</v>
          </cell>
          <cell r="R23">
            <v>1.735111148168216</v>
          </cell>
          <cell r="S23">
            <v>1.7652282338383598</v>
          </cell>
          <cell r="T23">
            <v>1.7953453195085036</v>
          </cell>
          <cell r="U23">
            <v>1.8254624051786472</v>
          </cell>
          <cell r="V23">
            <v>1.855579490848791</v>
          </cell>
          <cell r="W23">
            <v>1.8856965765189349</v>
          </cell>
          <cell r="X23">
            <v>1.9085549054991024</v>
          </cell>
          <cell r="Y23">
            <v>1.93141323447927</v>
          </cell>
          <cell r="Z23">
            <v>1.9542715634594376</v>
          </cell>
          <cell r="AA23">
            <v>1.9771298924396052</v>
          </cell>
          <cell r="AB23">
            <v>1.9999882214197728</v>
          </cell>
          <cell r="AC23">
            <v>2.0212138481606936</v>
          </cell>
          <cell r="AD23">
            <v>2.0424394749016139</v>
          </cell>
          <cell r="AE23">
            <v>2.0636651016425347</v>
          </cell>
          <cell r="AF23">
            <v>2.084890728383455</v>
          </cell>
          <cell r="AG23">
            <v>2.1061163551243758</v>
          </cell>
          <cell r="AH23">
            <v>2.1251289542806129</v>
          </cell>
          <cell r="AI23">
            <v>2.14414155343685</v>
          </cell>
          <cell r="AJ23">
            <v>2.1631541525930871</v>
          </cell>
          <cell r="AK23">
            <v>2.1821667517493242</v>
          </cell>
          <cell r="AL23">
            <v>2.2011793509055613</v>
          </cell>
          <cell r="AM23">
            <v>2.2172277230144002</v>
          </cell>
          <cell r="AN23">
            <v>2.2332760951232391</v>
          </cell>
          <cell r="AO23">
            <v>2.249324467232078</v>
          </cell>
          <cell r="AP23">
            <v>2.2653728393409169</v>
          </cell>
          <cell r="AQ23">
            <v>2.2814212114497558</v>
          </cell>
        </row>
        <row r="24">
          <cell r="A24">
            <v>5</v>
          </cell>
          <cell r="B24" t="str">
            <v>Aluminium</v>
          </cell>
          <cell r="C24">
            <v>77.721038457266943</v>
          </cell>
          <cell r="D24">
            <v>92.661824812873292</v>
          </cell>
          <cell r="E24">
            <v>98.183826181181473</v>
          </cell>
          <cell r="F24">
            <v>117.83400503043691</v>
          </cell>
          <cell r="G24">
            <v>122.65274657892387</v>
          </cell>
          <cell r="H24">
            <v>127.47148812741081</v>
          </cell>
          <cell r="I24">
            <v>132.29022967589776</v>
          </cell>
          <cell r="J24">
            <v>137.1089712243847</v>
          </cell>
          <cell r="K24">
            <v>141.92771277287164</v>
          </cell>
          <cell r="L24">
            <v>146.74645432135861</v>
          </cell>
          <cell r="M24">
            <v>151.56519586984555</v>
          </cell>
          <cell r="N24">
            <v>155.75503923182939</v>
          </cell>
          <cell r="O24">
            <v>159.94488259381319</v>
          </cell>
          <cell r="P24">
            <v>164.13472595579702</v>
          </cell>
          <cell r="Q24">
            <v>168.32456931778083</v>
          </cell>
          <cell r="R24">
            <v>172.51441267976466</v>
          </cell>
          <cell r="S24">
            <v>177.09880595004472</v>
          </cell>
          <cell r="T24">
            <v>181.68319922032478</v>
          </cell>
          <cell r="U24">
            <v>186.26759249060481</v>
          </cell>
          <cell r="V24">
            <v>190.85198576088487</v>
          </cell>
          <cell r="W24">
            <v>195.43637903116493</v>
          </cell>
          <cell r="X24">
            <v>199.45686281161531</v>
          </cell>
          <cell r="Y24">
            <v>203.47734659206571</v>
          </cell>
          <cell r="Z24">
            <v>207.49783037251609</v>
          </cell>
          <cell r="AA24">
            <v>211.5183141529665</v>
          </cell>
          <cell r="AB24">
            <v>215.53879793341687</v>
          </cell>
          <cell r="AC24">
            <v>218.00168503544876</v>
          </cell>
          <cell r="AD24">
            <v>220.46457213748064</v>
          </cell>
          <cell r="AE24">
            <v>222.92745923951253</v>
          </cell>
          <cell r="AF24">
            <v>225.39034634154442</v>
          </cell>
          <cell r="AG24">
            <v>227.8532334435763</v>
          </cell>
          <cell r="AH24">
            <v>229.44561610148247</v>
          </cell>
          <cell r="AI24">
            <v>231.03799875938864</v>
          </cell>
          <cell r="AJ24">
            <v>232.63038141729481</v>
          </cell>
          <cell r="AK24">
            <v>234.22276407520098</v>
          </cell>
          <cell r="AL24">
            <v>235.81514673310716</v>
          </cell>
          <cell r="AM24">
            <v>236.80798630666567</v>
          </cell>
          <cell r="AN24">
            <v>237.80082588022418</v>
          </cell>
          <cell r="AO24">
            <v>238.79366545378272</v>
          </cell>
          <cell r="AP24">
            <v>239.78650502734124</v>
          </cell>
          <cell r="AQ24">
            <v>240.77934460089975</v>
          </cell>
        </row>
        <row r="25">
          <cell r="A25">
            <v>6</v>
          </cell>
          <cell r="B25" t="str">
            <v>Pulp &amp; Paper</v>
          </cell>
          <cell r="C25">
            <v>407.77952433333337</v>
          </cell>
          <cell r="D25">
            <v>403.10187100000002</v>
          </cell>
          <cell r="E25">
            <v>403.10187100000002</v>
          </cell>
          <cell r="F25">
            <v>396.08539099999996</v>
          </cell>
          <cell r="G25">
            <v>402.78090145841622</v>
          </cell>
          <cell r="H25">
            <v>409.47641191683243</v>
          </cell>
          <cell r="I25">
            <v>416.1719223752487</v>
          </cell>
          <cell r="J25">
            <v>422.86743283366496</v>
          </cell>
          <cell r="K25">
            <v>429.56294329208123</v>
          </cell>
          <cell r="L25">
            <v>436.25845375049744</v>
          </cell>
          <cell r="M25">
            <v>442.9539642089137</v>
          </cell>
          <cell r="N25">
            <v>449.24009987848586</v>
          </cell>
          <cell r="O25">
            <v>455.52623554805797</v>
          </cell>
          <cell r="P25">
            <v>461.81237121763013</v>
          </cell>
          <cell r="Q25">
            <v>468.09850688720223</v>
          </cell>
          <cell r="R25">
            <v>474.38464255677439</v>
          </cell>
          <cell r="S25">
            <v>480.69087753861555</v>
          </cell>
          <cell r="T25">
            <v>486.99711252045665</v>
          </cell>
          <cell r="U25">
            <v>493.30334750229781</v>
          </cell>
          <cell r="V25">
            <v>499.60958248413891</v>
          </cell>
          <cell r="W25">
            <v>505.91581746598007</v>
          </cell>
          <cell r="X25">
            <v>512.19076508306409</v>
          </cell>
          <cell r="Y25">
            <v>518.46571270014817</v>
          </cell>
          <cell r="Z25">
            <v>524.74066031723225</v>
          </cell>
          <cell r="AA25">
            <v>531.01560793431622</v>
          </cell>
          <cell r="AB25">
            <v>537.2905555514003</v>
          </cell>
          <cell r="AC25">
            <v>543.11156978324595</v>
          </cell>
          <cell r="AD25">
            <v>548.93258401509161</v>
          </cell>
          <cell r="AE25">
            <v>554.75359824693737</v>
          </cell>
          <cell r="AF25">
            <v>560.57461247878302</v>
          </cell>
          <cell r="AG25">
            <v>566.39562671062868</v>
          </cell>
          <cell r="AH25">
            <v>575.33620328928282</v>
          </cell>
          <cell r="AI25">
            <v>584.27677986793685</v>
          </cell>
          <cell r="AJ25">
            <v>593.217356446591</v>
          </cell>
          <cell r="AK25">
            <v>602.15793302524503</v>
          </cell>
          <cell r="AL25">
            <v>611.09850960389917</v>
          </cell>
          <cell r="AM25">
            <v>611.09850960389917</v>
          </cell>
          <cell r="AN25">
            <v>611.09850960389917</v>
          </cell>
          <cell r="AO25">
            <v>611.09850960389917</v>
          </cell>
          <cell r="AP25">
            <v>611.09850960389917</v>
          </cell>
          <cell r="AQ25">
            <v>611.09850960389917</v>
          </cell>
        </row>
        <row r="26">
          <cell r="A26">
            <v>7</v>
          </cell>
          <cell r="B26" t="str">
            <v>Manufacture of light-road automotor vehicles</v>
          </cell>
          <cell r="C26">
            <v>0.8041322160624701</v>
          </cell>
          <cell r="D26">
            <v>0.8338851080567814</v>
          </cell>
          <cell r="E26">
            <v>0.86473885705488218</v>
          </cell>
          <cell r="F26">
            <v>0.89673419476591287</v>
          </cell>
          <cell r="G26">
            <v>0.92991335997225155</v>
          </cell>
          <cell r="H26">
            <v>0.96432015429122475</v>
          </cell>
          <cell r="I26">
            <v>1</v>
          </cell>
          <cell r="J26">
            <v>1.0369999999999999</v>
          </cell>
          <cell r="K26">
            <v>1.0753689999999998</v>
          </cell>
          <cell r="L26">
            <v>1.1151576529999998</v>
          </cell>
          <cell r="M26">
            <v>1.1564184861609996</v>
          </cell>
          <cell r="N26">
            <v>1.2003623886351176</v>
          </cell>
          <cell r="O26">
            <v>1.2459761594032521</v>
          </cell>
          <cell r="P26">
            <v>1.2933232534605759</v>
          </cell>
          <cell r="Q26">
            <v>1.3424695370920776</v>
          </cell>
          <cell r="R26">
            <v>1.3934833795015766</v>
          </cell>
          <cell r="S26">
            <v>1.4464357479226368</v>
          </cell>
          <cell r="T26">
            <v>1.5014003063436969</v>
          </cell>
          <cell r="U26">
            <v>1.5584535179847576</v>
          </cell>
          <cell r="V26">
            <v>1.6176747516681784</v>
          </cell>
          <cell r="W26">
            <v>1.6791463922315695</v>
          </cell>
          <cell r="X26">
            <v>1.7261624912140534</v>
          </cell>
          <cell r="Y26">
            <v>1.7744950409680469</v>
          </cell>
          <cell r="Z26">
            <v>1.824180902115152</v>
          </cell>
          <cell r="AA26">
            <v>1.8752579673743763</v>
          </cell>
          <cell r="AB26">
            <v>1.9277651904608588</v>
          </cell>
          <cell r="AC26">
            <v>1.9817426157937628</v>
          </cell>
          <cell r="AD26">
            <v>2.0372314090359884</v>
          </cell>
          <cell r="AE26">
            <v>2.0942738884889964</v>
          </cell>
          <cell r="AF26">
            <v>2.1529135573666882</v>
          </cell>
          <cell r="AG26">
            <v>2.2131951369729554</v>
          </cell>
          <cell r="AH26">
            <v>2.2751646008081985</v>
          </cell>
          <cell r="AI26">
            <v>2.3388692096308281</v>
          </cell>
          <cell r="AJ26">
            <v>2.4043575475004917</v>
          </cell>
          <cell r="AK26">
            <v>2.4716795588305054</v>
          </cell>
          <cell r="AL26">
            <v>2.5408865864777592</v>
          </cell>
          <cell r="AM26">
            <v>2.6120314108991365</v>
          </cell>
          <cell r="AN26">
            <v>2.6851682904043126</v>
          </cell>
          <cell r="AO26">
            <v>2.7603530025356333</v>
          </cell>
          <cell r="AP26">
            <v>2.8376428866066314</v>
          </cell>
          <cell r="AQ26">
            <v>2.9170968874316174</v>
          </cell>
        </row>
        <row r="27">
          <cell r="A27">
            <v>8</v>
          </cell>
          <cell r="B27" t="str">
            <v>Other Industry</v>
          </cell>
          <cell r="C27">
            <v>0.8041322160624701</v>
          </cell>
          <cell r="D27">
            <v>0.8338851080567814</v>
          </cell>
          <cell r="E27">
            <v>0.86473885705488218</v>
          </cell>
          <cell r="F27">
            <v>0.89673419476591287</v>
          </cell>
          <cell r="G27">
            <v>0.92991335997225155</v>
          </cell>
          <cell r="H27">
            <v>0.96432015429122475</v>
          </cell>
          <cell r="I27">
            <v>1</v>
          </cell>
          <cell r="J27">
            <v>1.0369999999999999</v>
          </cell>
          <cell r="K27">
            <v>1.0753689999999998</v>
          </cell>
          <cell r="L27">
            <v>1.1151576529999998</v>
          </cell>
          <cell r="M27">
            <v>1.1564184861609996</v>
          </cell>
          <cell r="N27">
            <v>1.2003623886351176</v>
          </cell>
          <cell r="O27">
            <v>1.2459761594032521</v>
          </cell>
          <cell r="P27">
            <v>1.2933232534605759</v>
          </cell>
          <cell r="Q27">
            <v>1.3424695370920776</v>
          </cell>
          <cell r="R27">
            <v>1.3934833795015766</v>
          </cell>
          <cell r="S27">
            <v>1.4464357479226368</v>
          </cell>
          <cell r="T27">
            <v>1.5014003063436969</v>
          </cell>
          <cell r="U27">
            <v>1.5584535179847576</v>
          </cell>
          <cell r="V27">
            <v>1.6176747516681784</v>
          </cell>
          <cell r="W27">
            <v>1.6791463922315695</v>
          </cell>
          <cell r="X27">
            <v>1.7261624912140534</v>
          </cell>
          <cell r="Y27">
            <v>1.7744950409680469</v>
          </cell>
          <cell r="Z27">
            <v>1.824180902115152</v>
          </cell>
          <cell r="AA27">
            <v>1.8752579673743763</v>
          </cell>
          <cell r="AB27">
            <v>1.9277651904608588</v>
          </cell>
          <cell r="AC27">
            <v>1.9817426157937628</v>
          </cell>
          <cell r="AD27">
            <v>2.0372314090359884</v>
          </cell>
          <cell r="AE27">
            <v>2.0942738884889964</v>
          </cell>
          <cell r="AF27">
            <v>2.1529135573666882</v>
          </cell>
          <cell r="AG27">
            <v>2.2131951369729554</v>
          </cell>
          <cell r="AH27">
            <v>2.2751646008081985</v>
          </cell>
          <cell r="AI27">
            <v>2.3388692096308281</v>
          </cell>
          <cell r="AJ27">
            <v>2.4043575475004917</v>
          </cell>
          <cell r="AK27">
            <v>2.4716795588305054</v>
          </cell>
          <cell r="AL27">
            <v>2.5408865864777592</v>
          </cell>
          <cell r="AM27">
            <v>2.6120314108991365</v>
          </cell>
          <cell r="AN27">
            <v>2.6851682904043126</v>
          </cell>
          <cell r="AO27">
            <v>2.7603530025356333</v>
          </cell>
          <cell r="AP27">
            <v>2.8376428866066314</v>
          </cell>
          <cell r="AQ27">
            <v>2.9170968874316174</v>
          </cell>
        </row>
        <row r="28">
          <cell r="A28">
            <v>9</v>
          </cell>
          <cell r="B28" t="str">
            <v>Passenger transport - Air</v>
          </cell>
          <cell r="C28">
            <v>4729108779189.7383</v>
          </cell>
          <cell r="D28">
            <v>5022251508399.7754</v>
          </cell>
          <cell r="E28">
            <v>5315394237609.8115</v>
          </cell>
          <cell r="F28">
            <v>5608536966819.8486</v>
          </cell>
          <cell r="G28">
            <v>5901679696029.8848</v>
          </cell>
          <cell r="H28">
            <v>6194822425239.9209</v>
          </cell>
          <cell r="I28">
            <v>6399441660477.0703</v>
          </cell>
          <cell r="J28">
            <v>6604060895714.2207</v>
          </cell>
          <cell r="K28">
            <v>6808680130951.3691</v>
          </cell>
          <cell r="L28">
            <v>7013299366188.5195</v>
          </cell>
          <cell r="M28">
            <v>7217918601425.668</v>
          </cell>
          <cell r="N28">
            <v>7429724593596.5381</v>
          </cell>
          <cell r="O28">
            <v>7641530585767.4092</v>
          </cell>
          <cell r="P28">
            <v>7853336577938.2793</v>
          </cell>
          <cell r="Q28">
            <v>8065142570109.1504</v>
          </cell>
          <cell r="R28">
            <v>8276948562280.0205</v>
          </cell>
          <cell r="S28">
            <v>8494692788983.9609</v>
          </cell>
          <cell r="T28">
            <v>8712437015687.8994</v>
          </cell>
          <cell r="U28">
            <v>8930181242391.8398</v>
          </cell>
          <cell r="V28">
            <v>9147925469095.7793</v>
          </cell>
          <cell r="W28">
            <v>9365669695799.7188</v>
          </cell>
          <cell r="X28">
            <v>9567558127760.0859</v>
          </cell>
          <cell r="Y28">
            <v>9769446559720.4512</v>
          </cell>
          <cell r="Z28">
            <v>9971334991680.8184</v>
          </cell>
          <cell r="AA28">
            <v>10173223423641.184</v>
          </cell>
          <cell r="AB28">
            <v>10375111855601.551</v>
          </cell>
          <cell r="AC28">
            <v>10570626212522.227</v>
          </cell>
          <cell r="AD28">
            <v>10766140569442.9</v>
          </cell>
          <cell r="AE28">
            <v>10961654926363.578</v>
          </cell>
          <cell r="AF28">
            <v>11157169283284.254</v>
          </cell>
          <cell r="AG28">
            <v>11352683640204.93</v>
          </cell>
          <cell r="AH28">
            <v>11549867519074.373</v>
          </cell>
          <cell r="AI28">
            <v>11747051397943.814</v>
          </cell>
          <cell r="AJ28">
            <v>11944235276813.258</v>
          </cell>
          <cell r="AK28">
            <v>12141419155682.699</v>
          </cell>
          <cell r="AL28">
            <v>12338603034552.141</v>
          </cell>
          <cell r="AM28">
            <v>12530290102741.848</v>
          </cell>
          <cell r="AN28">
            <v>12721977170931.553</v>
          </cell>
          <cell r="AO28">
            <v>12913664239121.262</v>
          </cell>
          <cell r="AP28">
            <v>13105351307310.967</v>
          </cell>
          <cell r="AQ28">
            <v>13297038375500.674</v>
          </cell>
        </row>
        <row r="29">
          <cell r="A29">
            <v>10</v>
          </cell>
          <cell r="B29" t="str">
            <v>Passenger transport - Light Road</v>
          </cell>
          <cell r="C29">
            <v>23214113418028.078</v>
          </cell>
          <cell r="D29">
            <v>24239765474683.32</v>
          </cell>
          <cell r="E29">
            <v>25265417531338.559</v>
          </cell>
          <cell r="F29">
            <v>26291069587993.801</v>
          </cell>
          <cell r="G29">
            <v>27316721644649.035</v>
          </cell>
          <cell r="H29">
            <v>28342373701304.277</v>
          </cell>
          <cell r="I29">
            <v>29125298676889.871</v>
          </cell>
          <cell r="J29">
            <v>29908223652475.461</v>
          </cell>
          <cell r="K29">
            <v>30691148628061.047</v>
          </cell>
          <cell r="L29">
            <v>31474073603646.641</v>
          </cell>
          <cell r="M29">
            <v>32256998579232.234</v>
          </cell>
          <cell r="N29">
            <v>33068751059259.777</v>
          </cell>
          <cell r="O29">
            <v>33880503539287.316</v>
          </cell>
          <cell r="P29">
            <v>34692256019314.859</v>
          </cell>
          <cell r="Q29">
            <v>35504008499342.406</v>
          </cell>
          <cell r="R29">
            <v>36315760979369.953</v>
          </cell>
          <cell r="S29">
            <v>36963388537062.234</v>
          </cell>
          <cell r="T29">
            <v>37611016094754.516</v>
          </cell>
          <cell r="U29">
            <v>38258643652446.805</v>
          </cell>
          <cell r="V29">
            <v>38906271210139.086</v>
          </cell>
          <cell r="W29">
            <v>39553898767831.375</v>
          </cell>
          <cell r="X29">
            <v>40105727290480.766</v>
          </cell>
          <cell r="Y29">
            <v>40657555813130.164</v>
          </cell>
          <cell r="Z29">
            <v>41209384335779.57</v>
          </cell>
          <cell r="AA29">
            <v>41761212858428.969</v>
          </cell>
          <cell r="AB29">
            <v>42313041381078.367</v>
          </cell>
          <cell r="AC29">
            <v>42750317537727.68</v>
          </cell>
          <cell r="AD29">
            <v>43187593694376.977</v>
          </cell>
          <cell r="AE29">
            <v>43624869851026.281</v>
          </cell>
          <cell r="AF29">
            <v>44062146007675.594</v>
          </cell>
          <cell r="AG29">
            <v>44499422164324.906</v>
          </cell>
          <cell r="AH29">
            <v>44905147831535.484</v>
          </cell>
          <cell r="AI29">
            <v>45310873498746.063</v>
          </cell>
          <cell r="AJ29">
            <v>45716599165956.656</v>
          </cell>
          <cell r="AK29">
            <v>46122324833167.234</v>
          </cell>
          <cell r="AL29">
            <v>46528050500377.813</v>
          </cell>
          <cell r="AM29">
            <v>46867005689138.039</v>
          </cell>
          <cell r="AN29">
            <v>47205960877898.266</v>
          </cell>
          <cell r="AO29">
            <v>47544916066658.492</v>
          </cell>
          <cell r="AP29">
            <v>47883871255418.719</v>
          </cell>
          <cell r="AQ29">
            <v>48222826444178.953</v>
          </cell>
        </row>
        <row r="30">
          <cell r="A30">
            <v>11</v>
          </cell>
          <cell r="B30" t="str">
            <v>Passenger transport - Heavy Road</v>
          </cell>
          <cell r="C30">
            <v>12781010944934.193</v>
          </cell>
          <cell r="D30">
            <v>13111615765201.773</v>
          </cell>
          <cell r="E30">
            <v>13442220585469.354</v>
          </cell>
          <cell r="F30">
            <v>13772825405736.934</v>
          </cell>
          <cell r="G30">
            <v>14103430226004.514</v>
          </cell>
          <cell r="H30">
            <v>14434035046272.094</v>
          </cell>
          <cell r="I30">
            <v>14721350757315.512</v>
          </cell>
          <cell r="J30">
            <v>15008666468358.926</v>
          </cell>
          <cell r="K30">
            <v>15295982179402.344</v>
          </cell>
          <cell r="L30">
            <v>15583297890445.76</v>
          </cell>
          <cell r="M30">
            <v>15870613601489.174</v>
          </cell>
          <cell r="N30">
            <v>16205326420569.291</v>
          </cell>
          <cell r="O30">
            <v>16540039239649.406</v>
          </cell>
          <cell r="P30">
            <v>16874752058729.521</v>
          </cell>
          <cell r="Q30">
            <v>17209464877809.639</v>
          </cell>
          <cell r="R30">
            <v>17544177696889.75</v>
          </cell>
          <cell r="S30">
            <v>17853801727368.992</v>
          </cell>
          <cell r="T30">
            <v>18163425757848.234</v>
          </cell>
          <cell r="U30">
            <v>18473049788327.473</v>
          </cell>
          <cell r="V30">
            <v>18782673818806.719</v>
          </cell>
          <cell r="W30">
            <v>19092297849285.957</v>
          </cell>
          <cell r="X30">
            <v>19374762036023.441</v>
          </cell>
          <cell r="Y30">
            <v>19657226222760.926</v>
          </cell>
          <cell r="Z30">
            <v>19939690409498.406</v>
          </cell>
          <cell r="AA30">
            <v>20222154596235.887</v>
          </cell>
          <cell r="AB30">
            <v>20504618782973.371</v>
          </cell>
          <cell r="AC30">
            <v>20787038195432.695</v>
          </cell>
          <cell r="AD30">
            <v>21069457607892.023</v>
          </cell>
          <cell r="AE30">
            <v>21351877020351.348</v>
          </cell>
          <cell r="AF30">
            <v>21634296432810.676</v>
          </cell>
          <cell r="AG30">
            <v>21916715845270.004</v>
          </cell>
          <cell r="AH30">
            <v>22215469282984.457</v>
          </cell>
          <cell r="AI30">
            <v>22514222720698.91</v>
          </cell>
          <cell r="AJ30">
            <v>22812976158413.371</v>
          </cell>
          <cell r="AK30">
            <v>23111729596127.82</v>
          </cell>
          <cell r="AL30">
            <v>23410483033842.281</v>
          </cell>
          <cell r="AM30">
            <v>23725902660112.887</v>
          </cell>
          <cell r="AN30">
            <v>24041322286383.488</v>
          </cell>
          <cell r="AO30">
            <v>24356741912654.094</v>
          </cell>
          <cell r="AP30">
            <v>24672161538924.703</v>
          </cell>
          <cell r="AQ30">
            <v>24987581165195.305</v>
          </cell>
        </row>
        <row r="31">
          <cell r="A31">
            <v>12</v>
          </cell>
          <cell r="B31" t="str">
            <v>Passenger transport - Rail</v>
          </cell>
          <cell r="C31">
            <v>3477939882172.3833</v>
          </cell>
          <cell r="D31">
            <v>3709604383567.5493</v>
          </cell>
          <cell r="E31">
            <v>3941268884962.7144</v>
          </cell>
          <cell r="F31">
            <v>4172933386357.8794</v>
          </cell>
          <cell r="G31">
            <v>4404597887753.0449</v>
          </cell>
          <cell r="H31">
            <v>4636262389148.2109</v>
          </cell>
          <cell r="I31">
            <v>4759551676479.1914</v>
          </cell>
          <cell r="J31">
            <v>4882840963810.1738</v>
          </cell>
          <cell r="K31">
            <v>5006130251141.1553</v>
          </cell>
          <cell r="L31">
            <v>5129419538472.1367</v>
          </cell>
          <cell r="M31">
            <v>5252708825803.1182</v>
          </cell>
          <cell r="N31">
            <v>5356785982574.6328</v>
          </cell>
          <cell r="O31">
            <v>5460863139346.1465</v>
          </cell>
          <cell r="P31">
            <v>5564940296117.6611</v>
          </cell>
          <cell r="Q31">
            <v>5669017452889.1748</v>
          </cell>
          <cell r="R31">
            <v>5773094609660.6895</v>
          </cell>
          <cell r="S31">
            <v>5871748240358.8447</v>
          </cell>
          <cell r="T31">
            <v>5970401871057</v>
          </cell>
          <cell r="U31">
            <v>6069055501755.1543</v>
          </cell>
          <cell r="V31">
            <v>6167709132453.3096</v>
          </cell>
          <cell r="W31">
            <v>6266362763151.4648</v>
          </cell>
          <cell r="X31">
            <v>6379563413377.9453</v>
          </cell>
          <cell r="Y31">
            <v>6492764063604.4248</v>
          </cell>
          <cell r="Z31">
            <v>6605964713830.9063</v>
          </cell>
          <cell r="AA31">
            <v>6719165364057.3867</v>
          </cell>
          <cell r="AB31">
            <v>6832366014283.8672</v>
          </cell>
          <cell r="AC31">
            <v>6982424281726.4482</v>
          </cell>
          <cell r="AD31">
            <v>7132482549169.0303</v>
          </cell>
          <cell r="AE31">
            <v>7282540816611.6123</v>
          </cell>
          <cell r="AF31">
            <v>7432599084054.1934</v>
          </cell>
          <cell r="AG31">
            <v>7582657351496.7754</v>
          </cell>
          <cell r="AH31">
            <v>7800643563761.7598</v>
          </cell>
          <cell r="AI31">
            <v>8018629776026.7432</v>
          </cell>
          <cell r="AJ31">
            <v>8236615988291.7275</v>
          </cell>
          <cell r="AK31">
            <v>8454602200556.7119</v>
          </cell>
          <cell r="AL31">
            <v>8672588412821.6963</v>
          </cell>
          <cell r="AM31">
            <v>8966796173206.2949</v>
          </cell>
          <cell r="AN31">
            <v>9261003933590.8926</v>
          </cell>
          <cell r="AO31">
            <v>9555211693975.4902</v>
          </cell>
          <cell r="AP31">
            <v>9849419454360.0898</v>
          </cell>
          <cell r="AQ31">
            <v>10143627214744.688</v>
          </cell>
        </row>
        <row r="32">
          <cell r="A32">
            <v>13</v>
          </cell>
          <cell r="B32" t="str">
            <v>Other transport</v>
          </cell>
          <cell r="C32">
            <v>0.8041322160624701</v>
          </cell>
          <cell r="D32">
            <v>0.8338851080567814</v>
          </cell>
          <cell r="E32">
            <v>0.86473885705488218</v>
          </cell>
          <cell r="F32">
            <v>0.89673419476591287</v>
          </cell>
          <cell r="G32">
            <v>0.92991335997225155</v>
          </cell>
          <cell r="H32">
            <v>0.96432015429122475</v>
          </cell>
          <cell r="I32">
            <v>1</v>
          </cell>
          <cell r="J32">
            <v>1.0369999999999999</v>
          </cell>
          <cell r="K32">
            <v>1.0753689999999998</v>
          </cell>
          <cell r="L32">
            <v>1.1151576529999998</v>
          </cell>
          <cell r="M32">
            <v>1.1564184861609996</v>
          </cell>
          <cell r="N32">
            <v>1.2003623886351176</v>
          </cell>
          <cell r="O32">
            <v>1.2459761594032521</v>
          </cell>
          <cell r="P32">
            <v>1.2933232534605759</v>
          </cell>
          <cell r="Q32">
            <v>1.3424695370920776</v>
          </cell>
          <cell r="R32">
            <v>1.3934833795015766</v>
          </cell>
          <cell r="S32">
            <v>1.4464357479226368</v>
          </cell>
          <cell r="T32">
            <v>1.5014003063436969</v>
          </cell>
          <cell r="U32">
            <v>1.5584535179847576</v>
          </cell>
          <cell r="V32">
            <v>1.6176747516681784</v>
          </cell>
          <cell r="W32">
            <v>1.6791463922315695</v>
          </cell>
          <cell r="X32">
            <v>1.7261624912140534</v>
          </cell>
          <cell r="Y32">
            <v>1.7744950409680469</v>
          </cell>
          <cell r="Z32">
            <v>1.824180902115152</v>
          </cell>
          <cell r="AA32">
            <v>1.8752579673743763</v>
          </cell>
          <cell r="AB32">
            <v>1.9277651904608588</v>
          </cell>
          <cell r="AC32">
            <v>1.9817426157937628</v>
          </cell>
          <cell r="AD32">
            <v>2.0372314090359884</v>
          </cell>
          <cell r="AE32">
            <v>2.0942738884889964</v>
          </cell>
          <cell r="AF32">
            <v>2.1529135573666882</v>
          </cell>
          <cell r="AG32">
            <v>2.2131951369729554</v>
          </cell>
          <cell r="AH32">
            <v>2.2751646008081985</v>
          </cell>
          <cell r="AI32">
            <v>2.3388692096308281</v>
          </cell>
          <cell r="AJ32">
            <v>2.4043575475004917</v>
          </cell>
          <cell r="AK32">
            <v>2.4716795588305054</v>
          </cell>
          <cell r="AL32">
            <v>2.5408865864777592</v>
          </cell>
          <cell r="AM32">
            <v>2.6120314108991365</v>
          </cell>
          <cell r="AN32">
            <v>2.6851682904043126</v>
          </cell>
          <cell r="AO32">
            <v>2.7603530025356333</v>
          </cell>
          <cell r="AP32">
            <v>2.8376428866066314</v>
          </cell>
          <cell r="AQ32">
            <v>2.9170968874316174</v>
          </cell>
        </row>
        <row r="33">
          <cell r="A33">
            <v>14</v>
          </cell>
          <cell r="B33" t="str">
            <v>Services / Commercial Buildings</v>
          </cell>
          <cell r="C33">
            <v>35332127665.901825</v>
          </cell>
          <cell r="D33">
            <v>35954971930.147484</v>
          </cell>
          <cell r="E33">
            <v>36577816194.393143</v>
          </cell>
          <cell r="F33">
            <v>37200660458.638794</v>
          </cell>
          <cell r="G33">
            <v>37823504722.884445</v>
          </cell>
          <cell r="H33">
            <v>38446348987.130112</v>
          </cell>
          <cell r="I33">
            <v>39069193251.375771</v>
          </cell>
          <cell r="J33">
            <v>39692037515.621429</v>
          </cell>
          <cell r="K33">
            <v>40314881779.867081</v>
          </cell>
          <cell r="L33">
            <v>40937726044.11274</v>
          </cell>
          <cell r="M33">
            <v>41560570308.358391</v>
          </cell>
          <cell r="N33">
            <v>42183414572.60405</v>
          </cell>
          <cell r="O33">
            <v>42806258836.849709</v>
          </cell>
          <cell r="P33">
            <v>43429103101.09536</v>
          </cell>
          <cell r="Q33">
            <v>44051947365.341019</v>
          </cell>
          <cell r="R33">
            <v>44674791629.586678</v>
          </cell>
          <cell r="S33">
            <v>45297635893.832329</v>
          </cell>
          <cell r="T33">
            <v>45920480158.077988</v>
          </cell>
          <cell r="U33">
            <v>46543324422.323639</v>
          </cell>
          <cell r="V33">
            <v>47166168686.569298</v>
          </cell>
          <cell r="W33">
            <v>47789012950.814957</v>
          </cell>
          <cell r="X33">
            <v>48362320626.918541</v>
          </cell>
          <cell r="Y33">
            <v>48935628303.022118</v>
          </cell>
          <cell r="Z33">
            <v>49508935979.125702</v>
          </cell>
          <cell r="AA33">
            <v>50082243655.229279</v>
          </cell>
          <cell r="AB33">
            <v>50655551331.332863</v>
          </cell>
          <cell r="AC33">
            <v>51228859007.436447</v>
          </cell>
          <cell r="AD33">
            <v>51802166683.540024</v>
          </cell>
          <cell r="AE33">
            <v>52375474359.643608</v>
          </cell>
          <cell r="AF33">
            <v>52948782035.747185</v>
          </cell>
          <cell r="AG33">
            <v>53522089711.850769</v>
          </cell>
          <cell r="AH33">
            <v>54095397387.954346</v>
          </cell>
          <cell r="AI33">
            <v>54668705064.05793</v>
          </cell>
          <cell r="AJ33">
            <v>55242012740.161514</v>
          </cell>
          <cell r="AK33">
            <v>55815320416.265091</v>
          </cell>
          <cell r="AL33">
            <v>56388628092.368683</v>
          </cell>
          <cell r="AM33">
            <v>56961935768.472267</v>
          </cell>
          <cell r="AN33">
            <v>57535243444.575844</v>
          </cell>
          <cell r="AO33">
            <v>58108551120.679428</v>
          </cell>
          <cell r="AP33">
            <v>58681858796.783005</v>
          </cell>
          <cell r="AQ33">
            <v>59255166472.886589</v>
          </cell>
        </row>
        <row r="34">
          <cell r="C34">
            <v>3.7000000000000005E-2</v>
          </cell>
          <cell r="D34">
            <v>3.7000000000000005E-2</v>
          </cell>
          <cell r="E34">
            <v>3.7000000000000005E-2</v>
          </cell>
          <cell r="F34">
            <v>3.7000000000000005E-2</v>
          </cell>
          <cell r="G34">
            <v>3.7000000000000005E-2</v>
          </cell>
          <cell r="H34">
            <v>3.7000000000000005E-2</v>
          </cell>
          <cell r="I34">
            <v>3.7000000000000005E-2</v>
          </cell>
          <cell r="J34">
            <v>3.7000000000000005E-2</v>
          </cell>
          <cell r="K34">
            <v>3.7000000000000005E-2</v>
          </cell>
          <cell r="L34">
            <v>3.7000000000000005E-2</v>
          </cell>
          <cell r="M34">
            <v>3.7999999999999999E-2</v>
          </cell>
          <cell r="N34">
            <v>3.7999999999999999E-2</v>
          </cell>
          <cell r="O34">
            <v>3.7999999999999999E-2</v>
          </cell>
          <cell r="P34">
            <v>3.7999999999999999E-2</v>
          </cell>
          <cell r="Q34">
            <v>3.7999999999999999E-2</v>
          </cell>
          <cell r="R34">
            <v>3.7999999999999999E-2</v>
          </cell>
          <cell r="S34">
            <v>3.7999999999999999E-2</v>
          </cell>
          <cell r="T34">
            <v>3.7999999999999999E-2</v>
          </cell>
          <cell r="U34">
            <v>3.7999999999999999E-2</v>
          </cell>
          <cell r="V34">
            <v>3.7999999999999999E-2</v>
          </cell>
          <cell r="W34">
            <v>2.7999999999999997E-2</v>
          </cell>
          <cell r="X34">
            <v>2.7999999999999997E-2</v>
          </cell>
          <cell r="Y34">
            <v>2.7999999999999997E-2</v>
          </cell>
          <cell r="Z34">
            <v>2.7999999999999997E-2</v>
          </cell>
          <cell r="AA34">
            <v>2.7999999999999997E-2</v>
          </cell>
          <cell r="AB34">
            <v>2.7999999999999997E-2</v>
          </cell>
          <cell r="AC34">
            <v>2.7999999999999997E-2</v>
          </cell>
          <cell r="AD34">
            <v>2.7999999999999997E-2</v>
          </cell>
          <cell r="AE34">
            <v>2.7999999999999997E-2</v>
          </cell>
          <cell r="AF34">
            <v>2.7999999999999997E-2</v>
          </cell>
          <cell r="AG34">
            <v>2.7999999999999997E-2</v>
          </cell>
          <cell r="AH34">
            <v>2.7999999999999997E-2</v>
          </cell>
          <cell r="AI34">
            <v>2.7999999999999997E-2</v>
          </cell>
          <cell r="AJ34">
            <v>2.7999999999999997E-2</v>
          </cell>
          <cell r="AK34">
            <v>2.7999999999999997E-2</v>
          </cell>
          <cell r="AL34">
            <v>2.7999999999999997E-2</v>
          </cell>
          <cell r="AM34">
            <v>2.7999999999999997E-2</v>
          </cell>
          <cell r="AN34">
            <v>2.7999999999999997E-2</v>
          </cell>
          <cell r="AO34">
            <v>2.7999999999999997E-2</v>
          </cell>
          <cell r="AP34">
            <v>2.7999999999999997E-2</v>
          </cell>
          <cell r="AQ34">
            <v>2.7999999999999997E-2</v>
          </cell>
        </row>
        <row r="35">
          <cell r="C35">
            <v>1</v>
          </cell>
          <cell r="D35">
            <v>1.0369999999999999</v>
          </cell>
          <cell r="E35">
            <v>1.0753689999999998</v>
          </cell>
          <cell r="F35">
            <v>1.1151576529999998</v>
          </cell>
          <cell r="G35">
            <v>1.1564184861609996</v>
          </cell>
          <cell r="H35">
            <v>1.1992059701489566</v>
          </cell>
          <cell r="I35">
            <v>1.2435765910444678</v>
          </cell>
          <cell r="J35">
            <v>1.2895889249131129</v>
          </cell>
          <cell r="K35">
            <v>1.3373037151348981</v>
          </cell>
          <cell r="L35">
            <v>1.3867839525948893</v>
          </cell>
          <cell r="M35">
            <v>1.4380949588409</v>
          </cell>
          <cell r="N35">
            <v>1.4927425672768542</v>
          </cell>
          <cell r="O35">
            <v>1.5494667848333747</v>
          </cell>
          <cell r="P35">
            <v>1.608346522657043</v>
          </cell>
          <cell r="Q35">
            <v>1.6694636905180107</v>
          </cell>
          <cell r="R35">
            <v>1.7329033107576952</v>
          </cell>
          <cell r="S35">
            <v>1.7987536365664878</v>
          </cell>
          <cell r="T35">
            <v>1.8671062747560143</v>
          </cell>
          <cell r="U35">
            <v>1.938056313196743</v>
          </cell>
          <cell r="V35">
            <v>2.0117024530982195</v>
          </cell>
          <cell r="W35">
            <v>2.088147146315952</v>
          </cell>
          <cell r="X35">
            <v>2.1466152664127987</v>
          </cell>
          <cell r="Y35">
            <v>2.206720493872357</v>
          </cell>
          <cell r="Z35">
            <v>2.2685086677007829</v>
          </cell>
          <cell r="AA35">
            <v>2.3320269103964049</v>
          </cell>
          <cell r="AB35">
            <v>2.3973236638875042</v>
          </cell>
          <cell r="AC35">
            <v>2.4644487264763542</v>
          </cell>
          <cell r="AD35">
            <v>2.5334532908176923</v>
          </cell>
          <cell r="AE35">
            <v>2.6043899829605879</v>
          </cell>
          <cell r="AF35">
            <v>2.6773129024834845</v>
          </cell>
          <cell r="AG35">
            <v>2.7522776637530222</v>
          </cell>
          <cell r="AH35">
            <v>2.829341438338107</v>
          </cell>
          <cell r="AI35">
            <v>2.9085629986115742</v>
          </cell>
          <cell r="AJ35">
            <v>2.9900027625726984</v>
          </cell>
          <cell r="AK35">
            <v>3.0737228399247338</v>
          </cell>
          <cell r="AL35">
            <v>3.1597870794426264</v>
          </cell>
          <cell r="AM35">
            <v>3.24826111766702</v>
          </cell>
          <cell r="AN35">
            <v>3.3392124289616967</v>
          </cell>
          <cell r="AO35">
            <v>3.4327103769726244</v>
          </cell>
          <cell r="AP35">
            <v>3.5288262675278581</v>
          </cell>
          <cell r="AQ35">
            <v>3.6276334030186383</v>
          </cell>
        </row>
        <row r="36">
          <cell r="C36">
            <v>0.8041322160624701</v>
          </cell>
          <cell r="D36">
            <v>0.8338851080567814</v>
          </cell>
          <cell r="E36">
            <v>0.86473885705488218</v>
          </cell>
          <cell r="F36">
            <v>0.89673419476591287</v>
          </cell>
          <cell r="G36">
            <v>0.92991335997225155</v>
          </cell>
          <cell r="H36">
            <v>0.96432015429122475</v>
          </cell>
          <cell r="I36">
            <v>1</v>
          </cell>
          <cell r="J36">
            <v>1.0369999999999999</v>
          </cell>
          <cell r="K36">
            <v>1.0753689999999998</v>
          </cell>
          <cell r="L36">
            <v>1.1151576529999998</v>
          </cell>
          <cell r="M36">
            <v>1.1564184861609996</v>
          </cell>
          <cell r="N36">
            <v>1.2003623886351176</v>
          </cell>
          <cell r="O36">
            <v>1.2459761594032521</v>
          </cell>
          <cell r="P36">
            <v>1.2933232534605759</v>
          </cell>
          <cell r="Q36">
            <v>1.3424695370920776</v>
          </cell>
          <cell r="R36">
            <v>1.3934833795015766</v>
          </cell>
          <cell r="S36">
            <v>1.4464357479226368</v>
          </cell>
          <cell r="T36">
            <v>1.5014003063436969</v>
          </cell>
          <cell r="U36">
            <v>1.5584535179847576</v>
          </cell>
          <cell r="V36">
            <v>1.6176747516681784</v>
          </cell>
          <cell r="W36">
            <v>1.6791463922315695</v>
          </cell>
          <cell r="X36">
            <v>1.7261624912140534</v>
          </cell>
          <cell r="Y36">
            <v>1.7744950409680469</v>
          </cell>
          <cell r="Z36">
            <v>1.824180902115152</v>
          </cell>
          <cell r="AA36">
            <v>1.8752579673743763</v>
          </cell>
          <cell r="AB36">
            <v>1.9277651904608588</v>
          </cell>
          <cell r="AC36">
            <v>1.9817426157937628</v>
          </cell>
          <cell r="AD36">
            <v>2.0372314090359884</v>
          </cell>
          <cell r="AE36">
            <v>2.0942738884889964</v>
          </cell>
          <cell r="AF36">
            <v>2.1529135573666882</v>
          </cell>
          <cell r="AG36">
            <v>2.2131951369729554</v>
          </cell>
          <cell r="AH36">
            <v>2.2751646008081985</v>
          </cell>
          <cell r="AI36">
            <v>2.3388692096308281</v>
          </cell>
          <cell r="AJ36">
            <v>2.4043575475004917</v>
          </cell>
          <cell r="AK36">
            <v>2.4716795588305054</v>
          </cell>
          <cell r="AL36">
            <v>2.5408865864777592</v>
          </cell>
          <cell r="AM36">
            <v>2.6120314108991365</v>
          </cell>
          <cell r="AN36">
            <v>2.6851682904043126</v>
          </cell>
          <cell r="AO36">
            <v>2.7603530025356333</v>
          </cell>
          <cell r="AP36">
            <v>2.8376428866066314</v>
          </cell>
          <cell r="AQ36">
            <v>2.9170968874316174</v>
          </cell>
        </row>
        <row r="37">
          <cell r="C37">
            <v>1.0501639926970656</v>
          </cell>
          <cell r="D37">
            <v>1.0717952822356573</v>
          </cell>
          <cell r="E37">
            <v>1.1202745514263825</v>
          </cell>
          <cell r="F37">
            <v>1.1284818511389074</v>
          </cell>
          <cell r="G37">
            <v>1.1815043044708946</v>
          </cell>
          <cell r="H37">
            <v>1.2345267578028818</v>
          </cell>
          <cell r="I37">
            <v>1.287549211134869</v>
          </cell>
          <cell r="J37">
            <v>1.3405716644668564</v>
          </cell>
          <cell r="K37">
            <v>1.3935941177988436</v>
          </cell>
          <cell r="L37">
            <v>1.4466165711308308</v>
          </cell>
          <cell r="M37">
            <v>1.4996390244628179</v>
          </cell>
          <cell r="N37">
            <v>1.5467334492038975</v>
          </cell>
          <cell r="O37">
            <v>1.5938278739449774</v>
          </cell>
          <cell r="P37">
            <v>1.6409222986860565</v>
          </cell>
          <cell r="Q37">
            <v>1.6880167234271364</v>
          </cell>
          <cell r="R37">
            <v>1.735111148168216</v>
          </cell>
          <cell r="S37">
            <v>1.7652282338383598</v>
          </cell>
          <cell r="T37">
            <v>1.7953453195085036</v>
          </cell>
          <cell r="U37">
            <v>1.8254624051786472</v>
          </cell>
          <cell r="V37">
            <v>1.855579490848791</v>
          </cell>
          <cell r="W37">
            <v>1.8856965765189349</v>
          </cell>
          <cell r="X37">
            <v>1.9085549054991024</v>
          </cell>
          <cell r="Y37">
            <v>1.93141323447927</v>
          </cell>
          <cell r="Z37">
            <v>1.9542715634594376</v>
          </cell>
          <cell r="AA37">
            <v>1.9771298924396052</v>
          </cell>
          <cell r="AB37">
            <v>1.9999882214197728</v>
          </cell>
          <cell r="AC37">
            <v>2.0212138481606936</v>
          </cell>
          <cell r="AD37">
            <v>2.0424394749016139</v>
          </cell>
          <cell r="AE37">
            <v>2.0636651016425347</v>
          </cell>
          <cell r="AF37">
            <v>2.084890728383455</v>
          </cell>
          <cell r="AG37">
            <v>2.1061163551243758</v>
          </cell>
          <cell r="AH37">
            <v>2.1251289542806129</v>
          </cell>
          <cell r="AI37">
            <v>2.14414155343685</v>
          </cell>
          <cell r="AJ37">
            <v>2.1631541525930871</v>
          </cell>
          <cell r="AK37">
            <v>2.1821667517493242</v>
          </cell>
          <cell r="AL37">
            <v>2.2011793509055613</v>
          </cell>
          <cell r="AM37">
            <v>2.2172277230144002</v>
          </cell>
          <cell r="AN37">
            <v>2.2332760951232391</v>
          </cell>
          <cell r="AO37">
            <v>2.249324467232078</v>
          </cell>
          <cell r="AP37">
            <v>2.2653728393409169</v>
          </cell>
          <cell r="AQ37">
            <v>2.2814212114497558</v>
          </cell>
        </row>
        <row r="38">
          <cell r="C38">
            <v>0.81563017833814078</v>
          </cell>
          <cell r="D38">
            <v>0.83243053777413112</v>
          </cell>
          <cell r="E38">
            <v>0.87008289992966747</v>
          </cell>
          <cell r="F38">
            <v>0.87645725800588492</v>
          </cell>
          <cell r="G38">
            <v>0.91763817200392328</v>
          </cell>
          <cell r="H38">
            <v>0.95881908600196164</v>
          </cell>
          <cell r="I38">
            <v>1</v>
          </cell>
          <cell r="J38">
            <v>1.0411809139980386</v>
          </cell>
          <cell r="K38">
            <v>1.0823618279960769</v>
          </cell>
          <cell r="L38">
            <v>1.1235427419941153</v>
          </cell>
          <cell r="M38">
            <v>1.1647236559921537</v>
          </cell>
          <cell r="N38">
            <v>1.2013004519187107</v>
          </cell>
          <cell r="O38">
            <v>1.237877247845268</v>
          </cell>
          <cell r="P38">
            <v>1.2744540437718246</v>
          </cell>
          <cell r="Q38">
            <v>1.3110308396983819</v>
          </cell>
          <cell r="R38">
            <v>1.3476076356249389</v>
          </cell>
          <cell r="S38">
            <v>1.3709986527679636</v>
          </cell>
          <cell r="T38">
            <v>1.3943896699109886</v>
          </cell>
          <cell r="U38">
            <v>1.4177806870540133</v>
          </cell>
          <cell r="V38">
            <v>1.441171704197038</v>
          </cell>
          <cell r="W38">
            <v>1.4645627213400629</v>
          </cell>
          <cell r="X38">
            <v>1.4823160846930798</v>
          </cell>
          <cell r="Y38">
            <v>1.5000694480460965</v>
          </cell>
          <cell r="Z38">
            <v>1.5178228113991135</v>
          </cell>
          <cell r="AA38">
            <v>1.5355761747521304</v>
          </cell>
          <cell r="AB38">
            <v>1.5533295381051473</v>
          </cell>
          <cell r="AC38">
            <v>1.5698148316825571</v>
          </cell>
          <cell r="AD38">
            <v>1.5863001252599667</v>
          </cell>
          <cell r="AE38">
            <v>1.6027854188373765</v>
          </cell>
          <cell r="AF38">
            <v>1.619270712414786</v>
          </cell>
          <cell r="AG38">
            <v>1.6357560059921958</v>
          </cell>
          <cell r="AH38">
            <v>1.6505225088891835</v>
          </cell>
          <cell r="AI38">
            <v>1.6652890117861709</v>
          </cell>
          <cell r="AJ38">
            <v>1.6800555146831586</v>
          </cell>
          <cell r="AK38">
            <v>1.6948220175801461</v>
          </cell>
          <cell r="AL38">
            <v>1.7095885204771337</v>
          </cell>
          <cell r="AM38">
            <v>1.7220527991004677</v>
          </cell>
          <cell r="AN38">
            <v>1.7345170777238017</v>
          </cell>
          <cell r="AO38">
            <v>1.7469813563471357</v>
          </cell>
          <cell r="AP38">
            <v>1.7594456349704697</v>
          </cell>
          <cell r="AQ38">
            <v>1.7719099135938037</v>
          </cell>
        </row>
        <row r="39">
          <cell r="C39">
            <v>1</v>
          </cell>
          <cell r="D39">
            <v>1.3182941175442358</v>
          </cell>
          <cell r="E39">
            <v>1.2592732710393577</v>
          </cell>
          <cell r="F39">
            <v>1.2685806191485591</v>
          </cell>
          <cell r="G39">
            <v>1.421453959757718</v>
          </cell>
          <cell r="H39">
            <v>1.574327300366877</v>
          </cell>
          <cell r="I39">
            <v>1.7272006409760357</v>
          </cell>
          <cell r="J39">
            <v>1.8800739815851943</v>
          </cell>
          <cell r="K39">
            <v>2.032947322194353</v>
          </cell>
          <cell r="L39">
            <v>2.1858206628035117</v>
          </cell>
          <cell r="M39">
            <v>2.3386940034126709</v>
          </cell>
          <cell r="N39">
            <v>2.3493883464471796</v>
          </cell>
          <cell r="O39">
            <v>2.3600826894816889</v>
          </cell>
          <cell r="P39">
            <v>2.3707770325161976</v>
          </cell>
          <cell r="Q39">
            <v>2.3814713755507064</v>
          </cell>
          <cell r="R39">
            <v>2.3921657185852157</v>
          </cell>
          <cell r="S39">
            <v>2.3780428696082359</v>
          </cell>
          <cell r="T39">
            <v>2.3639200206312556</v>
          </cell>
          <cell r="U39">
            <v>2.3497971716542758</v>
          </cell>
          <cell r="V39">
            <v>2.3356743226772956</v>
          </cell>
          <cell r="W39">
            <v>2.3215514737003162</v>
          </cell>
          <cell r="X39">
            <v>2.3122824482063837</v>
          </cell>
          <cell r="Y39">
            <v>2.3030134227124508</v>
          </cell>
          <cell r="Z39">
            <v>2.2937443972185183</v>
          </cell>
          <cell r="AA39">
            <v>2.2844753717245854</v>
          </cell>
          <cell r="AB39">
            <v>2.2752063462306529</v>
          </cell>
          <cell r="AC39">
            <v>2.2649917297829916</v>
          </cell>
          <cell r="AD39">
            <v>2.2547771133353303</v>
          </cell>
          <cell r="AE39">
            <v>2.244562496887669</v>
          </cell>
          <cell r="AF39">
            <v>2.2343478804400081</v>
          </cell>
          <cell r="AG39">
            <v>2.2241332639923468</v>
          </cell>
          <cell r="AH39">
            <v>2.2196894374225558</v>
          </cell>
          <cell r="AI39">
            <v>2.2152456108527647</v>
          </cell>
          <cell r="AJ39">
            <v>2.2108017842829737</v>
          </cell>
          <cell r="AK39">
            <v>2.2063579577131827</v>
          </cell>
          <cell r="AL39">
            <v>2.2019141311433916</v>
          </cell>
          <cell r="AM39">
            <v>2.1971982835343753</v>
          </cell>
          <cell r="AN39">
            <v>2.1924824359253599</v>
          </cell>
          <cell r="AO39">
            <v>2.1877665883163435</v>
          </cell>
          <cell r="AP39">
            <v>2.1830507407073276</v>
          </cell>
          <cell r="AQ39">
            <v>2.1783348930983113</v>
          </cell>
        </row>
        <row r="40">
          <cell r="C40">
            <v>1</v>
          </cell>
          <cell r="D40">
            <v>0.99080055274890022</v>
          </cell>
          <cell r="E40">
            <v>0.91875607547212845</v>
          </cell>
          <cell r="F40">
            <v>1.0611591124675073</v>
          </cell>
          <cell r="G40">
            <v>1.0534169747433668</v>
          </cell>
          <cell r="H40">
            <v>1.0456748370192268</v>
          </cell>
          <cell r="I40">
            <v>1.0379326992950864</v>
          </cell>
          <cell r="J40">
            <v>1.0301905615709461</v>
          </cell>
          <cell r="K40">
            <v>1.0224484238468057</v>
          </cell>
          <cell r="L40">
            <v>1.0147062861226654</v>
          </cell>
          <cell r="M40">
            <v>1.0069641483985252</v>
          </cell>
          <cell r="N40">
            <v>0.9960367000833269</v>
          </cell>
          <cell r="O40">
            <v>0.98510925176812891</v>
          </cell>
          <cell r="P40">
            <v>0.97418180345293059</v>
          </cell>
          <cell r="Q40">
            <v>0.96325435513773239</v>
          </cell>
          <cell r="R40">
            <v>0.95232690682253429</v>
          </cell>
          <cell r="S40">
            <v>0.93846668670378319</v>
          </cell>
          <cell r="T40">
            <v>0.92460646658503221</v>
          </cell>
          <cell r="U40">
            <v>0.910746246466281</v>
          </cell>
          <cell r="V40">
            <v>0.89688602634753001</v>
          </cell>
          <cell r="W40">
            <v>0.88302580622877891</v>
          </cell>
          <cell r="X40">
            <v>0.87433698990456876</v>
          </cell>
          <cell r="Y40">
            <v>0.86564817358035862</v>
          </cell>
          <cell r="Z40">
            <v>0.85695935725614858</v>
          </cell>
          <cell r="AA40">
            <v>0.84827054093193843</v>
          </cell>
          <cell r="AB40">
            <v>0.83958172460772829</v>
          </cell>
          <cell r="AC40">
            <v>0.82581050098367847</v>
          </cell>
          <cell r="AD40">
            <v>0.81203927735962877</v>
          </cell>
          <cell r="AE40">
            <v>0.79826805373557908</v>
          </cell>
          <cell r="AF40">
            <v>0.78449683011152938</v>
          </cell>
          <cell r="AG40">
            <v>0.77072560648747968</v>
          </cell>
          <cell r="AH40">
            <v>0.75321233151731737</v>
          </cell>
          <cell r="AI40">
            <v>0.73569905654715506</v>
          </cell>
          <cell r="AJ40">
            <v>0.71818578157699275</v>
          </cell>
          <cell r="AK40">
            <v>0.70067250660683045</v>
          </cell>
          <cell r="AL40">
            <v>0.68315923163666814</v>
          </cell>
          <cell r="AM40">
            <v>0.66466075709499906</v>
          </cell>
          <cell r="AN40">
            <v>0.64616228255333008</v>
          </cell>
          <cell r="AO40">
            <v>0.62766380801166111</v>
          </cell>
          <cell r="AP40">
            <v>0.60916533346999202</v>
          </cell>
          <cell r="AQ40">
            <v>0.59066685892832294</v>
          </cell>
        </row>
        <row r="41">
          <cell r="C41">
            <v>1</v>
          </cell>
          <cell r="D41">
            <v>0.99080055274890022</v>
          </cell>
          <cell r="E41">
            <v>0.91875607547212845</v>
          </cell>
          <cell r="F41">
            <v>1.0611591124675073</v>
          </cell>
          <cell r="G41">
            <v>1.0534169747433668</v>
          </cell>
          <cell r="H41">
            <v>1.0456748370192268</v>
          </cell>
          <cell r="I41">
            <v>1.0379326992950864</v>
          </cell>
          <cell r="J41">
            <v>1.0301905615709461</v>
          </cell>
          <cell r="K41">
            <v>1.0224484238468057</v>
          </cell>
          <cell r="L41">
            <v>1.0147062861226654</v>
          </cell>
          <cell r="M41">
            <v>1.0069641483985252</v>
          </cell>
          <cell r="N41">
            <v>0.9960367000833269</v>
          </cell>
          <cell r="O41">
            <v>0.98510925176812891</v>
          </cell>
          <cell r="P41">
            <v>0.97418180345293059</v>
          </cell>
          <cell r="Q41">
            <v>0.96325435513773239</v>
          </cell>
          <cell r="R41">
            <v>0.95232690682253429</v>
          </cell>
          <cell r="S41">
            <v>0.93846668670378319</v>
          </cell>
          <cell r="T41">
            <v>0.92460646658503221</v>
          </cell>
          <cell r="U41">
            <v>0.910746246466281</v>
          </cell>
          <cell r="V41">
            <v>0.89688602634753001</v>
          </cell>
          <cell r="W41">
            <v>0.88302580622877891</v>
          </cell>
          <cell r="X41">
            <v>0.87433698990456876</v>
          </cell>
          <cell r="Y41">
            <v>0.86564817358035862</v>
          </cell>
          <cell r="Z41">
            <v>0.85695935725614858</v>
          </cell>
          <cell r="AA41">
            <v>0.84827054093193843</v>
          </cell>
          <cell r="AB41">
            <v>0.83958172460772829</v>
          </cell>
          <cell r="AC41">
            <v>0.82581050098367847</v>
          </cell>
          <cell r="AD41">
            <v>0.81203927735962877</v>
          </cell>
          <cell r="AE41">
            <v>0.79826805373557908</v>
          </cell>
          <cell r="AF41">
            <v>0.78449683011152938</v>
          </cell>
          <cell r="AG41">
            <v>0.77072560648747968</v>
          </cell>
          <cell r="AH41">
            <v>0.75321233151731737</v>
          </cell>
          <cell r="AI41">
            <v>0.73569905654715506</v>
          </cell>
          <cell r="AJ41">
            <v>0.71818578157699275</v>
          </cell>
          <cell r="AK41">
            <v>0.70067250660683045</v>
          </cell>
          <cell r="AL41">
            <v>0.68315923163666814</v>
          </cell>
          <cell r="AM41">
            <v>0.66466075709499906</v>
          </cell>
          <cell r="AN41">
            <v>0.64616228255333008</v>
          </cell>
          <cell r="AO41">
            <v>0.62766380801166111</v>
          </cell>
          <cell r="AP41">
            <v>0.60916533346999202</v>
          </cell>
          <cell r="AQ41">
            <v>0.59066685892832294</v>
          </cell>
        </row>
        <row r="42">
          <cell r="C42">
            <v>1</v>
          </cell>
          <cell r="D42">
            <v>1.0999121866663855</v>
          </cell>
          <cell r="E42">
            <v>1.1650715156133473</v>
          </cell>
          <cell r="F42">
            <v>1.2823601311394439</v>
          </cell>
          <cell r="G42">
            <v>1.2631478175442326</v>
          </cell>
          <cell r="H42">
            <v>1.2439355039490203</v>
          </cell>
          <cell r="I42">
            <v>1.2549573799279479</v>
          </cell>
          <cell r="J42">
            <v>1.265979255906875</v>
          </cell>
          <cell r="K42">
            <v>1.2770011318858028</v>
          </cell>
          <cell r="L42">
            <v>1.2880230078647303</v>
          </cell>
          <cell r="M42">
            <v>1.2990448838436577</v>
          </cell>
          <cell r="N42">
            <v>1.3018698712964805</v>
          </cell>
          <cell r="O42">
            <v>1.3046948587493032</v>
          </cell>
          <cell r="P42">
            <v>1.3075198462021262</v>
          </cell>
          <cell r="Q42">
            <v>1.3103448336549488</v>
          </cell>
          <cell r="R42">
            <v>1.313169821107772</v>
          </cell>
          <cell r="S42">
            <v>1.3168105307834519</v>
          </cell>
          <cell r="T42">
            <v>1.3204512404591322</v>
          </cell>
          <cell r="U42">
            <v>1.324091950134813</v>
          </cell>
          <cell r="V42">
            <v>1.3277326598104935</v>
          </cell>
          <cell r="W42">
            <v>1.3313733694861738</v>
          </cell>
          <cell r="X42">
            <v>1.3338739481089621</v>
          </cell>
          <cell r="Y42">
            <v>1.3363745267317508</v>
          </cell>
          <cell r="Z42">
            <v>1.3388751053545382</v>
          </cell>
          <cell r="AA42">
            <v>1.3413756839773272</v>
          </cell>
          <cell r="AB42">
            <v>1.3438762626001157</v>
          </cell>
          <cell r="AC42">
            <v>1.3379829982684477</v>
          </cell>
          <cell r="AD42">
            <v>1.3320897339367803</v>
          </cell>
          <cell r="AE42">
            <v>1.3261964696051129</v>
          </cell>
          <cell r="AF42">
            <v>1.3203032052734456</v>
          </cell>
          <cell r="AG42">
            <v>1.3144099409417782</v>
          </cell>
          <cell r="AH42">
            <v>1.3045972219783601</v>
          </cell>
          <cell r="AI42">
            <v>1.2947845030149421</v>
          </cell>
          <cell r="AJ42">
            <v>1.2849717840515242</v>
          </cell>
          <cell r="AK42">
            <v>1.2751590650881062</v>
          </cell>
          <cell r="AL42">
            <v>1.2653463461246879</v>
          </cell>
          <cell r="AM42">
            <v>1.2534297450261176</v>
          </cell>
          <cell r="AN42">
            <v>1.241513143927548</v>
          </cell>
          <cell r="AO42">
            <v>1.2295965428289777</v>
          </cell>
          <cell r="AP42">
            <v>1.2176799417304078</v>
          </cell>
          <cell r="AQ42">
            <v>1.2057633406318375</v>
          </cell>
        </row>
        <row r="63">
          <cell r="A63" t="str">
            <v>Code</v>
          </cell>
          <cell r="B63" t="str">
            <v>Sector</v>
          </cell>
          <cell r="C63">
            <v>2010</v>
          </cell>
          <cell r="D63">
            <v>2011</v>
          </cell>
          <cell r="E63">
            <v>2012</v>
          </cell>
          <cell r="F63">
            <v>2013</v>
          </cell>
          <cell r="G63">
            <v>2014</v>
          </cell>
          <cell r="H63">
            <v>2015</v>
          </cell>
          <cell r="I63">
            <v>2016</v>
          </cell>
          <cell r="J63">
            <v>2017</v>
          </cell>
          <cell r="K63">
            <v>2018</v>
          </cell>
          <cell r="L63">
            <v>2019</v>
          </cell>
          <cell r="M63">
            <v>2020</v>
          </cell>
          <cell r="N63">
            <v>2021</v>
          </cell>
          <cell r="O63">
            <v>2022</v>
          </cell>
          <cell r="P63">
            <v>2023</v>
          </cell>
          <cell r="Q63">
            <v>2024</v>
          </cell>
          <cell r="R63">
            <v>2025</v>
          </cell>
          <cell r="S63">
            <v>2026</v>
          </cell>
          <cell r="T63">
            <v>2027</v>
          </cell>
          <cell r="U63">
            <v>2028</v>
          </cell>
          <cell r="V63">
            <v>2029</v>
          </cell>
          <cell r="W63">
            <v>2030</v>
          </cell>
          <cell r="X63">
            <v>2031</v>
          </cell>
          <cell r="Y63">
            <v>2032</v>
          </cell>
          <cell r="Z63">
            <v>2033</v>
          </cell>
          <cell r="AA63">
            <v>2034</v>
          </cell>
          <cell r="AB63">
            <v>2035</v>
          </cell>
          <cell r="AC63">
            <v>2036</v>
          </cell>
          <cell r="AD63">
            <v>2037</v>
          </cell>
          <cell r="AE63">
            <v>2038</v>
          </cell>
          <cell r="AF63">
            <v>2039</v>
          </cell>
          <cell r="AG63">
            <v>2040</v>
          </cell>
          <cell r="AH63">
            <v>2041</v>
          </cell>
          <cell r="AI63">
            <v>2042</v>
          </cell>
          <cell r="AJ63">
            <v>2043</v>
          </cell>
          <cell r="AK63">
            <v>2044</v>
          </cell>
          <cell r="AL63">
            <v>2045</v>
          </cell>
          <cell r="AM63">
            <v>2046</v>
          </cell>
          <cell r="AN63">
            <v>2047</v>
          </cell>
          <cell r="AO63">
            <v>2048</v>
          </cell>
          <cell r="AP63">
            <v>2049</v>
          </cell>
          <cell r="AQ63">
            <v>2050</v>
          </cell>
        </row>
        <row r="64">
          <cell r="A64">
            <v>1</v>
          </cell>
          <cell r="B64" t="str">
            <v>Power Generation</v>
          </cell>
          <cell r="C64">
            <v>0.62646384105150521</v>
          </cell>
          <cell r="D64">
            <v>0.59050743508161763</v>
          </cell>
          <cell r="E64">
            <v>0.58931070949118391</v>
          </cell>
          <cell r="F64">
            <v>0.5863254695821164</v>
          </cell>
          <cell r="G64">
            <v>0.56989727014102609</v>
          </cell>
          <cell r="H64">
            <v>0.55416042200166482</v>
          </cell>
          <cell r="I64">
            <v>0.53907218310653682</v>
          </cell>
          <cell r="J64">
            <v>0.52459326356549973</v>
          </cell>
          <cell r="K64">
            <v>0.51068748402543895</v>
          </cell>
          <cell r="L64">
            <v>0.49732147382230057</v>
          </cell>
          <cell r="M64">
            <v>0.48446440361368537</v>
          </cell>
          <cell r="N64">
            <v>0.46364658409951764</v>
          </cell>
          <cell r="O64">
            <v>0.44352856926768491</v>
          </cell>
          <cell r="P64">
            <v>0.42407565581401746</v>
          </cell>
          <cell r="Q64">
            <v>0.40525539770350555</v>
          </cell>
          <cell r="R64">
            <v>0.38703742557745568</v>
          </cell>
          <cell r="S64">
            <v>0.36442566884294791</v>
          </cell>
          <cell r="T64">
            <v>0.34255522920332626</v>
          </cell>
          <cell r="U64">
            <v>0.32139023895092633</v>
          </cell>
          <cell r="V64">
            <v>0.30089710753825866</v>
          </cell>
          <cell r="W64">
            <v>0.28104434368675912</v>
          </cell>
          <cell r="X64">
            <v>0.26030254259225805</v>
          </cell>
          <cell r="Y64">
            <v>0.24017382358101055</v>
          </cell>
          <cell r="Z64">
            <v>0.22063140048346622</v>
          </cell>
          <cell r="AA64">
            <v>0.20165002515025454</v>
          </cell>
          <cell r="AB64">
            <v>0.18320587862593579</v>
          </cell>
          <cell r="AC64">
            <v>0.16624198996012829</v>
          </cell>
          <cell r="AD64">
            <v>0.14972744964219017</v>
          </cell>
          <cell r="AE64">
            <v>0.13364463718171607</v>
          </cell>
          <cell r="AF64">
            <v>0.11797684148133844</v>
          </cell>
          <cell r="AG64">
            <v>0.10270820291685022</v>
          </cell>
          <cell r="AH64">
            <v>9.2441827255300799E-2</v>
          </cell>
          <cell r="AI64">
            <v>8.2457554452950763E-2</v>
          </cell>
          <cell r="AJ64">
            <v>7.2743914524595596E-2</v>
          </cell>
          <cell r="AK64">
            <v>6.3290050979311466E-2</v>
          </cell>
          <cell r="AL64">
            <v>5.4085680344285611E-2</v>
          </cell>
          <cell r="AM64">
            <v>4.9704989936824616E-2</v>
          </cell>
          <cell r="AN64">
            <v>4.5436883233840576E-2</v>
          </cell>
          <cell r="AO64">
            <v>4.127707519774311E-2</v>
          </cell>
          <cell r="AP64">
            <v>3.7221495523181096E-2</v>
          </cell>
          <cell r="AQ64">
            <v>3.326627535261549E-2</v>
          </cell>
        </row>
        <row r="65">
          <cell r="A65">
            <v>2</v>
          </cell>
          <cell r="B65" t="str">
            <v>Iron &amp; Steel Industry</v>
          </cell>
          <cell r="C65">
            <v>1.9380364965608379</v>
          </cell>
          <cell r="D65">
            <v>1.9696535406481577</v>
          </cell>
          <cell r="E65">
            <v>1.6505202557571912</v>
          </cell>
          <cell r="F65">
            <v>1.7082012657062526</v>
          </cell>
          <cell r="G65">
            <v>1.6956395363738519</v>
          </cell>
          <cell r="H65">
            <v>1.6832934360576801</v>
          </cell>
          <cell r="I65">
            <v>1.6711574599179535</v>
          </cell>
          <cell r="J65">
            <v>1.6592262889127924</v>
          </cell>
          <cell r="K65">
            <v>1.6474947820250547</v>
          </cell>
          <cell r="L65">
            <v>1.6359579688761818</v>
          </cell>
          <cell r="M65">
            <v>1.6246110427047484</v>
          </cell>
          <cell r="N65">
            <v>1.5755370046147827</v>
          </cell>
          <cell r="O65">
            <v>1.5277813509527371</v>
          </cell>
          <cell r="P65">
            <v>1.4812916578918505</v>
          </cell>
          <cell r="Q65">
            <v>1.4360182446668557</v>
          </cell>
          <cell r="R65">
            <v>1.3919139964782283</v>
          </cell>
          <cell r="S65">
            <v>1.3256840337409566</v>
          </cell>
          <cell r="T65">
            <v>1.261088102827463</v>
          </cell>
          <cell r="U65">
            <v>1.1980664681600617</v>
          </cell>
          <cell r="V65">
            <v>1.1365622707920586</v>
          </cell>
          <cell r="W65">
            <v>1.076521357308541</v>
          </cell>
          <cell r="X65">
            <v>1.0392610905323019</v>
          </cell>
          <cell r="Y65">
            <v>1.0027590694099544</v>
          </cell>
          <cell r="Z65">
            <v>0.96699238164890966</v>
          </cell>
          <cell r="AA65">
            <v>0.93193902888745905</v>
          </cell>
          <cell r="AB65">
            <v>0.89757788157584295</v>
          </cell>
          <cell r="AC65">
            <v>0.86478976209887715</v>
          </cell>
          <cell r="AD65">
            <v>0.83250477185219141</v>
          </cell>
          <cell r="AE65">
            <v>0.80071141833687209</v>
          </cell>
          <cell r="AF65">
            <v>0.76939855642530286</v>
          </cell>
          <cell r="AG65">
            <v>0.73855537533507742</v>
          </cell>
          <cell r="AH65">
            <v>0.71945260329825911</v>
          </cell>
          <cell r="AI65">
            <v>0.70050717499350479</v>
          </cell>
          <cell r="AJ65">
            <v>0.68171715440519376</v>
          </cell>
          <cell r="AK65">
            <v>0.66308063714990528</v>
          </cell>
          <cell r="AL65">
            <v>0.64459574983300705</v>
          </cell>
          <cell r="AM65">
            <v>0.63294356585373746</v>
          </cell>
          <cell r="AN65">
            <v>0.62132340623402282</v>
          </cell>
          <cell r="AO65">
            <v>0.60973513913348387</v>
          </cell>
          <cell r="AP65">
            <v>0.59817863343444388</v>
          </cell>
          <cell r="AQ65">
            <v>0.58665375873698333</v>
          </cell>
        </row>
        <row r="66">
          <cell r="A66">
            <v>3</v>
          </cell>
          <cell r="B66" t="str">
            <v>Cement</v>
          </cell>
          <cell r="C66">
            <v>0.64021607091207622</v>
          </cell>
          <cell r="D66">
            <v>0.59492184247302204</v>
          </cell>
          <cell r="E66">
            <v>0.59630200110019793</v>
          </cell>
          <cell r="F66">
            <v>0.54696817945515652</v>
          </cell>
          <cell r="G66">
            <v>0.5474292697006814</v>
          </cell>
          <cell r="H66">
            <v>0.54788260957884827</v>
          </cell>
          <cell r="I66">
            <v>0.54832839287243285</v>
          </cell>
          <cell r="J66">
            <v>0.54876680695739455</v>
          </cell>
          <cell r="K66">
            <v>0.54919803306548309</v>
          </cell>
          <cell r="L66">
            <v>0.54962224653403247</v>
          </cell>
          <cell r="M66">
            <v>0.55003961704366788</v>
          </cell>
          <cell r="N66">
            <v>0.54431336908961414</v>
          </cell>
          <cell r="O66">
            <v>0.53860790378842138</v>
          </cell>
          <cell r="P66">
            <v>0.53292310820323641</v>
          </cell>
          <cell r="Q66">
            <v>0.52725887021401963</v>
          </cell>
          <cell r="R66">
            <v>0.52161507851017441</v>
          </cell>
          <cell r="S66">
            <v>0.51749495310287674</v>
          </cell>
          <cell r="T66">
            <v>0.51338595527014563</v>
          </cell>
          <cell r="U66">
            <v>0.509288039992988</v>
          </cell>
          <cell r="V66">
            <v>0.50520116249492908</v>
          </cell>
          <cell r="W66">
            <v>0.50112527824038144</v>
          </cell>
          <cell r="X66">
            <v>0.49585459722907044</v>
          </cell>
          <cell r="Y66">
            <v>0.49058739283648212</v>
          </cell>
          <cell r="Z66">
            <v>0.48532366162390694</v>
          </cell>
          <cell r="AA66">
            <v>0.48006340015716947</v>
          </cell>
          <cell r="AB66">
            <v>0.4748066050066197</v>
          </cell>
          <cell r="AC66">
            <v>0.46794915480728594</v>
          </cell>
          <cell r="AD66">
            <v>0.46116958919750162</v>
          </cell>
          <cell r="AE66">
            <v>0.45446658878978408</v>
          </cell>
          <cell r="AF66">
            <v>0.4478388638303899</v>
          </cell>
          <cell r="AG66">
            <v>0.44128515337198521</v>
          </cell>
          <cell r="AH66">
            <v>0.43493949991730707</v>
          </cell>
          <cell r="AI66">
            <v>0.42862334157027537</v>
          </cell>
          <cell r="AJ66">
            <v>0.42233647316425654</v>
          </cell>
          <cell r="AK66">
            <v>0.41607869143105525</v>
          </cell>
          <cell r="AL66">
            <v>0.40984979497900631</v>
          </cell>
          <cell r="AM66">
            <v>0.40179713347096147</v>
          </cell>
          <cell r="AN66">
            <v>0.39373917675075371</v>
          </cell>
          <cell r="AO66">
            <v>0.38567591959368325</v>
          </cell>
          <cell r="AP66">
            <v>0.37760735676817397</v>
          </cell>
          <cell r="AQ66">
            <v>0.36953348303576339</v>
          </cell>
        </row>
        <row r="67">
          <cell r="A67">
            <v>4</v>
          </cell>
          <cell r="B67" t="str">
            <v>Chemical and Petrochemical Industry</v>
          </cell>
          <cell r="C67">
            <v>0.95223222939854102</v>
          </cell>
          <cell r="D67">
            <v>1.2299868635308848</v>
          </cell>
          <cell r="E67">
            <v>1.1240755843609906</v>
          </cell>
          <cell r="F67">
            <v>1.1241480027953119</v>
          </cell>
          <cell r="G67">
            <v>1.203088261616007</v>
          </cell>
          <cell r="H67">
            <v>1.2752476124282204</v>
          </cell>
          <cell r="I67">
            <v>1.3414637872005297</v>
          </cell>
          <cell r="J67">
            <v>1.4024419815951408</v>
          </cell>
          <cell r="K67">
            <v>1.4587800681918464</v>
          </cell>
          <cell r="L67">
            <v>1.5109882649103348</v>
          </cell>
          <cell r="M67">
            <v>1.5595046309563789</v>
          </cell>
          <cell r="N67">
            <v>1.5189355009141412</v>
          </cell>
          <cell r="O67">
            <v>1.4807638441158071</v>
          </cell>
          <cell r="P67">
            <v>1.4447832383133321</v>
          </cell>
          <cell r="Q67">
            <v>1.4108102973741083</v>
          </cell>
          <cell r="R67">
            <v>1.3786815450472221</v>
          </cell>
          <cell r="S67">
            <v>1.3471588681976581</v>
          </cell>
          <cell r="T67">
            <v>1.3166937830536165</v>
          </cell>
          <cell r="U67">
            <v>1.2872339441163758</v>
          </cell>
          <cell r="V67">
            <v>1.2587304042732745</v>
          </cell>
          <cell r="W67">
            <v>1.2311373434139576</v>
          </cell>
          <cell r="X67">
            <v>1.2115357234649236</v>
          </cell>
          <cell r="Y67">
            <v>1.192398074942967</v>
          </cell>
          <cell r="Z67">
            <v>1.1737081171862054</v>
          </cell>
          <cell r="AA67">
            <v>1.1554503224397374</v>
          </cell>
          <cell r="AB67">
            <v>1.1376098728299036</v>
          </cell>
          <cell r="AC67">
            <v>1.1206096434794053</v>
          </cell>
          <cell r="AD67">
            <v>1.103962756812632</v>
          </cell>
          <cell r="AE67">
            <v>1.0876583100141357</v>
          </cell>
          <cell r="AF67">
            <v>1.0716858442612176</v>
          </cell>
          <cell r="AG67">
            <v>1.0560353223509351</v>
          </cell>
          <cell r="AH67">
            <v>1.0444963506574372</v>
          </cell>
          <cell r="AI67">
            <v>1.0331620164265469</v>
          </cell>
          <cell r="AJ67">
            <v>1.022026923801417</v>
          </cell>
          <cell r="AK67">
            <v>1.0110858649754726</v>
          </cell>
          <cell r="AL67">
            <v>1.0003338120710283</v>
          </cell>
          <cell r="AM67">
            <v>0.9909664491057355</v>
          </cell>
          <cell r="AN67">
            <v>0.98173371430117418</v>
          </cell>
          <cell r="AO67">
            <v>0.97263272604175022</v>
          </cell>
          <cell r="AP67">
            <v>0.96366068436772645</v>
          </cell>
          <cell r="AQ67">
            <v>0.95481486810323069</v>
          </cell>
        </row>
        <row r="68">
          <cell r="A68">
            <v>5</v>
          </cell>
          <cell r="B68" t="str">
            <v>Aluminium</v>
          </cell>
          <cell r="C68">
            <v>2.0863720007590882</v>
          </cell>
          <cell r="D68">
            <v>1.6224552861776789</v>
          </cell>
          <cell r="E68">
            <v>1.6783389954464776</v>
          </cell>
          <cell r="F68">
            <v>2.0666231386437715</v>
          </cell>
          <cell r="G68">
            <v>2.0633843304138137</v>
          </cell>
          <cell r="H68">
            <v>2.0603903923115143</v>
          </cell>
          <cell r="I68">
            <v>2.0576145657653369</v>
          </cell>
          <cell r="J68">
            <v>2.05503385396023</v>
          </cell>
          <cell r="K68">
            <v>2.0526283832402781</v>
          </cell>
          <cell r="L68">
            <v>2.0503808903298135</v>
          </cell>
          <cell r="M68">
            <v>2.0482763073718018</v>
          </cell>
          <cell r="N68">
            <v>2.0482763073718018</v>
          </cell>
          <cell r="O68">
            <v>2.0482763073718018</v>
          </cell>
          <cell r="P68">
            <v>2.0482763073718018</v>
          </cell>
          <cell r="Q68">
            <v>2.0482763073718018</v>
          </cell>
          <cell r="R68">
            <v>2.0482763073718018</v>
          </cell>
          <cell r="S68">
            <v>1.9529483717634739</v>
          </cell>
          <cell r="T68">
            <v>1.8529362612156228</v>
          </cell>
          <cell r="U68">
            <v>1.7578471202558952</v>
          </cell>
          <cell r="V68">
            <v>1.6673261897463183</v>
          </cell>
          <cell r="W68">
            <v>1.5810519971951993</v>
          </cell>
          <cell r="X68">
            <v>1.5266287502456377</v>
          </cell>
          <cell r="Y68">
            <v>1.4743561877364315</v>
          </cell>
          <cell r="Z68">
            <v>1.4241092945014875</v>
          </cell>
          <cell r="AA68">
            <v>1.3757725603946369</v>
          </cell>
          <cell r="AB68">
            <v>1.3292390937954448</v>
          </cell>
          <cell r="AC68">
            <v>1.3292390937954448</v>
          </cell>
          <cell r="AD68">
            <v>1.3292390937954448</v>
          </cell>
          <cell r="AE68">
            <v>1.3292390937954448</v>
          </cell>
          <cell r="AF68">
            <v>1.3292390937954448</v>
          </cell>
          <cell r="AG68">
            <v>1.3292390937954448</v>
          </cell>
          <cell r="AH68">
            <v>1.314017685082943</v>
          </cell>
          <cell r="AI68">
            <v>1.291623452779584</v>
          </cell>
          <cell r="AJ68">
            <v>1.2695358028489983</v>
          </cell>
          <cell r="AK68">
            <v>1.2477484823150209</v>
          </cell>
          <cell r="AL68">
            <v>1.2262554070987106</v>
          </cell>
          <cell r="AM68">
            <v>1.198853631276952</v>
          </cell>
          <cell r="AN68">
            <v>1.1716806651518872</v>
          </cell>
          <cell r="AO68">
            <v>1.1447336547367335</v>
          </cell>
          <cell r="AP68">
            <v>1.1180097933126056</v>
          </cell>
          <cell r="AQ68">
            <v>1.0915063204539852</v>
          </cell>
        </row>
        <row r="69">
          <cell r="A69">
            <v>6</v>
          </cell>
          <cell r="B69" t="str">
            <v>Pulp &amp; Paper</v>
          </cell>
          <cell r="C69">
            <v>0.58497567797305583</v>
          </cell>
          <cell r="D69">
            <v>0.58881306597537042</v>
          </cell>
          <cell r="E69">
            <v>0.58881306597537042</v>
          </cell>
          <cell r="F69">
            <v>0.55710743863314616</v>
          </cell>
          <cell r="G69">
            <v>0.54034511084615633</v>
          </cell>
          <cell r="H69">
            <v>0.52413095793683429</v>
          </cell>
          <cell r="I69">
            <v>0.50843852225321606</v>
          </cell>
          <cell r="J69">
            <v>0.49324302182201774</v>
          </cell>
          <cell r="K69">
            <v>0.47852121975631734</v>
          </cell>
          <cell r="L69">
            <v>0.46425130568889061</v>
          </cell>
          <cell r="M69">
            <v>0.45041278795877759</v>
          </cell>
          <cell r="N69">
            <v>0.43609659471653645</v>
          </cell>
          <cell r="O69">
            <v>0.4221755204640249</v>
          </cell>
          <cell r="P69">
            <v>0.4086334302616233</v>
          </cell>
          <cell r="Q69">
            <v>0.39545505587975688</v>
          </cell>
          <cell r="R69">
            <v>0.38262593837442987</v>
          </cell>
          <cell r="S69">
            <v>0.37084909155859674</v>
          </cell>
          <cell r="T69">
            <v>0.35937724681138555</v>
          </cell>
          <cell r="U69">
            <v>0.34819870698098621</v>
          </cell>
          <cell r="V69">
            <v>0.33730236549663895</v>
          </cell>
          <cell r="W69">
            <v>0.32667766956070254</v>
          </cell>
          <cell r="X69">
            <v>0.31582960835265783</v>
          </cell>
          <cell r="Y69">
            <v>0.30524413351883206</v>
          </cell>
          <cell r="Z69">
            <v>0.29491182488731299</v>
          </cell>
          <cell r="AA69">
            <v>0.28482370755434566</v>
          </cell>
          <cell r="AB69">
            <v>0.27497122588318285</v>
          </cell>
          <cell r="AC69">
            <v>0.26687515305960519</v>
          </cell>
          <cell r="AD69">
            <v>0.25895078567491181</v>
          </cell>
          <cell r="AE69">
            <v>0.25119271862777526</v>
          </cell>
          <cell r="AF69">
            <v>0.24359577132344448</v>
          </cell>
          <cell r="AG69">
            <v>0.23615497613714437</v>
          </cell>
          <cell r="AH69">
            <v>0.22893893529665635</v>
          </cell>
          <cell r="AI69">
            <v>0.22194373351037022</v>
          </cell>
          <cell r="AJ69">
            <v>0.21515938576122168</v>
          </cell>
          <cell r="AK69">
            <v>0.2085765000447421</v>
          </cell>
          <cell r="AL69">
            <v>0.20218623398919031</v>
          </cell>
          <cell r="AM69">
            <v>0.19924124775598914</v>
          </cell>
          <cell r="AN69">
            <v>0.19629626152278798</v>
          </cell>
          <cell r="AO69">
            <v>0.19335127528958682</v>
          </cell>
          <cell r="AP69">
            <v>0.19040628905638568</v>
          </cell>
          <cell r="AQ69">
            <v>0.18746130282318452</v>
          </cell>
        </row>
        <row r="70">
          <cell r="A70">
            <v>7</v>
          </cell>
          <cell r="B70" t="str">
            <v>Manufacture of light-road automotor vehicles</v>
          </cell>
          <cell r="C70">
            <v>1</v>
          </cell>
          <cell r="D70">
            <v>0.95544894189865026</v>
          </cell>
          <cell r="E70">
            <v>0.85436354913720647</v>
          </cell>
          <cell r="F70">
            <v>0.95157766223706075</v>
          </cell>
          <cell r="G70">
            <v>0.91093059074179084</v>
          </cell>
          <cell r="H70">
            <v>0.87197267446003524</v>
          </cell>
          <cell r="I70">
            <v>0.83463512160785913</v>
          </cell>
          <cell r="J70">
            <v>0.79885189898041042</v>
          </cell>
          <cell r="K70">
            <v>0.76455962267604116</v>
          </cell>
          <cell r="L70">
            <v>0.73169745310651424</v>
          </cell>
          <cell r="M70">
            <v>0.70020699412654586</v>
          </cell>
          <cell r="N70">
            <v>0.66725282839649547</v>
          </cell>
          <cell r="O70">
            <v>0.63577306813586509</v>
          </cell>
          <cell r="P70">
            <v>0.60570392619343572</v>
          </cell>
          <cell r="Q70">
            <v>0.57698430975689463</v>
          </cell>
          <cell r="R70">
            <v>0.54955570856757063</v>
          </cell>
          <cell r="S70">
            <v>0.52173164107962844</v>
          </cell>
          <cell r="T70">
            <v>0.49520826912000815</v>
          </cell>
          <cell r="U70">
            <v>0.46992764878129012</v>
          </cell>
          <cell r="V70">
            <v>0.44583433547353751</v>
          </cell>
          <cell r="W70">
            <v>0.42287527858689067</v>
          </cell>
          <cell r="X70">
            <v>0.40730959272719153</v>
          </cell>
          <cell r="Y70">
            <v>0.39227812311713189</v>
          </cell>
          <cell r="Z70">
            <v>0.37776331625160087</v>
          </cell>
          <cell r="AA70">
            <v>0.36374817852669927</v>
          </cell>
          <cell r="AB70">
            <v>0.35021625876176482</v>
          </cell>
          <cell r="AC70">
            <v>0.33508934152767489</v>
          </cell>
          <cell r="AD70">
            <v>0.3205266425486521</v>
          </cell>
          <cell r="AE70">
            <v>0.30650864845829784</v>
          </cell>
          <cell r="AF70">
            <v>0.29301649029660576</v>
          </cell>
          <cell r="AG70">
            <v>0.28003192288256035</v>
          </cell>
          <cell r="AH70">
            <v>0.26621471742899216</v>
          </cell>
          <cell r="AI70">
            <v>0.25294245195938575</v>
          </cell>
          <cell r="AJ70">
            <v>0.24019569164512802</v>
          </cell>
          <cell r="AK70">
            <v>0.22795565608771276</v>
          </cell>
          <cell r="AL70">
            <v>0.21620419808703523</v>
          </cell>
          <cell r="AM70">
            <v>0.20462048247290371</v>
          </cell>
          <cell r="AN70">
            <v>0.19350739023041114</v>
          </cell>
          <cell r="AO70">
            <v>0.18284787793988327</v>
          </cell>
          <cell r="AP70">
            <v>0.17262548147397086</v>
          </cell>
          <cell r="AQ70">
            <v>0.16282429708493015</v>
          </cell>
        </row>
        <row r="71">
          <cell r="A71">
            <v>8</v>
          </cell>
          <cell r="B71" t="str">
            <v>Other Industry</v>
          </cell>
          <cell r="C71">
            <v>1</v>
          </cell>
          <cell r="D71">
            <v>0.95544894189865026</v>
          </cell>
          <cell r="E71">
            <v>0.85436354913720647</v>
          </cell>
          <cell r="F71">
            <v>0.95157766223706075</v>
          </cell>
          <cell r="G71">
            <v>0.91093059074179084</v>
          </cell>
          <cell r="H71">
            <v>0.87197267446003524</v>
          </cell>
          <cell r="I71">
            <v>0.83463512160785913</v>
          </cell>
          <cell r="J71">
            <v>0.79885189898041042</v>
          </cell>
          <cell r="K71">
            <v>0.76455962267604116</v>
          </cell>
          <cell r="L71">
            <v>0.73169745310651424</v>
          </cell>
          <cell r="M71">
            <v>0.70020699412654586</v>
          </cell>
          <cell r="N71">
            <v>0.66725282839649547</v>
          </cell>
          <cell r="O71">
            <v>0.63577306813586509</v>
          </cell>
          <cell r="P71">
            <v>0.60570392619343572</v>
          </cell>
          <cell r="Q71">
            <v>0.57698430975689463</v>
          </cell>
          <cell r="R71">
            <v>0.54955570856757063</v>
          </cell>
          <cell r="S71">
            <v>0.52173164107962844</v>
          </cell>
          <cell r="T71">
            <v>0.49520826912000815</v>
          </cell>
          <cell r="U71">
            <v>0.46992764878129012</v>
          </cell>
          <cell r="V71">
            <v>0.44583433547353751</v>
          </cell>
          <cell r="W71">
            <v>0.42287527858689067</v>
          </cell>
          <cell r="X71">
            <v>0.40730959272719153</v>
          </cell>
          <cell r="Y71">
            <v>0.39227812311713189</v>
          </cell>
          <cell r="Z71">
            <v>0.37776331625160087</v>
          </cell>
          <cell r="AA71">
            <v>0.36374817852669927</v>
          </cell>
          <cell r="AB71">
            <v>0.35021625876176482</v>
          </cell>
          <cell r="AC71">
            <v>0.33508934152767489</v>
          </cell>
          <cell r="AD71">
            <v>0.3205266425486521</v>
          </cell>
          <cell r="AE71">
            <v>0.30650864845829784</v>
          </cell>
          <cell r="AF71">
            <v>0.29301649029660576</v>
          </cell>
          <cell r="AG71">
            <v>0.28003192288256035</v>
          </cell>
          <cell r="AH71">
            <v>0.26621471742899216</v>
          </cell>
          <cell r="AI71">
            <v>0.25294245195938575</v>
          </cell>
          <cell r="AJ71">
            <v>0.24019569164512802</v>
          </cell>
          <cell r="AK71">
            <v>0.22795565608771276</v>
          </cell>
          <cell r="AL71">
            <v>0.21620419808703523</v>
          </cell>
          <cell r="AM71">
            <v>0.20462048247290371</v>
          </cell>
          <cell r="AN71">
            <v>0.19350739023041114</v>
          </cell>
          <cell r="AO71">
            <v>0.18284787793988327</v>
          </cell>
          <cell r="AP71">
            <v>0.17262548147397086</v>
          </cell>
          <cell r="AQ71">
            <v>0.16282429708493015</v>
          </cell>
        </row>
        <row r="72">
          <cell r="A72">
            <v>9</v>
          </cell>
          <cell r="B72" t="str">
            <v>Passenger transport - Air</v>
          </cell>
          <cell r="C72">
            <v>187.22107925127006</v>
          </cell>
          <cell r="D72">
            <v>181.28374409254781</v>
          </cell>
          <cell r="E72">
            <v>176.00129418028484</v>
          </cell>
          <cell r="F72">
            <v>171.27104238790841</v>
          </cell>
          <cell r="G72">
            <v>167.01070390553446</v>
          </cell>
          <cell r="H72">
            <v>163.15356899038247</v>
          </cell>
          <cell r="I72">
            <v>157.49336090329209</v>
          </cell>
          <cell r="J72">
            <v>152.18390289811418</v>
          </cell>
          <cell r="K72">
            <v>147.19357201174591</v>
          </cell>
          <cell r="L72">
            <v>142.4944357931746</v>
          </cell>
          <cell r="M72">
            <v>138.06172919577673</v>
          </cell>
          <cell r="N72">
            <v>133.13889721872872</v>
          </cell>
          <cell r="O72">
            <v>128.48896483934277</v>
          </cell>
          <cell r="P72">
            <v>124.08985159431302</v>
          </cell>
          <cell r="Q72">
            <v>119.92179652027924</v>
          </cell>
          <cell r="R72">
            <v>115.96706137538017</v>
          </cell>
          <cell r="S72">
            <v>111.42123732533776</v>
          </cell>
          <cell r="T72">
            <v>107.1026348760315</v>
          </cell>
          <cell r="U72">
            <v>102.99463302378859</v>
          </cell>
          <cell r="V72">
            <v>99.082193256006676</v>
          </cell>
          <cell r="W72">
            <v>95.35167559298219</v>
          </cell>
          <cell r="X72">
            <v>91.005682637303053</v>
          </cell>
          <cell r="Y72">
            <v>86.839312078403395</v>
          </cell>
          <cell r="Z72">
            <v>82.841653536461081</v>
          </cell>
          <cell r="AA72">
            <v>79.002662701092547</v>
          </cell>
          <cell r="AB72">
            <v>75.313077067489473</v>
          </cell>
          <cell r="AC72">
            <v>71.846602319234094</v>
          </cell>
          <cell r="AD72">
            <v>68.506030735035594</v>
          </cell>
          <cell r="AE72">
            <v>65.284625409840743</v>
          </cell>
          <cell r="AF72">
            <v>62.176121659327571</v>
          </cell>
          <cell r="AG72">
            <v>59.174686357302612</v>
          </cell>
          <cell r="AH72">
            <v>56.198945394289915</v>
          </cell>
          <cell r="AI72">
            <v>53.323104929831331</v>
          </cell>
          <cell r="AJ72">
            <v>50.542217279788971</v>
          </cell>
          <cell r="AK72">
            <v>47.851656173374579</v>
          </cell>
          <cell r="AL72">
            <v>45.247091070529201</v>
          </cell>
          <cell r="AM72">
            <v>42.538069254165478</v>
          </cell>
          <cell r="AN72">
            <v>39.910683246868814</v>
          </cell>
          <cell r="AO72">
            <v>37.361297706583755</v>
          </cell>
          <cell r="AP72">
            <v>34.886489982404996</v>
          </cell>
          <cell r="AQ72">
            <v>32.483034784042069</v>
          </cell>
        </row>
        <row r="73">
          <cell r="A73">
            <v>10</v>
          </cell>
          <cell r="B73" t="str">
            <v>Passenger transport - Light Road</v>
          </cell>
          <cell r="C73">
            <v>146.86464786256781</v>
          </cell>
          <cell r="D73">
            <v>143.11691378435967</v>
          </cell>
          <cell r="E73">
            <v>139.67345895745174</v>
          </cell>
          <cell r="F73">
            <v>136.49867228140752</v>
          </cell>
          <cell r="G73">
            <v>133.56229096938065</v>
          </cell>
          <cell r="H73">
            <v>130.83843282591712</v>
          </cell>
          <cell r="I73">
            <v>127.32506787944753</v>
          </cell>
          <cell r="J73">
            <v>123.99564573057768</v>
          </cell>
          <cell r="K73">
            <v>120.83608934894964</v>
          </cell>
          <cell r="L73">
            <v>117.83372238195521</v>
          </cell>
          <cell r="M73">
            <v>114.97709917215256</v>
          </cell>
          <cell r="N73">
            <v>111.70943996327802</v>
          </cell>
          <cell r="O73">
            <v>108.59836228003594</v>
          </cell>
          <cell r="P73">
            <v>105.6328747263907</v>
          </cell>
          <cell r="Q73">
            <v>102.80299112159013</v>
          </cell>
          <cell r="R73">
            <v>100.0996181541787</v>
          </cell>
          <cell r="S73">
            <v>96.975906856674939</v>
          </cell>
          <cell r="T73">
            <v>93.959770505481671</v>
          </cell>
          <cell r="U73">
            <v>91.045746139048475</v>
          </cell>
          <cell r="V73">
            <v>88.228734538156147</v>
          </cell>
          <cell r="W73">
            <v>85.503970447618499</v>
          </cell>
          <cell r="X73">
            <v>82.520339821915613</v>
          </cell>
          <cell r="Y73">
            <v>79.617700414075415</v>
          </cell>
          <cell r="Z73">
            <v>76.792798601301484</v>
          </cell>
          <cell r="AA73">
            <v>74.042552732992448</v>
          </cell>
          <cell r="AB73">
            <v>71.364041916804268</v>
          </cell>
          <cell r="AC73">
            <v>68.635834515918461</v>
          </cell>
          <cell r="AD73">
            <v>65.962873538588681</v>
          </cell>
          <cell r="AE73">
            <v>63.343497688597104</v>
          </cell>
          <cell r="AF73">
            <v>60.776111617056372</v>
          </cell>
          <cell r="AG73">
            <v>58.259182682233181</v>
          </cell>
          <cell r="AH73">
            <v>55.83028136861941</v>
          </cell>
          <cell r="AI73">
            <v>53.444878117610052</v>
          </cell>
          <cell r="AJ73">
            <v>51.101814819407274</v>
          </cell>
          <cell r="AK73">
            <v>48.799974114532937</v>
          </cell>
          <cell r="AL73">
            <v>46.538277617109991</v>
          </cell>
          <cell r="AM73">
            <v>44.665407194846168</v>
          </cell>
          <cell r="AN73">
            <v>42.819432492347239</v>
          </cell>
          <cell r="AO73">
            <v>40.999778278156882</v>
          </cell>
          <cell r="AP73">
            <v>39.205885608364596</v>
          </cell>
          <cell r="AQ73">
            <v>37.437211254185094</v>
          </cell>
        </row>
        <row r="74">
          <cell r="A74">
            <v>11</v>
          </cell>
          <cell r="B74" t="str">
            <v>Passenger transport - Heavy Road</v>
          </cell>
          <cell r="C74">
            <v>33.849245884885711</v>
          </cell>
          <cell r="D74">
            <v>32.769878287270323</v>
          </cell>
          <cell r="E74">
            <v>31.743603722661408</v>
          </cell>
          <cell r="F74">
            <v>30.766598833370729</v>
          </cell>
          <cell r="G74">
            <v>29.835398761865292</v>
          </cell>
          <cell r="H74">
            <v>28.946856094375612</v>
          </cell>
          <cell r="I74">
            <v>28.246655431941583</v>
          </cell>
          <cell r="J74">
            <v>27.573263100763963</v>
          </cell>
          <cell r="K74">
            <v>26.925168418887218</v>
          </cell>
          <cell r="L74">
            <v>26.300972116628952</v>
          </cell>
          <cell r="M74">
            <v>25.699376251747246</v>
          </cell>
          <cell r="N74">
            <v>25.163621383318709</v>
          </cell>
          <cell r="O74">
            <v>24.649550142087101</v>
          </cell>
          <cell r="P74">
            <v>24.155872235674494</v>
          </cell>
          <cell r="Q74">
            <v>23.681397753069216</v>
          </cell>
          <cell r="R74">
            <v>23.225027589104364</v>
          </cell>
          <cell r="S74">
            <v>22.798281441918395</v>
          </cell>
          <cell r="T74">
            <v>22.386084407201039</v>
          </cell>
          <cell r="U74">
            <v>21.987704918444233</v>
          </cell>
          <cell r="V74">
            <v>21.602459647334921</v>
          </cell>
          <cell r="W74">
            <v>21.229709592307575</v>
          </cell>
          <cell r="X74">
            <v>20.815353176727143</v>
          </cell>
          <cell r="Y74">
            <v>20.412904936452836</v>
          </cell>
          <cell r="Z74">
            <v>20.021858800479897</v>
          </cell>
          <cell r="AA74">
            <v>19.641736973115989</v>
          </cell>
          <cell r="AB74">
            <v>19.272087986429</v>
          </cell>
          <cell r="AC74">
            <v>18.831299129515774</v>
          </cell>
          <cell r="AD74">
            <v>18.402327124493539</v>
          </cell>
          <cell r="AE74">
            <v>17.984703069958698</v>
          </cell>
          <cell r="AF74">
            <v>17.577982549123405</v>
          </cell>
          <cell r="AG74">
            <v>17.181744052268385</v>
          </cell>
          <cell r="AH74">
            <v>16.767377382520831</v>
          </cell>
          <cell r="AI74">
            <v>16.364007625133709</v>
          </cell>
          <cell r="AJ74">
            <v>15.971202741075922</v>
          </cell>
          <cell r="AK74">
            <v>15.588553030301494</v>
          </cell>
          <cell r="AL74">
            <v>15.215669706352058</v>
          </cell>
          <cell r="AM74">
            <v>14.830376877432428</v>
          </cell>
          <cell r="AN74">
            <v>14.455194051503069</v>
          </cell>
          <cell r="AO74">
            <v>14.089728455173802</v>
          </cell>
          <cell r="AP74">
            <v>13.733607400596746</v>
          </cell>
          <cell r="AQ74">
            <v>13.386477017761727</v>
          </cell>
        </row>
        <row r="75">
          <cell r="A75">
            <v>12</v>
          </cell>
          <cell r="B75" t="str">
            <v>Passenger transport - Rail</v>
          </cell>
          <cell r="C75">
            <v>21.262969839647308</v>
          </cell>
          <cell r="D75">
            <v>19.955440792245152</v>
          </cell>
          <cell r="E75">
            <v>18.801622680923415</v>
          </cell>
          <cell r="F75">
            <v>17.775915264267411</v>
          </cell>
          <cell r="G75">
            <v>16.858104188350076</v>
          </cell>
          <cell r="H75">
            <v>16.032015378098738</v>
          </cell>
          <cell r="I75">
            <v>15.397913259530942</v>
          </cell>
          <cell r="J75">
            <v>14.795832662398183</v>
          </cell>
          <cell r="K75">
            <v>14.223407741011941</v>
          </cell>
          <cell r="L75">
            <v>13.678500108893564</v>
          </cell>
          <cell r="M75">
            <v>13.159172144658193</v>
          </cell>
          <cell r="N75">
            <v>12.516655924350282</v>
          </cell>
          <cell r="O75">
            <v>11.898630799930645</v>
          </cell>
          <cell r="P75">
            <v>11.303722652276354</v>
          </cell>
          <cell r="Q75">
            <v>10.730658271751945</v>
          </cell>
          <cell r="R75">
            <v>10.17825626224505</v>
          </cell>
          <cell r="S75">
            <v>9.6404614946385578</v>
          </cell>
          <cell r="T75">
            <v>9.1204395361463249</v>
          </cell>
          <cell r="U75">
            <v>8.6173236857736129</v>
          </cell>
          <cell r="V75">
            <v>8.1303026946866268</v>
          </cell>
          <cell r="W75">
            <v>7.6586164011947009</v>
          </cell>
          <cell r="X75">
            <v>7.1033989789579195</v>
          </cell>
          <cell r="Y75">
            <v>6.5675418700171635</v>
          </cell>
          <cell r="Z75">
            <v>6.0500497920108192</v>
          </cell>
          <cell r="AA75">
            <v>5.549994534366343</v>
          </cell>
          <cell r="AB75">
            <v>5.0665094019745771</v>
          </cell>
          <cell r="AC75">
            <v>4.5994856924226291</v>
          </cell>
          <cell r="AD75">
            <v>4.1521131402978062</v>
          </cell>
          <cell r="AE75">
            <v>3.7231769970483271</v>
          </cell>
          <cell r="AF75">
            <v>3.3115606133531097</v>
          </cell>
          <cell r="AG75">
            <v>2.9162357323660006</v>
          </cell>
          <cell r="AH75">
            <v>2.6583358769405545</v>
          </cell>
          <cell r="AI75">
            <v>2.4144580213325733</v>
          </cell>
          <cell r="AJ75">
            <v>2.1834888675688591</v>
          </cell>
          <cell r="AK75">
            <v>1.9644299349568117</v>
          </cell>
          <cell r="AL75">
            <v>1.7563831303761868</v>
          </cell>
          <cell r="AM75">
            <v>1.6121533917140067</v>
          </cell>
          <cell r="AN75">
            <v>1.4770875641562686</v>
          </cell>
          <cell r="AO75">
            <v>1.3503391692003239</v>
          </cell>
          <cell r="AP75">
            <v>1.2311628675205615</v>
          </cell>
          <cell r="AQ75">
            <v>1.1188997916654146</v>
          </cell>
        </row>
        <row r="76">
          <cell r="A76">
            <v>13</v>
          </cell>
          <cell r="B76" t="str">
            <v>Other transport</v>
          </cell>
          <cell r="C76">
            <v>1</v>
          </cell>
          <cell r="D76">
            <v>1.0606674895529273</v>
          </cell>
          <cell r="E76">
            <v>1.0834155676919714</v>
          </cell>
          <cell r="F76">
            <v>1.1499361795972396</v>
          </cell>
          <cell r="G76">
            <v>1.0922930000345685</v>
          </cell>
          <cell r="H76">
            <v>1.0372992921261956</v>
          </cell>
          <cell r="I76">
            <v>1.0091516589854119</v>
          </cell>
          <cell r="J76">
            <v>0.98169209695420678</v>
          </cell>
          <cell r="K76">
            <v>0.95490733887401757</v>
          </cell>
          <cell r="L76">
            <v>0.92878418837673904</v>
          </cell>
          <cell r="M76">
            <v>0.90330953172291473</v>
          </cell>
          <cell r="N76">
            <v>0.87213287798942152</v>
          </cell>
          <cell r="O76">
            <v>0.84202828451699041</v>
          </cell>
          <cell r="P76">
            <v>0.81295904071845104</v>
          </cell>
          <cell r="Q76">
            <v>0.78488968708769435</v>
          </cell>
          <cell r="R76">
            <v>0.75778597279821758</v>
          </cell>
          <cell r="S76">
            <v>0.73206830775170373</v>
          </cell>
          <cell r="T76">
            <v>0.70721804018985646</v>
          </cell>
          <cell r="U76">
            <v>0.68320612828364036</v>
          </cell>
          <cell r="V76">
            <v>0.66000449408691364</v>
          </cell>
          <cell r="W76">
            <v>0.63758599188523246</v>
          </cell>
          <cell r="X76">
            <v>0.62138473017477147</v>
          </cell>
          <cell r="Y76">
            <v>0.60559301934368615</v>
          </cell>
          <cell r="Z76">
            <v>0.59020056851338265</v>
          </cell>
          <cell r="AA76">
            <v>0.5751973435629506</v>
          </cell>
          <cell r="AB76">
            <v>0.56057356077688891</v>
          </cell>
          <cell r="AC76">
            <v>0.54291370881206502</v>
          </cell>
          <cell r="AD76">
            <v>0.52579999748360773</v>
          </cell>
          <cell r="AE76">
            <v>0.50921577731516798</v>
          </cell>
          <cell r="AF76">
            <v>0.49314490063852001</v>
          </cell>
          <cell r="AG76">
            <v>0.47757170660951448</v>
          </cell>
          <cell r="AH76">
            <v>0.46109571800024668</v>
          </cell>
          <cell r="AI76">
            <v>0.44516295628907393</v>
          </cell>
          <cell r="AJ76">
            <v>0.42975605244788856</v>
          </cell>
          <cell r="AK76">
            <v>0.41485818061570279</v>
          </cell>
          <cell r="AL76">
            <v>0.40045304139539994</v>
          </cell>
          <cell r="AM76">
            <v>0.38587715076501033</v>
          </cell>
          <cell r="AN76">
            <v>0.37179819204062658</v>
          </cell>
          <cell r="AO76">
            <v>0.35819990846806699</v>
          </cell>
          <cell r="AP76">
            <v>0.34506656021449911</v>
          </cell>
          <cell r="AQ76">
            <v>0.33238290826975342</v>
          </cell>
        </row>
        <row r="77">
          <cell r="A77">
            <v>14</v>
          </cell>
          <cell r="B77" t="str">
            <v>Services / Commercial Buildings</v>
          </cell>
          <cell r="C77">
            <v>25.523514726131605</v>
          </cell>
          <cell r="D77">
            <v>24.374981083567942</v>
          </cell>
          <cell r="E77">
            <v>22.886487944242585</v>
          </cell>
          <cell r="F77">
            <v>25.491021194317067</v>
          </cell>
          <cell r="G77">
            <v>24.79764582666035</v>
          </cell>
          <cell r="H77">
            <v>24.126736304634832</v>
          </cell>
          <cell r="I77">
            <v>23.47721817121224</v>
          </cell>
          <cell r="J77">
            <v>22.848084410537794</v>
          </cell>
          <cell r="K77">
            <v>22.238390238272366</v>
          </cell>
          <cell r="L77">
            <v>21.647248367506545</v>
          </cell>
          <cell r="M77">
            <v>21.073824700356813</v>
          </cell>
          <cell r="N77">
            <v>20.372060109127151</v>
          </cell>
          <cell r="O77">
            <v>19.690717300243108</v>
          </cell>
          <cell r="P77">
            <v>19.028917628573325</v>
          </cell>
          <cell r="Q77">
            <v>18.385832141144277</v>
          </cell>
          <cell r="R77">
            <v>17.760678113164932</v>
          </cell>
          <cell r="S77">
            <v>17.107197084151288</v>
          </cell>
          <cell r="T77">
            <v>16.471443087142241</v>
          </cell>
          <cell r="U77">
            <v>15.852704451000653</v>
          </cell>
          <cell r="V77">
            <v>15.250307095964544</v>
          </cell>
          <cell r="W77">
            <v>14.663612083965621</v>
          </cell>
          <cell r="X77">
            <v>14.272497090583272</v>
          </cell>
          <cell r="Y77">
            <v>13.890546349739255</v>
          </cell>
          <cell r="Z77">
            <v>13.517441498522579</v>
          </cell>
          <cell r="AA77">
            <v>13.152878751635997</v>
          </cell>
          <cell r="AB77">
            <v>12.796568076465872</v>
          </cell>
          <cell r="AC77">
            <v>12.423137020147511</v>
          </cell>
          <cell r="AD77">
            <v>12.057971675662815</v>
          </cell>
          <cell r="AE77">
            <v>11.700800610851941</v>
          </cell>
          <cell r="AF77">
            <v>11.35136414937906</v>
          </cell>
          <cell r="AG77">
            <v>11.009413741113422</v>
          </cell>
          <cell r="AH77">
            <v>10.647940202674883</v>
          </cell>
          <cell r="AI77">
            <v>10.294048170110765</v>
          </cell>
          <cell r="AJ77">
            <v>9.9475015983188761</v>
          </cell>
          <cell r="AK77">
            <v>9.608074140356452</v>
          </cell>
          <cell r="AL77">
            <v>9.275548654430354</v>
          </cell>
          <cell r="AM77">
            <v>8.9298360378683022</v>
          </cell>
          <cell r="AN77">
            <v>8.591013100915994</v>
          </cell>
          <cell r="AO77">
            <v>8.2588759197379549</v>
          </cell>
          <cell r="AP77">
            <v>7.9332285396464215</v>
          </cell>
          <cell r="AQ77">
            <v>7.6138825895844509</v>
          </cell>
        </row>
        <row r="97">
          <cell r="A97" t="str">
            <v>Code</v>
          </cell>
          <cell r="B97" t="str">
            <v>Sector</v>
          </cell>
          <cell r="C97">
            <v>2010</v>
          </cell>
          <cell r="D97">
            <v>2011</v>
          </cell>
          <cell r="E97">
            <v>2012</v>
          </cell>
          <cell r="F97">
            <v>2013</v>
          </cell>
          <cell r="G97">
            <v>2014</v>
          </cell>
          <cell r="H97">
            <v>2015</v>
          </cell>
          <cell r="I97">
            <v>2016</v>
          </cell>
          <cell r="J97">
            <v>2017</v>
          </cell>
          <cell r="K97">
            <v>2018</v>
          </cell>
          <cell r="L97">
            <v>2019</v>
          </cell>
          <cell r="M97">
            <v>2020</v>
          </cell>
          <cell r="N97">
            <v>2021</v>
          </cell>
          <cell r="O97">
            <v>2022</v>
          </cell>
          <cell r="P97">
            <v>2023</v>
          </cell>
          <cell r="Q97">
            <v>2024</v>
          </cell>
          <cell r="R97">
            <v>2025</v>
          </cell>
          <cell r="S97">
            <v>2026</v>
          </cell>
          <cell r="T97">
            <v>2027</v>
          </cell>
          <cell r="U97">
            <v>2028</v>
          </cell>
          <cell r="V97">
            <v>2029</v>
          </cell>
          <cell r="W97">
            <v>2030</v>
          </cell>
          <cell r="X97">
            <v>2031</v>
          </cell>
          <cell r="Y97">
            <v>2032</v>
          </cell>
          <cell r="Z97">
            <v>2033</v>
          </cell>
          <cell r="AA97">
            <v>2034</v>
          </cell>
          <cell r="AB97">
            <v>2035</v>
          </cell>
          <cell r="AC97">
            <v>2036</v>
          </cell>
          <cell r="AD97">
            <v>2037</v>
          </cell>
          <cell r="AE97">
            <v>2038</v>
          </cell>
          <cell r="AF97">
            <v>2039</v>
          </cell>
          <cell r="AG97">
            <v>2040</v>
          </cell>
          <cell r="AH97">
            <v>2041</v>
          </cell>
          <cell r="AI97">
            <v>2042</v>
          </cell>
          <cell r="AJ97">
            <v>2043</v>
          </cell>
          <cell r="AK97">
            <v>2044</v>
          </cell>
          <cell r="AL97">
            <v>2045</v>
          </cell>
          <cell r="AM97">
            <v>2046</v>
          </cell>
          <cell r="AN97">
            <v>2047</v>
          </cell>
          <cell r="AO97">
            <v>2048</v>
          </cell>
          <cell r="AP97">
            <v>2049</v>
          </cell>
          <cell r="AQ97">
            <v>2050</v>
          </cell>
        </row>
        <row r="98">
          <cell r="A98">
            <v>1</v>
          </cell>
          <cell r="B98" t="str">
            <v>Power Generation</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row>
        <row r="99">
          <cell r="A99">
            <v>2</v>
          </cell>
          <cell r="B99" t="str">
            <v>Iron &amp; Steel Industry</v>
          </cell>
          <cell r="C99">
            <v>645.7216187460798</v>
          </cell>
          <cell r="D99">
            <v>646.97080247723295</v>
          </cell>
          <cell r="E99">
            <v>621.14980636196685</v>
          </cell>
          <cell r="F99">
            <v>687.25550502470401</v>
          </cell>
          <cell r="G99">
            <v>676.98375772101519</v>
          </cell>
          <cell r="H99">
            <v>667.02618967215153</v>
          </cell>
          <cell r="I99">
            <v>657.36337708048598</v>
          </cell>
          <cell r="J99">
            <v>647.97746495915999</v>
          </cell>
          <cell r="K99">
            <v>638.85201188082249</v>
          </cell>
          <cell r="L99">
            <v>629.97185280515419</v>
          </cell>
          <cell r="M99">
            <v>621.32297757581694</v>
          </cell>
          <cell r="N99">
            <v>601.07863621705599</v>
          </cell>
          <cell r="O99">
            <v>581.17166693725028</v>
          </cell>
          <cell r="P99">
            <v>561.58533945983845</v>
          </cell>
          <cell r="Q99">
            <v>542.30401172559812</v>
          </cell>
          <cell r="R99">
            <v>523.31304282980614</v>
          </cell>
          <cell r="S99">
            <v>496.82330253463778</v>
          </cell>
          <cell r="T99">
            <v>470.84575468781026</v>
          </cell>
          <cell r="U99">
            <v>445.35561749333965</v>
          </cell>
          <cell r="V99">
            <v>420.32968249579079</v>
          </cell>
          <cell r="W99">
            <v>395.74619167126252</v>
          </cell>
          <cell r="X99">
            <v>370.67338967991111</v>
          </cell>
          <cell r="Y99">
            <v>345.82449067333425</v>
          </cell>
          <cell r="Z99">
            <v>321.18971210613216</v>
          </cell>
          <cell r="AA99">
            <v>296.75983313144212</v>
          </cell>
          <cell r="AB99">
            <v>272.52615485663154</v>
          </cell>
          <cell r="AC99">
            <v>249.51308110249025</v>
          </cell>
          <cell r="AD99">
            <v>226.72708244390685</v>
          </cell>
          <cell r="AE99">
            <v>204.15925448730437</v>
          </cell>
          <cell r="AF99">
            <v>181.80115239461998</v>
          </cell>
          <cell r="AG99">
            <v>159.64476161389314</v>
          </cell>
          <cell r="AH99">
            <v>145.55508642663671</v>
          </cell>
          <cell r="AI99">
            <v>131.50041133337683</v>
          </cell>
          <cell r="AJ99">
            <v>117.47931326962762</v>
          </cell>
          <cell r="AK99">
            <v>103.49044528625191</v>
          </cell>
          <cell r="AL99">
            <v>89.532531527641211</v>
          </cell>
          <cell r="AM99">
            <v>82.865110203062244</v>
          </cell>
          <cell r="AN99">
            <v>76.283711743638762</v>
          </cell>
          <cell r="AO99">
            <v>69.785062041341234</v>
          </cell>
          <cell r="AP99">
            <v>63.366051060574485</v>
          </cell>
          <cell r="AQ99">
            <v>57.02372268782338</v>
          </cell>
        </row>
        <row r="100">
          <cell r="A100">
            <v>3</v>
          </cell>
          <cell r="B100" t="str">
            <v>Cement</v>
          </cell>
          <cell r="C100">
            <v>224.14149170132296</v>
          </cell>
          <cell r="D100">
            <v>211.41352625153041</v>
          </cell>
          <cell r="E100">
            <v>217.67975540257288</v>
          </cell>
          <cell r="F100">
            <v>213.45045813783059</v>
          </cell>
          <cell r="G100">
            <v>205.81546461888004</v>
          </cell>
          <cell r="H100">
            <v>198.52352041296248</v>
          </cell>
          <cell r="I100">
            <v>191.55341686186773</v>
          </cell>
          <cell r="J100">
            <v>184.88565827680665</v>
          </cell>
          <cell r="K100">
            <v>178.50229242104967</v>
          </cell>
          <cell r="L100">
            <v>172.38676073261752</v>
          </cell>
          <cell r="M100">
            <v>166.52376565626597</v>
          </cell>
          <cell r="N100">
            <v>160.25378140463221</v>
          </cell>
          <cell r="O100">
            <v>154.14747903012412</v>
          </cell>
          <cell r="P100">
            <v>148.19674155080043</v>
          </cell>
          <cell r="Q100">
            <v>142.39397995211206</v>
          </cell>
          <cell r="R100">
            <v>136.7320909468655</v>
          </cell>
          <cell r="S100">
            <v>129.45522914259863</v>
          </cell>
          <cell r="T100">
            <v>122.35487285988333</v>
          </cell>
          <cell r="U100">
            <v>115.42248209810205</v>
          </cell>
          <cell r="V100">
            <v>108.65005904208941</v>
          </cell>
          <cell r="W100">
            <v>102.03010570672457</v>
          </cell>
          <cell r="X100">
            <v>95.409099717169198</v>
          </cell>
          <cell r="Y100">
            <v>88.870071509544914</v>
          </cell>
          <cell r="Z100">
            <v>82.409439392547768</v>
          </cell>
          <cell r="AA100">
            <v>76.023827330015891</v>
          </cell>
          <cell r="AB100">
            <v>69.710050389314347</v>
          </cell>
          <cell r="AC100">
            <v>64.58613027646183</v>
          </cell>
          <cell r="AD100">
            <v>59.368771630808446</v>
          </cell>
          <cell r="AE100">
            <v>54.061638497806918</v>
          </cell>
          <cell r="AF100">
            <v>48.668205821622365</v>
          </cell>
          <cell r="AG100">
            <v>43.191771489125145</v>
          </cell>
          <cell r="AH100">
            <v>39.454023102814766</v>
          </cell>
          <cell r="AI100">
            <v>35.709715279350348</v>
          </cell>
          <cell r="AJ100">
            <v>31.959114718074524</v>
          </cell>
          <cell r="AK100">
            <v>28.202473853401241</v>
          </cell>
          <cell r="AL100">
            <v>24.440031795964916</v>
          </cell>
          <cell r="AM100">
            <v>22.768816301651025</v>
          </cell>
          <cell r="AN100">
            <v>21.095525569276674</v>
          </cell>
          <cell r="AO100">
            <v>19.420238584278863</v>
          </cell>
          <cell r="AP100">
            <v>17.743030373968377</v>
          </cell>
          <cell r="AQ100">
            <v>16.063972252399516</v>
          </cell>
        </row>
        <row r="101">
          <cell r="A101">
            <v>4</v>
          </cell>
          <cell r="B101" t="str">
            <v>Chemical and Petrochemical Industry</v>
          </cell>
          <cell r="C101">
            <v>722.92779543628001</v>
          </cell>
          <cell r="D101">
            <v>686.58904765929549</v>
          </cell>
          <cell r="E101">
            <v>635.10248053493365</v>
          </cell>
          <cell r="F101">
            <v>664.48262968274696</v>
          </cell>
          <cell r="G101">
            <v>696.49496984979942</v>
          </cell>
          <cell r="H101">
            <v>726.49465412850282</v>
          </cell>
          <cell r="I101">
            <v>754.60611282438117</v>
          </cell>
          <cell r="J101">
            <v>780.94372632342595</v>
          </cell>
          <cell r="K101">
            <v>805.61281964332568</v>
          </cell>
          <cell r="L101">
            <v>828.71054117063534</v>
          </cell>
          <cell r="M101">
            <v>850.32664101844341</v>
          </cell>
          <cell r="N101">
            <v>829.99327384226717</v>
          </cell>
          <cell r="O101">
            <v>809.48182595256094</v>
          </cell>
          <cell r="P101">
            <v>788.80112836935734</v>
          </cell>
          <cell r="Q101">
            <v>767.95943770083738</v>
          </cell>
          <cell r="R101">
            <v>746.96448209915923</v>
          </cell>
          <cell r="S101">
            <v>713.83397778322262</v>
          </cell>
          <cell r="T101">
            <v>680.87280097762414</v>
          </cell>
          <cell r="U101">
            <v>648.07275898091075</v>
          </cell>
          <cell r="V101">
            <v>615.42617922783779</v>
          </cell>
          <cell r="W101">
            <v>582.92586865644421</v>
          </cell>
          <cell r="X101">
            <v>538.43902000583569</v>
          </cell>
          <cell r="Y101">
            <v>495.4504253425718</v>
          </cell>
          <cell r="Z101">
            <v>453.89462445107807</v>
          </cell>
          <cell r="AA101">
            <v>413.70991573951102</v>
          </cell>
          <cell r="AB101">
            <v>374.838090289462</v>
          </cell>
          <cell r="AC101">
            <v>333.67568280681019</v>
          </cell>
          <cell r="AD101">
            <v>294.71500350771981</v>
          </cell>
          <cell r="AE101">
            <v>257.86971507612509</v>
          </cell>
          <cell r="AF101">
            <v>223.05793606252934</v>
          </cell>
          <cell r="AG101">
            <v>190.20195708675394</v>
          </cell>
          <cell r="AH101">
            <v>170.97137906291468</v>
          </cell>
          <cell r="AI101">
            <v>152.31044115869466</v>
          </cell>
          <cell r="AJ101">
            <v>134.19598244703892</v>
          </cell>
          <cell r="AK101">
            <v>116.6060808077461</v>
          </cell>
          <cell r="AL101">
            <v>99.519971195400586</v>
          </cell>
          <cell r="AM101">
            <v>91.318034090804304</v>
          </cell>
          <cell r="AN101">
            <v>83.347518722667729</v>
          </cell>
          <cell r="AO101">
            <v>75.5996169704501</v>
          </cell>
          <cell r="AP101">
            <v>68.065962107042367</v>
          </cell>
          <cell r="AQ101">
            <v>60.738601491927369</v>
          </cell>
        </row>
        <row r="102">
          <cell r="A102">
            <v>5</v>
          </cell>
          <cell r="B102" t="str">
            <v>Aluminium</v>
          </cell>
          <cell r="C102">
            <v>354.64378874766624</v>
          </cell>
          <cell r="D102">
            <v>399.67564701752053</v>
          </cell>
          <cell r="E102">
            <v>433.70400638770781</v>
          </cell>
          <cell r="F102">
            <v>511.56187243924825</v>
          </cell>
          <cell r="G102">
            <v>515.79892241288007</v>
          </cell>
          <cell r="H102">
            <v>519.61357816441659</v>
          </cell>
          <cell r="I102">
            <v>523.03195376651729</v>
          </cell>
          <cell r="J102">
            <v>526.07805412456287</v>
          </cell>
          <cell r="K102">
            <v>528.77398370219828</v>
          </cell>
          <cell r="L102">
            <v>531.14013094108634</v>
          </cell>
          <cell r="M102">
            <v>533.19533161410823</v>
          </cell>
          <cell r="N102">
            <v>525.40230152504375</v>
          </cell>
          <cell r="O102">
            <v>517.06743300141318</v>
          </cell>
          <cell r="P102">
            <v>508.21759580342291</v>
          </cell>
          <cell r="Q102">
            <v>498.87791195334705</v>
          </cell>
          <cell r="R102">
            <v>489.07189556332145</v>
          </cell>
          <cell r="S102">
            <v>472.97512570523008</v>
          </cell>
          <cell r="T102">
            <v>456.31763703414805</v>
          </cell>
          <cell r="U102">
            <v>439.12655923399223</v>
          </cell>
          <cell r="V102">
            <v>421.42729958599966</v>
          </cell>
          <cell r="W102">
            <v>403.24367752244609</v>
          </cell>
          <cell r="X102">
            <v>381.7633735195642</v>
          </cell>
          <cell r="Y102">
            <v>359.88214865928722</v>
          </cell>
          <cell r="Z102">
            <v>337.61751957495926</v>
          </cell>
          <cell r="AA102">
            <v>314.98599712209216</v>
          </cell>
          <cell r="AB102">
            <v>292.00315754454942</v>
          </cell>
          <cell r="AC102">
            <v>267.95929417349527</v>
          </cell>
          <cell r="AD102">
            <v>244.03676101258617</v>
          </cell>
          <cell r="AE102">
            <v>220.23080028800601</v>
          </cell>
          <cell r="AF102">
            <v>196.53689977451822</v>
          </cell>
          <cell r="AG102">
            <v>172.95077715630458</v>
          </cell>
          <cell r="AH102">
            <v>156.33512296241821</v>
          </cell>
          <cell r="AI102">
            <v>140.04935602579653</v>
          </cell>
          <cell r="AJ102">
            <v>124.08006350131376</v>
          </cell>
          <cell r="AK102">
            <v>108.41454995573483</v>
          </cell>
          <cell r="AL102">
            <v>93.040790035431698</v>
          </cell>
          <cell r="AM102">
            <v>85.876593458458444</v>
          </cell>
          <cell r="AN102">
            <v>78.842237739443277</v>
          </cell>
          <cell r="AO102">
            <v>71.932781017930438</v>
          </cell>
          <cell r="AP102">
            <v>65.143529080477634</v>
          </cell>
          <cell r="AQ102">
            <v>58.47002003995366</v>
          </cell>
        </row>
        <row r="103">
          <cell r="A103">
            <v>6</v>
          </cell>
          <cell r="B103" t="str">
            <v>Pulp &amp; Paper</v>
          </cell>
          <cell r="C103">
            <v>321.70364346665923</v>
          </cell>
          <cell r="D103">
            <v>298.55716723180456</v>
          </cell>
          <cell r="E103">
            <v>291.85973751725032</v>
          </cell>
          <cell r="F103">
            <v>286.4387238159207</v>
          </cell>
          <cell r="G103">
            <v>279.62836762304772</v>
          </cell>
          <cell r="H103">
            <v>273.08863886393704</v>
          </cell>
          <cell r="I103">
            <v>266.80280628588861</v>
          </cell>
          <cell r="J103">
            <v>260.75548997695961</v>
          </cell>
          <cell r="K103">
            <v>254.9325276357788</v>
          </cell>
          <cell r="L103">
            <v>249.32085641404703</v>
          </cell>
          <cell r="M103">
            <v>243.90840825635286</v>
          </cell>
          <cell r="N103">
            <v>234.72802214937772</v>
          </cell>
          <cell r="O103">
            <v>225.7870955987718</v>
          </cell>
          <cell r="P103">
            <v>217.07375380856598</v>
          </cell>
          <cell r="Q103">
            <v>208.57689437641068</v>
          </cell>
          <cell r="R103">
            <v>200.28612549821602</v>
          </cell>
          <cell r="S103">
            <v>189.61851595212929</v>
          </cell>
          <cell r="T103">
            <v>179.21046252026053</v>
          </cell>
          <cell r="U103">
            <v>169.04940690213149</v>
          </cell>
          <cell r="V103">
            <v>159.12358809554618</v>
          </cell>
          <cell r="W103">
            <v>149.42198011182552</v>
          </cell>
          <cell r="X103">
            <v>139.05345632915842</v>
          </cell>
          <cell r="Y103">
            <v>128.90893767107517</v>
          </cell>
          <cell r="Z103">
            <v>118.97863712958576</v>
          </cell>
          <cell r="AA103">
            <v>109.25332965147192</v>
          </cell>
          <cell r="AB103">
            <v>99.724312375850047</v>
          </cell>
          <cell r="AC103">
            <v>90.885709966493351</v>
          </cell>
          <cell r="AD103">
            <v>82.213154983429831</v>
          </cell>
          <cell r="AE103">
            <v>73.700136137376418</v>
          </cell>
          <cell r="AF103">
            <v>65.340478186515583</v>
          </cell>
          <cell r="AG103">
            <v>57.128320533397556</v>
          </cell>
          <cell r="AH103">
            <v>51.60061610585349</v>
          </cell>
          <cell r="AI103">
            <v>46.190367062461462</v>
          </cell>
          <cell r="AJ103">
            <v>40.892797799307949</v>
          </cell>
          <cell r="AK103">
            <v>35.703388144865343</v>
          </cell>
          <cell r="AL103">
            <v>30.617856507472137</v>
          </cell>
          <cell r="AM103">
            <v>28.179132826769017</v>
          </cell>
          <cell r="AN103">
            <v>25.797070300234065</v>
          </cell>
          <cell r="AO103">
            <v>23.469512353106719</v>
          </cell>
          <cell r="AP103">
            <v>21.19441048112002</v>
          </cell>
          <cell r="AQ103">
            <v>18.969817564710858</v>
          </cell>
        </row>
        <row r="104">
          <cell r="A104">
            <v>7</v>
          </cell>
          <cell r="B104" t="str">
            <v>Manufacture of light-road automotor vehicles</v>
          </cell>
          <cell r="C104">
            <v>2536.7641811029343</v>
          </cell>
          <cell r="D104">
            <v>2383.0305000772173</v>
          </cell>
          <cell r="E104">
            <v>2530.2055316970827</v>
          </cell>
          <cell r="F104">
            <v>2429.6565347210544</v>
          </cell>
          <cell r="G104">
            <v>2400.5374643133837</v>
          </cell>
          <cell r="H104">
            <v>2372.1317730263613</v>
          </cell>
          <cell r="I104">
            <v>2344.3953569560599</v>
          </cell>
          <cell r="J104">
            <v>2317.2876743587813</v>
          </cell>
          <cell r="K104">
            <v>2290.771393135713</v>
          </cell>
          <cell r="L104">
            <v>2264.8120793674871</v>
          </cell>
          <cell r="M104">
            <v>2239.377921427923</v>
          </cell>
          <cell r="N104">
            <v>2172.9761841381469</v>
          </cell>
          <cell r="O104">
            <v>2107.2208493595099</v>
          </cell>
          <cell r="P104">
            <v>2042.0798620007458</v>
          </cell>
          <cell r="Q104">
            <v>1977.5232519872948</v>
          </cell>
          <cell r="R104">
            <v>1913.5229674495188</v>
          </cell>
          <cell r="S104">
            <v>1829.9999075808141</v>
          </cell>
          <cell r="T104">
            <v>1746.7487728022197</v>
          </cell>
          <cell r="U104">
            <v>1663.756406355709</v>
          </cell>
          <cell r="V104">
            <v>1581.0104867762618</v>
          </cell>
          <cell r="W104">
            <v>1498.4994626389623</v>
          </cell>
          <cell r="X104">
            <v>1411.8128560560685</v>
          </cell>
          <cell r="Y104">
            <v>1324.6978422726088</v>
          </cell>
          <cell r="Z104">
            <v>1237.1731388277581</v>
          </cell>
          <cell r="AA104">
            <v>1149.2563885287143</v>
          </cell>
          <cell r="AB104">
            <v>1060.9642354958969</v>
          </cell>
          <cell r="AC104">
            <v>981.92982465382954</v>
          </cell>
          <cell r="AD104">
            <v>901.68192807131254</v>
          </cell>
          <cell r="AE104">
            <v>820.26813068762056</v>
          </cell>
          <cell r="AF104">
            <v>737.73356158458773</v>
          </cell>
          <cell r="AG104">
            <v>654.1210504018801</v>
          </cell>
          <cell r="AH104">
            <v>598.10669798976835</v>
          </cell>
          <cell r="AI104">
            <v>541.86507024543198</v>
          </cell>
          <cell r="AJ104">
            <v>485.40540792844826</v>
          </cell>
          <cell r="AK104">
            <v>428.73645753854646</v>
          </cell>
          <cell r="AL104">
            <v>371.86650392511257</v>
          </cell>
          <cell r="AM104">
            <v>346.17038544495222</v>
          </cell>
          <cell r="AN104">
            <v>320.48868150394799</v>
          </cell>
          <cell r="AO104">
            <v>294.82084347170598</v>
          </cell>
          <cell r="AP104">
            <v>269.1663502108546</v>
          </cell>
          <cell r="AQ104">
            <v>243.52470637618592</v>
          </cell>
        </row>
        <row r="105">
          <cell r="A105">
            <v>8</v>
          </cell>
          <cell r="B105" t="str">
            <v>Other Industry</v>
          </cell>
          <cell r="C105">
            <v>2536.7641811029343</v>
          </cell>
          <cell r="D105">
            <v>2383.0305000772173</v>
          </cell>
          <cell r="E105">
            <v>2530.2055316970827</v>
          </cell>
          <cell r="F105">
            <v>2429.6565347210544</v>
          </cell>
          <cell r="G105">
            <v>2400.5374643133837</v>
          </cell>
          <cell r="H105">
            <v>2372.1317730263613</v>
          </cell>
          <cell r="I105">
            <v>2344.3953569560599</v>
          </cell>
          <cell r="J105">
            <v>2317.2876743587813</v>
          </cell>
          <cell r="K105">
            <v>2290.771393135713</v>
          </cell>
          <cell r="L105">
            <v>2264.8120793674871</v>
          </cell>
          <cell r="M105">
            <v>2239.377921427923</v>
          </cell>
          <cell r="N105">
            <v>2172.9761841381469</v>
          </cell>
          <cell r="O105">
            <v>2107.2208493595099</v>
          </cell>
          <cell r="P105">
            <v>2042.0798620007458</v>
          </cell>
          <cell r="Q105">
            <v>1977.5232519872948</v>
          </cell>
          <cell r="R105">
            <v>1913.5229674495188</v>
          </cell>
          <cell r="S105">
            <v>1829.9999075808141</v>
          </cell>
          <cell r="T105">
            <v>1746.7487728022197</v>
          </cell>
          <cell r="U105">
            <v>1663.756406355709</v>
          </cell>
          <cell r="V105">
            <v>1581.0104867762618</v>
          </cell>
          <cell r="W105">
            <v>1498.4994626389623</v>
          </cell>
          <cell r="X105">
            <v>1411.8128560560685</v>
          </cell>
          <cell r="Y105">
            <v>1324.6978422726088</v>
          </cell>
          <cell r="Z105">
            <v>1237.1731388277581</v>
          </cell>
          <cell r="AA105">
            <v>1149.2563885287143</v>
          </cell>
          <cell r="AB105">
            <v>1060.9642354958969</v>
          </cell>
          <cell r="AC105">
            <v>981.92982465382954</v>
          </cell>
          <cell r="AD105">
            <v>901.68192807131254</v>
          </cell>
          <cell r="AE105">
            <v>820.26813068762056</v>
          </cell>
          <cell r="AF105">
            <v>737.73356158458773</v>
          </cell>
          <cell r="AG105">
            <v>654.1210504018801</v>
          </cell>
          <cell r="AH105">
            <v>598.10669798976835</v>
          </cell>
          <cell r="AI105">
            <v>541.86507024543198</v>
          </cell>
          <cell r="AJ105">
            <v>485.40540792844826</v>
          </cell>
          <cell r="AK105">
            <v>428.73645753854646</v>
          </cell>
          <cell r="AL105">
            <v>371.86650392511257</v>
          </cell>
          <cell r="AM105">
            <v>346.17038544495222</v>
          </cell>
          <cell r="AN105">
            <v>320.48868150394799</v>
          </cell>
          <cell r="AO105">
            <v>294.82084347170598</v>
          </cell>
          <cell r="AP105">
            <v>269.1663502108546</v>
          </cell>
          <cell r="AQ105">
            <v>243.52470637618592</v>
          </cell>
        </row>
        <row r="106">
          <cell r="A106">
            <v>9</v>
          </cell>
          <cell r="B106" t="str">
            <v>Passenger transport - Air</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row>
        <row r="107">
          <cell r="A107">
            <v>10</v>
          </cell>
          <cell r="B107" t="str">
            <v>Passenger transport - Light Road</v>
          </cell>
          <cell r="C107">
            <v>13.921418691147164</v>
          </cell>
          <cell r="D107">
            <v>14.762685878221459</v>
          </cell>
          <cell r="E107">
            <v>16.369741931620243</v>
          </cell>
          <cell r="F107">
            <v>17.915500460886797</v>
          </cell>
          <cell r="G107">
            <v>17.639677410538173</v>
          </cell>
          <cell r="H107">
            <v>17.372489421283259</v>
          </cell>
          <cell r="I107">
            <v>17.113402639671829</v>
          </cell>
          <cell r="J107">
            <v>16.861926330240017</v>
          </cell>
          <cell r="K107">
            <v>16.617608608506387</v>
          </cell>
          <cell r="L107">
            <v>16.38003267085443</v>
          </cell>
          <cell r="M107">
            <v>16.148813455081417</v>
          </cell>
          <cell r="N107">
            <v>20.864096286147419</v>
          </cell>
          <cell r="O107">
            <v>25.133285593846139</v>
          </cell>
          <cell r="P107">
            <v>28.978503149609473</v>
          </cell>
          <cell r="Q107">
            <v>32.420431818874079</v>
          </cell>
          <cell r="R107">
            <v>35.478430680771709</v>
          </cell>
          <cell r="S107">
            <v>42.921245444936453</v>
          </cell>
          <cell r="T107">
            <v>49.289891317088468</v>
          </cell>
          <cell r="U107">
            <v>54.636340626028385</v>
          </cell>
          <cell r="V107">
            <v>59.00926609416814</v>
          </cell>
          <cell r="W107">
            <v>62.454298602053932</v>
          </cell>
          <cell r="X107">
            <v>71.149361647575816</v>
          </cell>
          <cell r="Y107">
            <v>77.923062768072825</v>
          </cell>
          <cell r="Z107">
            <v>82.859348188197174</v>
          </cell>
          <cell r="AA107">
            <v>86.037344070991594</v>
          </cell>
          <cell r="AB107">
            <v>87.531697572727424</v>
          </cell>
          <cell r="AC107">
            <v>91.894877790866943</v>
          </cell>
          <cell r="AD107">
            <v>93.995565616227921</v>
          </cell>
          <cell r="AE107">
            <v>93.922481137997579</v>
          </cell>
          <cell r="AF107">
            <v>91.759765603937339</v>
          </cell>
          <cell r="AG107">
            <v>87.587273049987573</v>
          </cell>
          <cell r="AH107">
            <v>86.381751919919395</v>
          </cell>
          <cell r="AI107">
            <v>83.786037281395636</v>
          </cell>
          <cell r="AJ107">
            <v>79.856652840055702</v>
          </cell>
          <cell r="AK107">
            <v>74.647099022126355</v>
          </cell>
          <cell r="AL107">
            <v>68.208052439639062</v>
          </cell>
          <cell r="AM107">
            <v>66.715142053875141</v>
          </cell>
          <cell r="AN107">
            <v>64.671830474673513</v>
          </cell>
          <cell r="AO107">
            <v>62.099066469128118</v>
          </cell>
          <cell r="AP107">
            <v>59.016749017587372</v>
          </cell>
          <cell r="AQ107">
            <v>55.443792258794652</v>
          </cell>
        </row>
        <row r="108">
          <cell r="A108">
            <v>11</v>
          </cell>
          <cell r="B108" t="str">
            <v>Passenger transport - Heavy Road</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row>
        <row r="109">
          <cell r="A109">
            <v>12</v>
          </cell>
          <cell r="B109" t="str">
            <v>Passenger transport - Rail</v>
          </cell>
          <cell r="C109">
            <v>71.927329904260347</v>
          </cell>
          <cell r="D109">
            <v>70.532832529280284</v>
          </cell>
          <cell r="E109">
            <v>62.20501934015693</v>
          </cell>
          <cell r="F109">
            <v>70.033319983466569</v>
          </cell>
          <cell r="G109">
            <v>68.071062827846021</v>
          </cell>
          <cell r="H109">
            <v>66.19138374438306</v>
          </cell>
          <cell r="I109">
            <v>64.389177431765262</v>
          </cell>
          <cell r="J109">
            <v>62.659750930891917</v>
          </cell>
          <cell r="K109">
            <v>60.998782819029557</v>
          </cell>
          <cell r="L109">
            <v>59.4022871557492</v>
          </cell>
          <cell r="M109">
            <v>57.866581547375084</v>
          </cell>
          <cell r="N109">
            <v>56.66791583891893</v>
          </cell>
          <cell r="O109">
            <v>55.441071162895895</v>
          </cell>
          <cell r="P109">
            <v>54.187444913903889</v>
          </cell>
          <cell r="Q109">
            <v>52.908343593301439</v>
          </cell>
          <cell r="R109">
            <v>51.60499008112248</v>
          </cell>
          <cell r="S109">
            <v>49.399924002662708</v>
          </cell>
          <cell r="T109">
            <v>47.196498249567334</v>
          </cell>
          <cell r="U109">
            <v>44.994633456729261</v>
          </cell>
          <cell r="V109">
            <v>42.794255297753665</v>
          </cell>
          <cell r="W109">
            <v>40.595294091335056</v>
          </cell>
          <cell r="X109">
            <v>38.466931297266605</v>
          </cell>
          <cell r="Y109">
            <v>36.292933344033919</v>
          </cell>
          <cell r="Z109">
            <v>34.075294077394702</v>
          </cell>
          <cell r="AA109">
            <v>31.815892859585436</v>
          </cell>
          <cell r="AB109">
            <v>29.516502669873201</v>
          </cell>
          <cell r="AC109">
            <v>27.522285006711911</v>
          </cell>
          <cell r="AD109">
            <v>25.453666441208625</v>
          </cell>
          <cell r="AE109">
            <v>23.31356448800889</v>
          </cell>
          <cell r="AF109">
            <v>21.104746088905593</v>
          </cell>
          <cell r="AG109">
            <v>18.829837202928928</v>
          </cell>
          <cell r="AH109">
            <v>17.461234038509271</v>
          </cell>
          <cell r="AI109">
            <v>16.033413367134209</v>
          </cell>
          <cell r="AJ109">
            <v>14.548782906083021</v>
          </cell>
          <cell r="AK109">
            <v>13.009621591232571</v>
          </cell>
          <cell r="AL109">
            <v>11.418088073595966</v>
          </cell>
          <cell r="AM109">
            <v>10.852256137074889</v>
          </cell>
          <cell r="AN109">
            <v>10.248541441341702</v>
          </cell>
          <cell r="AO109">
            <v>9.6083858384655407</v>
          </cell>
          <cell r="AP109">
            <v>8.9331589262781161</v>
          </cell>
          <cell r="AQ109">
            <v>8.2241625183878746</v>
          </cell>
        </row>
        <row r="110">
          <cell r="A110">
            <v>13</v>
          </cell>
          <cell r="B110" t="str">
            <v>Other transport</v>
          </cell>
          <cell r="C110">
            <v>68.446975231473544</v>
          </cell>
          <cell r="D110">
            <v>67.252235667453306</v>
          </cell>
          <cell r="E110">
            <v>65.478967726480974</v>
          </cell>
          <cell r="F110">
            <v>70.033319983466569</v>
          </cell>
          <cell r="G110">
            <v>68.523362248629056</v>
          </cell>
          <cell r="H110">
            <v>67.071003461916391</v>
          </cell>
          <cell r="I110">
            <v>65.672682629740649</v>
          </cell>
          <cell r="J110">
            <v>64.325126370915626</v>
          </cell>
          <cell r="K110">
            <v>63.025320454213265</v>
          </cell>
          <cell r="L110">
            <v>61.770484650330559</v>
          </cell>
          <cell r="M110">
            <v>60.558050456555321</v>
          </cell>
          <cell r="N110">
            <v>60.016474502127778</v>
          </cell>
          <cell r="O110">
            <v>59.383547334479609</v>
          </cell>
          <cell r="P110">
            <v>58.663799058965523</v>
          </cell>
          <cell r="Q110">
            <v>57.861465121184985</v>
          </cell>
          <cell r="R110">
            <v>56.980509881239421</v>
          </cell>
          <cell r="S110">
            <v>56.485978675175815</v>
          </cell>
          <cell r="T110">
            <v>55.760378980335602</v>
          </cell>
          <cell r="U110">
            <v>54.814890758793183</v>
          </cell>
          <cell r="V110">
            <v>53.659984181948921</v>
          </cell>
          <cell r="W110">
            <v>52.305475079220166</v>
          </cell>
          <cell r="X110">
            <v>51.482058427920713</v>
          </cell>
          <cell r="Y110">
            <v>50.303073054047012</v>
          </cell>
          <cell r="Z110">
            <v>48.784054110802479</v>
          </cell>
          <cell r="AA110">
            <v>46.939644747064428</v>
          </cell>
          <cell r="AB110">
            <v>44.783659223255889</v>
          </cell>
          <cell r="AC110">
            <v>43.222917393091194</v>
          </cell>
          <cell r="AD110">
            <v>41.258230571370845</v>
          </cell>
          <cell r="AE110">
            <v>38.90543882712312</v>
          </cell>
          <cell r="AF110">
            <v>36.179564723838155</v>
          </cell>
          <cell r="AG110">
            <v>33.094865386965999</v>
          </cell>
          <cell r="AH110">
            <v>31.532934410719687</v>
          </cell>
          <cell r="AI110">
            <v>29.684719605437053</v>
          </cell>
          <cell r="AJ110">
            <v>27.56186094985728</v>
          </cell>
          <cell r="AK110">
            <v>25.175375836006815</v>
          </cell>
          <cell r="AL110">
            <v>22.535700145255195</v>
          </cell>
          <cell r="AM110">
            <v>21.759740040750668</v>
          </cell>
          <cell r="AN110">
            <v>20.850480863419328</v>
          </cell>
          <cell r="AO110">
            <v>19.812996096501731</v>
          </cell>
          <cell r="AP110">
            <v>18.652104980330694</v>
          </cell>
          <cell r="AQ110">
            <v>17.372388241088991</v>
          </cell>
        </row>
        <row r="111">
          <cell r="A111">
            <v>14</v>
          </cell>
          <cell r="B111" t="str">
            <v>Services / Commercial Buildings</v>
          </cell>
          <cell r="C111">
            <v>2642.2926091621603</v>
          </cell>
          <cell r="D111">
            <v>2505.2411548852078</v>
          </cell>
          <cell r="E111">
            <v>2579.6311042792395</v>
          </cell>
          <cell r="F111">
            <v>2886.9753618435338</v>
          </cell>
          <cell r="G111">
            <v>2845.5955081576863</v>
          </cell>
          <cell r="H111">
            <v>2805.4377409111148</v>
          </cell>
          <cell r="I111">
            <v>2766.4265059120175</v>
          </cell>
          <cell r="J111">
            <v>2728.492351288643</v>
          </cell>
          <cell r="K111">
            <v>2691.5713235968997</v>
          </cell>
          <cell r="L111">
            <v>2655.6044342503646</v>
          </cell>
          <cell r="M111">
            <v>2620.5371869008241</v>
          </cell>
          <cell r="N111">
            <v>2540.2626373447861</v>
          </cell>
          <cell r="O111">
            <v>2460.9676050730482</v>
          </cell>
          <cell r="P111">
            <v>2382.603515837518</v>
          </cell>
          <cell r="Q111">
            <v>2305.1249548919068</v>
          </cell>
          <cell r="R111">
            <v>2228.4894142157573</v>
          </cell>
          <cell r="S111">
            <v>2120.3830966281862</v>
          </cell>
          <cell r="T111">
            <v>2013.8939949131277</v>
          </cell>
          <cell r="U111">
            <v>1908.943862087549</v>
          </cell>
          <cell r="V111">
            <v>1805.4594188935707</v>
          </cell>
          <cell r="W111">
            <v>1703.3719657208771</v>
          </cell>
          <cell r="X111">
            <v>1585.7834606770105</v>
          </cell>
          <cell r="Y111">
            <v>1470.6542178091977</v>
          </cell>
          <cell r="Z111">
            <v>1357.8767894926978</v>
          </cell>
          <cell r="AA111">
            <v>1247.3498975782088</v>
          </cell>
          <cell r="AB111">
            <v>1138.9779968560663</v>
          </cell>
          <cell r="AC111">
            <v>1038.6975725940906</v>
          </cell>
          <cell r="AD111">
            <v>940.18097834879939</v>
          </cell>
          <cell r="AE111">
            <v>843.35904829365086</v>
          </cell>
          <cell r="AF111">
            <v>748.16618624855778</v>
          </cell>
          <cell r="AG111">
            <v>654.54013832661394</v>
          </cell>
          <cell r="AH111">
            <v>592.17271438879357</v>
          </cell>
          <cell r="AI111">
            <v>530.94245711621568</v>
          </cell>
          <cell r="AJ111">
            <v>470.8031305903134</v>
          </cell>
          <cell r="AK111">
            <v>411.71097190979918</v>
          </cell>
          <cell r="AL111">
            <v>353.62452802978436</v>
          </cell>
          <cell r="AM111">
            <v>326.65175095525507</v>
          </cell>
          <cell r="AN111">
            <v>300.12841145565153</v>
          </cell>
          <cell r="AO111">
            <v>274.03740353049136</v>
          </cell>
          <cell r="AP111">
            <v>248.36247839692723</v>
          </cell>
          <cell r="AQ111">
            <v>223.08819145790866</v>
          </cell>
        </row>
        <row r="119">
          <cell r="A119" t="str">
            <v>Code</v>
          </cell>
          <cell r="B119" t="str">
            <v>Sector</v>
          </cell>
          <cell r="C119">
            <v>2010</v>
          </cell>
          <cell r="D119">
            <v>2011</v>
          </cell>
          <cell r="E119">
            <v>2012</v>
          </cell>
          <cell r="F119">
            <v>2013</v>
          </cell>
          <cell r="G119">
            <v>2014</v>
          </cell>
          <cell r="H119">
            <v>2015</v>
          </cell>
          <cell r="I119">
            <v>2016</v>
          </cell>
          <cell r="J119">
            <v>2017</v>
          </cell>
          <cell r="K119">
            <v>2018</v>
          </cell>
          <cell r="L119">
            <v>2019</v>
          </cell>
          <cell r="M119">
            <v>2020</v>
          </cell>
          <cell r="N119">
            <v>2021</v>
          </cell>
          <cell r="O119">
            <v>2022</v>
          </cell>
          <cell r="P119">
            <v>2023</v>
          </cell>
          <cell r="Q119">
            <v>2024</v>
          </cell>
          <cell r="R119">
            <v>2025</v>
          </cell>
          <cell r="S119">
            <v>2026</v>
          </cell>
          <cell r="T119">
            <v>2027</v>
          </cell>
          <cell r="U119">
            <v>2028</v>
          </cell>
          <cell r="V119">
            <v>2029</v>
          </cell>
          <cell r="W119">
            <v>2030</v>
          </cell>
          <cell r="X119">
            <v>2031</v>
          </cell>
          <cell r="Y119">
            <v>2032</v>
          </cell>
          <cell r="Z119">
            <v>2033</v>
          </cell>
          <cell r="AA119">
            <v>2034</v>
          </cell>
          <cell r="AB119">
            <v>2035</v>
          </cell>
          <cell r="AC119">
            <v>2036</v>
          </cell>
          <cell r="AD119">
            <v>2037</v>
          </cell>
          <cell r="AE119">
            <v>2038</v>
          </cell>
          <cell r="AF119">
            <v>2039</v>
          </cell>
          <cell r="AG119">
            <v>2040</v>
          </cell>
          <cell r="AH119">
            <v>2041</v>
          </cell>
          <cell r="AI119">
            <v>2042</v>
          </cell>
          <cell r="AJ119">
            <v>2043</v>
          </cell>
          <cell r="AK119">
            <v>2044</v>
          </cell>
          <cell r="AL119">
            <v>2045</v>
          </cell>
          <cell r="AM119">
            <v>2046</v>
          </cell>
          <cell r="AN119">
            <v>2047</v>
          </cell>
          <cell r="AO119">
            <v>2048</v>
          </cell>
          <cell r="AP119">
            <v>2049</v>
          </cell>
          <cell r="AQ119">
            <v>2050</v>
          </cell>
          <cell r="AR119" t="str">
            <v>Unit</v>
          </cell>
        </row>
        <row r="120">
          <cell r="A120">
            <v>1</v>
          </cell>
          <cell r="B120" t="str">
            <v>Power Generation</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t="str">
            <v>tCO2 / MWh</v>
          </cell>
        </row>
        <row r="121">
          <cell r="A121">
            <v>2</v>
          </cell>
          <cell r="B121" t="str">
            <v>Iron &amp; Steel Industry</v>
          </cell>
          <cell r="C121">
            <v>0.44835565395704052</v>
          </cell>
          <cell r="D121">
            <v>0.42611526212028755</v>
          </cell>
          <cell r="E121">
            <v>0.40177691714527131</v>
          </cell>
          <cell r="F121">
            <v>0.41669425710766733</v>
          </cell>
          <cell r="G121">
            <v>0.40691288976383655</v>
          </cell>
          <cell r="H121">
            <v>0.39748664711024523</v>
          </cell>
          <cell r="I121">
            <v>0.38839498678230355</v>
          </cell>
          <cell r="J121">
            <v>0.37961897884703144</v>
          </cell>
          <cell r="K121">
            <v>0.37114114815107446</v>
          </cell>
          <cell r="L121">
            <v>0.36294533493352327</v>
          </cell>
          <cell r="M121">
            <v>0.3550165712746699</v>
          </cell>
          <cell r="N121">
            <v>0.33877296335755153</v>
          </cell>
          <cell r="O121">
            <v>0.3231533349898274</v>
          </cell>
          <cell r="P121">
            <v>0.30812369508239101</v>
          </cell>
          <cell r="Q121">
            <v>0.29365242037924083</v>
          </cell>
          <cell r="R121">
            <v>0.27971005605202176</v>
          </cell>
          <cell r="S121">
            <v>0.26223455919761912</v>
          </cell>
          <cell r="T121">
            <v>0.24545723116451762</v>
          </cell>
          <cell r="U121">
            <v>0.22933978727353369</v>
          </cell>
          <cell r="V121">
            <v>0.21384658693684241</v>
          </cell>
          <cell r="W121">
            <v>0.19894441460276782</v>
          </cell>
          <cell r="X121">
            <v>0.1844246402245662</v>
          </cell>
          <cell r="Y121">
            <v>0.17031061002469547</v>
          </cell>
          <cell r="Z121">
            <v>0.15658529427341725</v>
          </cell>
          <cell r="AA121">
            <v>0.14323261363343301</v>
          </cell>
          <cell r="AB121">
            <v>0.13023737324753321</v>
          </cell>
          <cell r="AC121">
            <v>0.11831773647658349</v>
          </cell>
          <cell r="AD121">
            <v>0.10668785652568027</v>
          </cell>
          <cell r="AE121">
            <v>9.5336956641808718E-2</v>
          </cell>
          <cell r="AF121">
            <v>8.4254798787790255E-2</v>
          </cell>
          <cell r="AG121">
            <v>7.343164997793597E-2</v>
          </cell>
          <cell r="AH121">
            <v>6.6673968325936042E-2</v>
          </cell>
          <cell r="AI121">
            <v>5.9987914003385358E-2</v>
          </cell>
          <cell r="AJ121">
            <v>5.3371959169456397E-2</v>
          </cell>
          <cell r="AK121">
            <v>4.6824635385101378E-2</v>
          </cell>
          <cell r="AL121">
            <v>4.0344530141896609E-2</v>
          </cell>
          <cell r="AM121">
            <v>3.7288720284711585E-2</v>
          </cell>
          <cell r="AN121">
            <v>3.4279965377372858E-2</v>
          </cell>
          <cell r="AO121">
            <v>3.1316602418339556E-2</v>
          </cell>
          <cell r="AP121">
            <v>2.8397051049970066E-2</v>
          </cell>
          <cell r="AQ121">
            <v>2.551980845043118E-2</v>
          </cell>
          <cell r="AR121" t="str">
            <v>tCO2 / ton crude steel</v>
          </cell>
        </row>
        <row r="122">
          <cell r="A122">
            <v>3</v>
          </cell>
          <cell r="B122" t="str">
            <v>Cement</v>
          </cell>
          <cell r="C122">
            <v>6.5746071066304382E-2</v>
          </cell>
          <cell r="D122">
            <v>5.8157761373177762E-2</v>
          </cell>
          <cell r="E122">
            <v>5.6752772806940945E-2</v>
          </cell>
          <cell r="F122">
            <v>5.238901704175368E-2</v>
          </cell>
          <cell r="G122">
            <v>5.0086946633730721E-2</v>
          </cell>
          <cell r="H122">
            <v>4.7906353575623083E-2</v>
          </cell>
          <cell r="I122">
            <v>4.5839125288536654E-2</v>
          </cell>
          <cell r="J122">
            <v>4.3877823939326613E-2</v>
          </cell>
          <cell r="K122">
            <v>4.2015618883012952E-2</v>
          </cell>
          <cell r="L122">
            <v>4.0246227009685033E-2</v>
          </cell>
          <cell r="M122">
            <v>3.8563859940386185E-2</v>
          </cell>
          <cell r="N122">
            <v>3.7044377526794549E-2</v>
          </cell>
          <cell r="O122">
            <v>3.5568178028587048E-2</v>
          </cell>
          <cell r="P122">
            <v>3.413315670849594E-2</v>
          </cell>
          <cell r="Q122">
            <v>3.2737345435029604E-2</v>
          </cell>
          <cell r="R122">
            <v>3.1378901755958213E-2</v>
          </cell>
          <cell r="S122">
            <v>2.96687482520929E-2</v>
          </cell>
          <cell r="T122">
            <v>2.8003610686560182E-2</v>
          </cell>
          <cell r="U122">
            <v>2.6381355006130237E-2</v>
          </cell>
          <cell r="V122">
            <v>2.4799982410619849E-2</v>
          </cell>
          <cell r="W122">
            <v>2.3257618788497955E-2</v>
          </cell>
          <cell r="X122">
            <v>2.1741194666496128E-2</v>
          </cell>
          <cell r="Y122">
            <v>2.0244445193962041E-2</v>
          </cell>
          <cell r="Z122">
            <v>1.8766535276835892E-2</v>
          </cell>
          <cell r="AA122">
            <v>1.7306677739008999E-2</v>
          </cell>
          <cell r="AB122">
            <v>1.586412993182771E-2</v>
          </cell>
          <cell r="AC122">
            <v>1.4614119205662397E-2</v>
          </cell>
          <cell r="AD122">
            <v>1.3357283093546066E-2</v>
          </cell>
          <cell r="AE122">
            <v>1.2094556932093069E-2</v>
          </cell>
          <cell r="AF122">
            <v>1.0826812982248551E-2</v>
          </cell>
          <cell r="AG122">
            <v>9.5548648546344445E-3</v>
          </cell>
          <cell r="AH122">
            <v>8.7076703081688661E-3</v>
          </cell>
          <cell r="AI122">
            <v>7.8629692589864599E-3</v>
          </cell>
          <cell r="AJ122">
            <v>7.0208029511501348E-3</v>
          </cell>
          <cell r="AK122">
            <v>6.181209120603934E-3</v>
          </cell>
          <cell r="AL122">
            <v>5.3442222414538491E-3</v>
          </cell>
          <cell r="AM122">
            <v>4.9804194047271292E-3</v>
          </cell>
          <cell r="AN122">
            <v>4.6159232571534479E-3</v>
          </cell>
          <cell r="AO122">
            <v>4.2507504031842743E-3</v>
          </cell>
          <cell r="AP122">
            <v>3.8849166024731122E-3</v>
          </cell>
          <cell r="AQ122">
            <v>3.5184368221183255E-3</v>
          </cell>
          <cell r="AR122" t="str">
            <v>tCO2 / tons cement</v>
          </cell>
        </row>
        <row r="123">
          <cell r="A123">
            <v>4</v>
          </cell>
          <cell r="B123" t="str">
            <v>Chemical and Petrochemical Industry</v>
          </cell>
          <cell r="C123">
            <v>0.95223222939854102</v>
          </cell>
          <cell r="D123">
            <v>0.88611503879145348</v>
          </cell>
          <cell r="E123">
            <v>0.78419562576337298</v>
          </cell>
          <cell r="F123">
            <v>0.81450570501290709</v>
          </cell>
          <cell r="G123">
            <v>0.81543200484654577</v>
          </cell>
          <cell r="H123">
            <v>0.81402359317024309</v>
          </cell>
          <cell r="I123">
            <v>0.81070258694442787</v>
          </cell>
          <cell r="J123">
            <v>0.80581395067132311</v>
          </cell>
          <cell r="K123">
            <v>0.79964116077650016</v>
          </cell>
          <cell r="L123">
            <v>0.7924183143937652</v>
          </cell>
          <cell r="M123">
            <v>0.78433957679209443</v>
          </cell>
          <cell r="N123">
            <v>0.74227386974620546</v>
          </cell>
          <cell r="O123">
            <v>0.70253952355079308</v>
          </cell>
          <cell r="P123">
            <v>0.66494325259907594</v>
          </cell>
          <cell r="Q123">
            <v>0.62931287068104447</v>
          </cell>
          <cell r="R123">
            <v>0.59549446421889229</v>
          </cell>
          <cell r="S123">
            <v>0.55937290737512368</v>
          </cell>
          <cell r="T123">
            <v>0.52459369769347375</v>
          </cell>
          <cell r="U123">
            <v>0.49108418759592809</v>
          </cell>
          <cell r="V123">
            <v>0.45877683368840344</v>
          </cell>
          <cell r="W123">
            <v>0.42760875935114667</v>
          </cell>
          <cell r="X123">
            <v>0.39024463738116005</v>
          </cell>
          <cell r="Y123">
            <v>0.35483796477132551</v>
          </cell>
          <cell r="Z123">
            <v>0.32127372126105613</v>
          </cell>
          <cell r="AA123">
            <v>0.28944483541134319</v>
          </cell>
          <cell r="AB123">
            <v>0.25925154641931403</v>
          </cell>
          <cell r="AC123">
            <v>0.22835859890792787</v>
          </cell>
          <cell r="AD123">
            <v>0.19959889243082801</v>
          </cell>
          <cell r="AE123">
            <v>0.1728487318034094</v>
          </cell>
          <cell r="AF123">
            <v>0.14799241538763352</v>
          </cell>
          <cell r="AG123">
            <v>0.12492164590012569</v>
          </cell>
          <cell r="AH123">
            <v>0.11128668433247928</v>
          </cell>
          <cell r="AI123">
            <v>9.8261027122854672E-2</v>
          </cell>
          <cell r="AJ123">
            <v>8.5813797574238487E-2</v>
          </cell>
          <cell r="AK123">
            <v>7.3915980342323329E-2</v>
          </cell>
          <cell r="AL123">
            <v>6.2540289686683043E-2</v>
          </cell>
          <cell r="AM123">
            <v>5.6970670424154976E-2</v>
          </cell>
          <cell r="AN123">
            <v>5.1624437783963098E-2</v>
          </cell>
          <cell r="AO123">
            <v>4.6491393623786501E-2</v>
          </cell>
          <cell r="AP123">
            <v>4.1561898304503776E-2</v>
          </cell>
          <cell r="AQ123">
            <v>3.6826834489992778E-2</v>
          </cell>
          <cell r="AR123" t="str">
            <v>Index</v>
          </cell>
        </row>
        <row r="124">
          <cell r="A124">
            <v>5</v>
          </cell>
          <cell r="B124" t="str">
            <v>Aluminium</v>
          </cell>
          <cell r="C124">
            <v>4.5630346144005607</v>
          </cell>
          <cell r="D124">
            <v>4.313271919958936</v>
          </cell>
          <cell r="E124">
            <v>4.4172652793891043</v>
          </cell>
          <cell r="F124">
            <v>4.3413772816014369</v>
          </cell>
          <cell r="G124">
            <v>4.2053597395878679</v>
          </cell>
          <cell r="H124">
            <v>4.0763121682948453</v>
          </cell>
          <cell r="I124">
            <v>3.9536703129770858</v>
          </cell>
          <cell r="J124">
            <v>3.8369338594453719</v>
          </cell>
          <cell r="K124">
            <v>3.7256570501379151</v>
          </cell>
          <cell r="L124">
            <v>3.6194409834117547</v>
          </cell>
          <cell r="M124">
            <v>3.5179272428215125</v>
          </cell>
          <cell r="N124">
            <v>3.3732603716469352</v>
          </cell>
          <cell r="O124">
            <v>3.2327850983174486</v>
          </cell>
          <cell r="P124">
            <v>3.0963441334181199</v>
          </cell>
          <cell r="Q124">
            <v>2.9637854650411306</v>
          </cell>
          <cell r="R124">
            <v>2.8349625284420532</v>
          </cell>
          <cell r="S124">
            <v>2.6706850064175187</v>
          </cell>
          <cell r="T124">
            <v>2.5116116349359183</v>
          </cell>
          <cell r="U124">
            <v>2.3575038113843738</v>
          </cell>
          <cell r="V124">
            <v>2.2081368339232195</v>
          </cell>
          <cell r="W124">
            <v>2.0632989595971973</v>
          </cell>
          <cell r="X124">
            <v>1.914014730494058</v>
          </cell>
          <cell r="Y124">
            <v>1.7686595323104153</v>
          </cell>
          <cell r="Z124">
            <v>1.6270893963991926</v>
          </cell>
          <cell r="AA124">
            <v>1.4891665451451148</v>
          </cell>
          <cell r="AB124">
            <v>1.3547591447306555</v>
          </cell>
          <cell r="AC124">
            <v>1.2291615733608803</v>
          </cell>
          <cell r="AD124">
            <v>1.1069205298908797</v>
          </cell>
          <cell r="AE124">
            <v>0.98790342400749631</v>
          </cell>
          <cell r="AF124">
            <v>0.87198455020206045</v>
          </cell>
          <cell r="AG124">
            <v>0.7590446470408887</v>
          </cell>
          <cell r="AH124">
            <v>0.68136025267648648</v>
          </cell>
          <cell r="AI124">
            <v>0.60617455473914927</v>
          </cell>
          <cell r="AJ124">
            <v>0.53337858428189411</v>
          </cell>
          <cell r="AK124">
            <v>0.46286939864191251</v>
          </cell>
          <cell r="AL124">
            <v>0.39454967725518575</v>
          </cell>
          <cell r="AM124">
            <v>0.36264230272727582</v>
          </cell>
          <cell r="AN124">
            <v>0.33154736720365569</v>
          </cell>
          <cell r="AO124">
            <v>0.3012340418714024</v>
          </cell>
          <cell r="AP124">
            <v>0.27167304128749764</v>
          </cell>
          <cell r="AQ124">
            <v>0.24283652792921162</v>
          </cell>
          <cell r="AR124" t="str">
            <v>tCO2 / ton aluminium</v>
          </cell>
        </row>
        <row r="125">
          <cell r="A125">
            <v>6</v>
          </cell>
          <cell r="B125" t="str">
            <v>Pulp &amp; Paper</v>
          </cell>
          <cell r="C125">
            <v>0.78891563766621919</v>
          </cell>
          <cell r="D125">
            <v>0.74064942068156403</v>
          </cell>
          <cell r="E125">
            <v>0.72403468828664974</v>
          </cell>
          <cell r="F125">
            <v>0.72317416982420524</v>
          </cell>
          <cell r="G125">
            <v>0.69424435620097802</v>
          </cell>
          <cell r="H125">
            <v>0.66692153910785779</v>
          </cell>
          <cell r="I125">
            <v>0.64108795413959041</v>
          </cell>
          <cell r="J125">
            <v>0.61663649108567753</v>
          </cell>
          <cell r="K125">
            <v>0.59346955228965703</v>
          </cell>
          <cell r="L125">
            <v>0.57149805183291014</v>
          </cell>
          <cell r="M125">
            <v>0.55064053595717799</v>
          </cell>
          <cell r="N125">
            <v>0.52250015573602815</v>
          </cell>
          <cell r="O125">
            <v>0.49566211115616693</v>
          </cell>
          <cell r="P125">
            <v>0.47004750703456033</v>
          </cell>
          <cell r="Q125">
            <v>0.44558333621574975</v>
          </cell>
          <cell r="R125">
            <v>0.42220195919231462</v>
          </cell>
          <cell r="S125">
            <v>0.3944708019487983</v>
          </cell>
          <cell r="T125">
            <v>0.36799081126529815</v>
          </cell>
          <cell r="U125">
            <v>0.3426885460195343</v>
          </cell>
          <cell r="V125">
            <v>0.31849586892300624</v>
          </cell>
          <cell r="W125">
            <v>0.29534949284694639</v>
          </cell>
          <cell r="X125">
            <v>0.2714876288458804</v>
          </cell>
          <cell r="Y125">
            <v>0.2486354150590262</v>
          </cell>
          <cell r="Z125">
            <v>0.22673797959101771</v>
          </cell>
          <cell r="AA125">
            <v>0.20574410246899177</v>
          </cell>
          <cell r="AB125">
            <v>0.18560592838544665</v>
          </cell>
          <cell r="AC125">
            <v>0.16734261434122188</v>
          </cell>
          <cell r="AD125">
            <v>0.14976912899229458</v>
          </cell>
          <cell r="AE125">
            <v>0.132852020014425</v>
          </cell>
          <cell r="AF125">
            <v>0.11655982403054085</v>
          </cell>
          <cell r="AG125">
            <v>0.10086292661751853</v>
          </cell>
          <cell r="AH125">
            <v>8.968776136604141E-2</v>
          </cell>
          <cell r="AI125">
            <v>7.9055626809098584E-2</v>
          </cell>
          <cell r="AJ125">
            <v>6.8933920012486424E-2</v>
          </cell>
          <cell r="AK125">
            <v>5.9292398533207571E-2</v>
          </cell>
          <cell r="AL125">
            <v>5.0102980168153198E-2</v>
          </cell>
          <cell r="AM125">
            <v>4.6112259126657208E-2</v>
          </cell>
          <cell r="AN125">
            <v>4.2214258249386287E-2</v>
          </cell>
          <cell r="AO125">
            <v>3.840544852305261E-2</v>
          </cell>
          <cell r="AP125">
            <v>3.468247778064093E-2</v>
          </cell>
          <cell r="AQ125">
            <v>3.1042159760799749E-2</v>
          </cell>
          <cell r="AR125" t="str">
            <v>tCO2 / ton paper and cardboard</v>
          </cell>
        </row>
        <row r="126">
          <cell r="A126">
            <v>7</v>
          </cell>
          <cell r="B126" t="str">
            <v>Manufacture of light-road automotor vehicles</v>
          </cell>
          <cell r="C126">
            <v>1</v>
          </cell>
          <cell r="D126">
            <v>0.90588015891805529</v>
          </cell>
          <cell r="E126">
            <v>0.92750912557344212</v>
          </cell>
          <cell r="F126">
            <v>0.85887214603981954</v>
          </cell>
          <cell r="G126">
            <v>0.81830153495199842</v>
          </cell>
          <cell r="H126">
            <v>0.77976714375357503</v>
          </cell>
          <cell r="I126">
            <v>0.74315296934537811</v>
          </cell>
          <cell r="J126">
            <v>0.70835107942727704</v>
          </cell>
          <cell r="K126">
            <v>0.67526089973457415</v>
          </cell>
          <cell r="L126">
            <v>0.6437885795988999</v>
          </cell>
          <cell r="M126">
            <v>0.61384642562618275</v>
          </cell>
          <cell r="N126">
            <v>0.57383885624348707</v>
          </cell>
          <cell r="O126">
            <v>0.53610232027934523</v>
          </cell>
          <cell r="P126">
            <v>0.50051027925974223</v>
          </cell>
          <cell r="Q126">
            <v>0.46694370388326195</v>
          </cell>
          <cell r="R126">
            <v>0.43529056213025874</v>
          </cell>
          <cell r="S126">
            <v>0.40105070671426601</v>
          </cell>
          <cell r="T126">
            <v>0.36879184705940393</v>
          </cell>
          <cell r="U126">
            <v>0.3384100498416136</v>
          </cell>
          <cell r="V126">
            <v>0.30980677311181742</v>
          </cell>
          <cell r="W126">
            <v>0.28288856697273024</v>
          </cell>
          <cell r="X126">
            <v>0.25926436092568872</v>
          </cell>
          <cell r="Y126">
            <v>0.23664067950837331</v>
          </cell>
          <cell r="Z126">
            <v>0.21498588264996013</v>
          </cell>
          <cell r="AA126">
            <v>0.1942688959705004</v>
          </cell>
          <cell r="AB126">
            <v>0.17445923957262968</v>
          </cell>
          <cell r="AC126">
            <v>0.15706541546936137</v>
          </cell>
          <cell r="AD126">
            <v>0.1403008709241659</v>
          </cell>
          <cell r="AE126">
            <v>0.1241565755179207</v>
          </cell>
          <cell r="AF126">
            <v>0.1086226298861708</v>
          </cell>
          <cell r="AG126">
            <v>9.3688391549313077E-2</v>
          </cell>
          <cell r="AH126">
            <v>8.3332269329580391E-2</v>
          </cell>
          <cell r="AI126">
            <v>7.3439985863962789E-2</v>
          </cell>
          <cell r="AJ126">
            <v>6.3996013902368531E-2</v>
          </cell>
          <cell r="AK126">
            <v>5.4985175320186368E-2</v>
          </cell>
          <cell r="AL126">
            <v>4.6392646200785995E-2</v>
          </cell>
          <cell r="AM126">
            <v>4.2010599708973514E-2</v>
          </cell>
          <cell r="AN126">
            <v>3.7834548123146329E-2</v>
          </cell>
          <cell r="AO126">
            <v>3.3856411502574575E-2</v>
          </cell>
          <cell r="AP126">
            <v>3.006840500252532E-2</v>
          </cell>
          <cell r="AQ126">
            <v>2.6463028182898311E-2</v>
          </cell>
          <cell r="AR126" t="str">
            <v>Index</v>
          </cell>
        </row>
        <row r="127">
          <cell r="A127">
            <v>8</v>
          </cell>
          <cell r="B127" t="str">
            <v>Other Industry</v>
          </cell>
          <cell r="C127">
            <v>1</v>
          </cell>
          <cell r="D127">
            <v>0.90588015891805529</v>
          </cell>
          <cell r="E127">
            <v>0.92750912557344212</v>
          </cell>
          <cell r="F127">
            <v>0.85887214603981954</v>
          </cell>
          <cell r="G127">
            <v>0.81830153495199842</v>
          </cell>
          <cell r="H127">
            <v>0.77976714375357503</v>
          </cell>
          <cell r="I127">
            <v>0.74315296934537811</v>
          </cell>
          <cell r="J127">
            <v>0.70835107942727704</v>
          </cell>
          <cell r="K127">
            <v>0.67526089973457415</v>
          </cell>
          <cell r="L127">
            <v>0.6437885795988999</v>
          </cell>
          <cell r="M127">
            <v>0.61384642562618275</v>
          </cell>
          <cell r="N127">
            <v>0.57383885624348707</v>
          </cell>
          <cell r="O127">
            <v>0.53610232027934523</v>
          </cell>
          <cell r="P127">
            <v>0.50051027925974223</v>
          </cell>
          <cell r="Q127">
            <v>0.46694370388326195</v>
          </cell>
          <cell r="R127">
            <v>0.43529056213025874</v>
          </cell>
          <cell r="S127">
            <v>0.40105070671426601</v>
          </cell>
          <cell r="T127">
            <v>0.36879184705940393</v>
          </cell>
          <cell r="U127">
            <v>0.3384100498416136</v>
          </cell>
          <cell r="V127">
            <v>0.30980677311181742</v>
          </cell>
          <cell r="W127">
            <v>0.28288856697273024</v>
          </cell>
          <cell r="X127">
            <v>0.25926436092568872</v>
          </cell>
          <cell r="Y127">
            <v>0.23664067950837331</v>
          </cell>
          <cell r="Z127">
            <v>0.21498588264996013</v>
          </cell>
          <cell r="AA127">
            <v>0.1942688959705004</v>
          </cell>
          <cell r="AB127">
            <v>0.17445923957262968</v>
          </cell>
          <cell r="AC127">
            <v>0.15706541546936137</v>
          </cell>
          <cell r="AD127">
            <v>0.1403008709241659</v>
          </cell>
          <cell r="AE127">
            <v>0.1241565755179207</v>
          </cell>
          <cell r="AF127">
            <v>0.1086226298861708</v>
          </cell>
          <cell r="AG127">
            <v>9.3688391549313077E-2</v>
          </cell>
          <cell r="AH127">
            <v>8.3332269329580391E-2</v>
          </cell>
          <cell r="AI127">
            <v>7.3439985863962789E-2</v>
          </cell>
          <cell r="AJ127">
            <v>6.3996013902368531E-2</v>
          </cell>
          <cell r="AK127">
            <v>5.4985175320186368E-2</v>
          </cell>
          <cell r="AL127">
            <v>4.6392646200785995E-2</v>
          </cell>
          <cell r="AM127">
            <v>4.2010599708973514E-2</v>
          </cell>
          <cell r="AN127">
            <v>3.7834548123146329E-2</v>
          </cell>
          <cell r="AO127">
            <v>3.3856411502574575E-2</v>
          </cell>
          <cell r="AP127">
            <v>3.006840500252532E-2</v>
          </cell>
          <cell r="AQ127">
            <v>2.6463028182898311E-2</v>
          </cell>
          <cell r="AR127" t="str">
            <v>Index</v>
          </cell>
        </row>
        <row r="128">
          <cell r="A128">
            <v>9</v>
          </cell>
          <cell r="B128" t="str">
            <v>Passenger transport - Air</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t="str">
            <v>gCO2 / pKm</v>
          </cell>
        </row>
        <row r="129">
          <cell r="A129">
            <v>10</v>
          </cell>
          <cell r="B129" t="str">
            <v>Passenger transport - Light Road</v>
          </cell>
          <cell r="C129">
            <v>0.59969633302195346</v>
          </cell>
          <cell r="D129">
            <v>0.60902758707133597</v>
          </cell>
          <cell r="E129">
            <v>0.64791099974166855</v>
          </cell>
          <cell r="F129">
            <v>0.68142912181359749</v>
          </cell>
          <cell r="G129">
            <v>0.64574650062349415</v>
          </cell>
          <cell r="H129">
            <v>0.61295111003648217</v>
          </cell>
          <cell r="I129">
            <v>0.5875786143697419</v>
          </cell>
          <cell r="J129">
            <v>0.56378896072767537</v>
          </cell>
          <cell r="K129">
            <v>0.54144629156410384</v>
          </cell>
          <cell r="L129">
            <v>0.52042938188200116</v>
          </cell>
          <cell r="M129">
            <v>0.5006297599392393</v>
          </cell>
          <cell r="N129">
            <v>0.63093088241399253</v>
          </cell>
          <cell r="O129">
            <v>0.74182148930289549</v>
          </cell>
          <cell r="P129">
            <v>0.83530177839906805</v>
          </cell>
          <cell r="Q129">
            <v>0.91314849193646841</v>
          </cell>
          <cell r="R129">
            <v>0.97694306064317604</v>
          </cell>
          <cell r="S129">
            <v>1.1611826497427429</v>
          </cell>
          <cell r="T129">
            <v>1.3105174077964559</v>
          </cell>
          <cell r="U129">
            <v>1.4280783480554506</v>
          </cell>
          <cell r="V129">
            <v>1.5167032012769743</v>
          </cell>
          <cell r="W129">
            <v>1.5789669425166029</v>
          </cell>
          <cell r="X129">
            <v>1.774044917132406</v>
          </cell>
          <cell r="Y129">
            <v>1.9165702711255441</v>
          </cell>
          <cell r="Z129">
            <v>2.010691242389067</v>
          </cell>
          <cell r="AA129">
            <v>2.0602213916214374</v>
          </cell>
          <cell r="AB129">
            <v>2.0686694861851747</v>
          </cell>
          <cell r="AC129">
            <v>2.1495718180284529</v>
          </cell>
          <cell r="AD129">
            <v>2.1764483171116371</v>
          </cell>
          <cell r="AE129">
            <v>2.1529572800728487</v>
          </cell>
          <cell r="AF129">
            <v>2.0825078648677904</v>
          </cell>
          <cell r="AG129">
            <v>1.9682788852077751</v>
          </cell>
          <cell r="AH129">
            <v>1.9236492048525489</v>
          </cell>
          <cell r="AI129">
            <v>1.849137542751506</v>
          </cell>
          <cell r="AJ129">
            <v>1.74677588221658</v>
          </cell>
          <cell r="AK129">
            <v>1.6184591581655601</v>
          </cell>
          <cell r="AL129">
            <v>1.465955519436285</v>
          </cell>
          <cell r="AM129">
            <v>1.4234991349007204</v>
          </cell>
          <cell r="AN129">
            <v>1.3699928837790638</v>
          </cell>
          <cell r="AO129">
            <v>1.3061137048189244</v>
          </cell>
          <cell r="AP129">
            <v>1.232497445805592</v>
          </cell>
          <cell r="AQ129">
            <v>1.1497416544626315</v>
          </cell>
          <cell r="AR129" t="str">
            <v>gCO2 / pKm</v>
          </cell>
        </row>
        <row r="130">
          <cell r="A130">
            <v>11</v>
          </cell>
          <cell r="B130" t="str">
            <v>Passenger transport - Heavy Road</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t="str">
            <v>gCO2 / pKm</v>
          </cell>
        </row>
        <row r="131">
          <cell r="A131">
            <v>12</v>
          </cell>
          <cell r="B131" t="str">
            <v>Passenger transport - Rail</v>
          </cell>
          <cell r="C131">
            <v>20.681015871767528</v>
          </cell>
          <cell r="D131">
            <v>19.01357267144709</v>
          </cell>
          <cell r="E131">
            <v>15.782993029856527</v>
          </cell>
          <cell r="F131">
            <v>16.7827553184575</v>
          </cell>
          <cell r="G131">
            <v>15.454546490411111</v>
          </cell>
          <cell r="H131">
            <v>14.276884737868331</v>
          </cell>
          <cell r="I131">
            <v>13.528412297730574</v>
          </cell>
          <cell r="J131">
            <v>12.832642184192155</v>
          </cell>
          <cell r="K131">
            <v>12.18481736569375</v>
          </cell>
          <cell r="L131">
            <v>11.580703568935</v>
          </cell>
          <cell r="M131">
            <v>11.016521849281741</v>
          </cell>
          <cell r="N131">
            <v>10.578715674521426</v>
          </cell>
          <cell r="O131">
            <v>10.152437398300025</v>
          </cell>
          <cell r="P131">
            <v>9.7372913329739319</v>
          </cell>
          <cell r="Q131">
            <v>9.3328948151918407</v>
          </cell>
          <cell r="R131">
            <v>8.9388782915088125</v>
          </cell>
          <cell r="S131">
            <v>8.4131543077949971</v>
          </cell>
          <cell r="T131">
            <v>7.9050789660180225</v>
          </cell>
          <cell r="U131">
            <v>7.4137785432538772</v>
          </cell>
          <cell r="V131">
            <v>6.9384360349580128</v>
          </cell>
          <cell r="W131">
            <v>6.4782866274596209</v>
          </cell>
          <cell r="X131">
            <v>6.0297121926245678</v>
          </cell>
          <cell r="Y131">
            <v>5.5897508346986013</v>
          </cell>
          <cell r="Z131">
            <v>5.1582615944119814</v>
          </cell>
          <cell r="AA131">
            <v>4.7350959733447198</v>
          </cell>
          <cell r="AB131">
            <v>4.3200997440953062</v>
          </cell>
          <cell r="AC131">
            <v>3.9416517668139832</v>
          </cell>
          <cell r="AD131">
            <v>3.568696630624649</v>
          </cell>
          <cell r="AE131">
            <v>3.201295409814966</v>
          </cell>
          <cell r="AF131">
            <v>2.8394839880686495</v>
          </cell>
          <cell r="AG131">
            <v>2.483276815773829</v>
          </cell>
          <cell r="AH131">
            <v>2.2384350593361577</v>
          </cell>
          <cell r="AI131">
            <v>1.9995203438708722</v>
          </cell>
          <cell r="AJ131">
            <v>1.7663544017062323</v>
          </cell>
          <cell r="AK131">
            <v>1.5387621182668918</v>
          </cell>
          <cell r="AL131">
            <v>1.3165721155076697</v>
          </cell>
          <cell r="AM131">
            <v>1.2102713084415302</v>
          </cell>
          <cell r="AN131">
            <v>1.1066339583518456</v>
          </cell>
          <cell r="AO131">
            <v>1.005564936308379</v>
          </cell>
          <cell r="AP131">
            <v>0.90697314371393045</v>
          </cell>
          <cell r="AQ131">
            <v>0.8107713684936394</v>
          </cell>
          <cell r="AR131" t="str">
            <v>gCO2 / pKm</v>
          </cell>
        </row>
        <row r="132">
          <cell r="A132">
            <v>13</v>
          </cell>
          <cell r="B132" t="str">
            <v>Other transport</v>
          </cell>
          <cell r="C132">
            <v>1</v>
          </cell>
          <cell r="D132">
            <v>0.947487979650671</v>
          </cell>
          <cell r="E132">
            <v>0.88959032419080486</v>
          </cell>
          <cell r="F132">
            <v>0.9175171377519088</v>
          </cell>
          <cell r="G132">
            <v>0.86570390805509823</v>
          </cell>
          <cell r="H132">
            <v>0.81712173226318396</v>
          </cell>
          <cell r="I132">
            <v>0.77153913141128205</v>
          </cell>
          <cell r="J132">
            <v>0.72874416858228752</v>
          </cell>
          <cell r="K132">
            <v>0.68854249770324516</v>
          </cell>
          <cell r="L132">
            <v>0.65075563962363192</v>
          </cell>
          <cell r="M132">
            <v>0.61521945520594645</v>
          </cell>
          <cell r="N132">
            <v>0.58739642936516001</v>
          </cell>
          <cell r="O132">
            <v>0.55992467335965257</v>
          </cell>
          <cell r="P132">
            <v>0.53288844001886049</v>
          </cell>
          <cell r="Q132">
            <v>0.50635859663823668</v>
          </cell>
          <cell r="R132">
            <v>0.48039418178598597</v>
          </cell>
          <cell r="S132">
            <v>0.45879081207411415</v>
          </cell>
          <cell r="T132">
            <v>0.43631728433987649</v>
          </cell>
          <cell r="U132">
            <v>0.4132167333819991</v>
          </cell>
          <cell r="V132">
            <v>0.38970190968533414</v>
          </cell>
          <cell r="W132">
            <v>0.36595845989005288</v>
          </cell>
          <cell r="X132">
            <v>0.35038655141858432</v>
          </cell>
          <cell r="Y132">
            <v>0.33303733921210305</v>
          </cell>
          <cell r="Z132">
            <v>0.31418336364140015</v>
          </cell>
          <cell r="AA132">
            <v>0.29407085208791056</v>
          </cell>
          <cell r="AB132">
            <v>0.27292206166285715</v>
          </cell>
          <cell r="AC132">
            <v>0.25623593095954811</v>
          </cell>
          <cell r="AD132">
            <v>0.23792683975365092</v>
          </cell>
          <cell r="AE132">
            <v>0.21824788369412049</v>
          </cell>
          <cell r="AF132">
            <v>0.1974285454170642</v>
          </cell>
          <cell r="AG132">
            <v>0.17567667883811344</v>
          </cell>
          <cell r="AH132">
            <v>0.16282637953491233</v>
          </cell>
          <cell r="AI132">
            <v>0.14910774946809113</v>
          </cell>
          <cell r="AJ132">
            <v>0.13467366742754819</v>
          </cell>
          <cell r="AK132">
            <v>0.1196622040115629</v>
          </cell>
          <cell r="AL132">
            <v>0.1041979022517234</v>
          </cell>
          <cell r="AM132">
            <v>9.7869756604212557E-2</v>
          </cell>
          <cell r="AN132">
            <v>9.1225818005705797E-2</v>
          </cell>
          <cell r="AO132">
            <v>8.4325462197290965E-2</v>
          </cell>
          <cell r="AP132">
            <v>7.7222403170841225E-2</v>
          </cell>
          <cell r="AQ132">
            <v>6.9965166740673337E-2</v>
          </cell>
          <cell r="AR132" t="str">
            <v>Index</v>
          </cell>
        </row>
        <row r="133">
          <cell r="A133">
            <v>14</v>
          </cell>
          <cell r="B133" t="str">
            <v>Services / Commercial Buildings</v>
          </cell>
          <cell r="C133">
            <v>74.784418140551793</v>
          </cell>
          <cell r="D133">
            <v>69.677182887316235</v>
          </cell>
          <cell r="E133">
            <v>70.524470093287306</v>
          </cell>
          <cell r="F133">
            <v>77.60548673734948</v>
          </cell>
          <cell r="G133">
            <v>75.233522884937969</v>
          </cell>
          <cell r="H133">
            <v>72.970199116962519</v>
          </cell>
          <cell r="I133">
            <v>70.808385730222412</v>
          </cell>
          <cell r="J133">
            <v>68.741554278104303</v>
          </cell>
          <cell r="K133">
            <v>66.763716145660339</v>
          </cell>
          <cell r="L133">
            <v>64.869368449747284</v>
          </cell>
          <cell r="M133">
            <v>63.053446270293328</v>
          </cell>
          <cell r="N133">
            <v>60.219464523731453</v>
          </cell>
          <cell r="O133">
            <v>57.490835965195991</v>
          </cell>
          <cell r="P133">
            <v>54.8619093120858</v>
          </cell>
          <cell r="Q133">
            <v>52.327424614729338</v>
          </cell>
          <cell r="R133">
            <v>49.882480318943458</v>
          </cell>
          <cell r="S133">
            <v>46.810016787584601</v>
          </cell>
          <cell r="T133">
            <v>43.856117966982069</v>
          </cell>
          <cell r="U133">
            <v>41.014342782355264</v>
          </cell>
          <cell r="V133">
            <v>38.278695708597603</v>
          </cell>
          <cell r="W133">
            <v>35.643589614918575</v>
          </cell>
          <cell r="X133">
            <v>32.789647810952253</v>
          </cell>
          <cell r="Y133">
            <v>30.052832032778348</v>
          </cell>
          <cell r="Z133">
            <v>27.426903096144404</v>
          </cell>
          <cell r="AA133">
            <v>24.906030691537683</v>
          </cell>
          <cell r="AB133">
            <v>22.484761628713226</v>
          </cell>
          <cell r="AC133">
            <v>20.275633553410039</v>
          </cell>
          <cell r="AD133">
            <v>18.149452784328016</v>
          </cell>
          <cell r="AE133">
            <v>16.102174893970538</v>
          </cell>
          <cell r="AF133">
            <v>14.129998037413781</v>
          </cell>
          <cell r="AG133">
            <v>12.229345712218834</v>
          </cell>
          <cell r="AH133">
            <v>10.946822520628256</v>
          </cell>
          <cell r="AI133">
            <v>9.7119998817254789</v>
          </cell>
          <cell r="AJ133">
            <v>8.5225557005824779</v>
          </cell>
          <cell r="AK133">
            <v>7.3763075951065016</v>
          </cell>
          <cell r="AL133">
            <v>6.2712029001755747</v>
          </cell>
          <cell r="AM133">
            <v>5.7345619763163453</v>
          </cell>
          <cell r="AN133">
            <v>5.2164272450635858</v>
          </cell>
          <cell r="AO133">
            <v>4.7159565717164833</v>
          </cell>
          <cell r="AP133">
            <v>4.2323553392712689</v>
          </cell>
          <cell r="AQ133">
            <v>3.7648732547226449</v>
          </cell>
          <cell r="AR133" t="str">
            <v>kgCO2 / m2</v>
          </cell>
        </row>
        <row r="137">
          <cell r="C137">
            <v>2010</v>
          </cell>
          <cell r="D137">
            <v>2011</v>
          </cell>
          <cell r="E137">
            <v>2012</v>
          </cell>
          <cell r="F137">
            <v>2013</v>
          </cell>
          <cell r="G137">
            <v>2014</v>
          </cell>
          <cell r="H137">
            <v>2015</v>
          </cell>
          <cell r="I137">
            <v>2016</v>
          </cell>
          <cell r="J137">
            <v>2017</v>
          </cell>
          <cell r="K137">
            <v>2018</v>
          </cell>
          <cell r="L137">
            <v>2019</v>
          </cell>
          <cell r="M137">
            <v>2020</v>
          </cell>
          <cell r="N137">
            <v>2021</v>
          </cell>
          <cell r="O137">
            <v>2022</v>
          </cell>
          <cell r="P137">
            <v>2023</v>
          </cell>
          <cell r="Q137">
            <v>2024</v>
          </cell>
          <cell r="R137">
            <v>2025</v>
          </cell>
          <cell r="S137">
            <v>2026</v>
          </cell>
          <cell r="T137">
            <v>2027</v>
          </cell>
          <cell r="U137">
            <v>2028</v>
          </cell>
          <cell r="V137">
            <v>2029</v>
          </cell>
          <cell r="W137">
            <v>2030</v>
          </cell>
          <cell r="X137">
            <v>2031</v>
          </cell>
          <cell r="Y137">
            <v>2032</v>
          </cell>
          <cell r="Z137">
            <v>2033</v>
          </cell>
          <cell r="AA137">
            <v>2034</v>
          </cell>
          <cell r="AB137">
            <v>2035</v>
          </cell>
          <cell r="AC137">
            <v>2036</v>
          </cell>
          <cell r="AD137">
            <v>2037</v>
          </cell>
          <cell r="AE137">
            <v>2038</v>
          </cell>
          <cell r="AF137">
            <v>2039</v>
          </cell>
          <cell r="AG137">
            <v>2040</v>
          </cell>
          <cell r="AH137">
            <v>2041</v>
          </cell>
          <cell r="AI137">
            <v>2042</v>
          </cell>
          <cell r="AJ137">
            <v>2043</v>
          </cell>
          <cell r="AK137">
            <v>2044</v>
          </cell>
          <cell r="AL137">
            <v>2045</v>
          </cell>
          <cell r="AM137">
            <v>2046</v>
          </cell>
          <cell r="AN137">
            <v>2047</v>
          </cell>
          <cell r="AO137">
            <v>2048</v>
          </cell>
          <cell r="AP137">
            <v>2049</v>
          </cell>
          <cell r="AQ137">
            <v>2050</v>
          </cell>
        </row>
        <row r="138">
          <cell r="C138">
            <v>122.41586753976367</v>
          </cell>
          <cell r="D138">
            <v>119.33490586545243</v>
          </cell>
          <cell r="E138">
            <v>116.40541077705389</v>
          </cell>
          <cell r="F138">
            <v>113.34326956771528</v>
          </cell>
          <cell r="G138">
            <v>110.15390112165699</v>
          </cell>
          <cell r="H138">
            <v>107.11561850321331</v>
          </cell>
          <cell r="I138">
            <v>104.21793292399042</v>
          </cell>
          <cell r="J138">
            <v>101.45130463788442</v>
          </cell>
          <cell r="K138">
            <v>98.537762505426826</v>
          </cell>
          <cell r="L138">
            <v>95.467838681078305</v>
          </cell>
          <cell r="M138">
            <v>92.502758322265066</v>
          </cell>
          <cell r="N138">
            <v>89.637240338602311</v>
          </cell>
          <cell r="O138">
            <v>86.86635249288733</v>
          </cell>
          <cell r="P138">
            <v>84.012155134767056</v>
          </cell>
          <cell r="Q138">
            <v>81.069020117995507</v>
          </cell>
          <cell r="R138">
            <v>78.20524950768845</v>
          </cell>
          <cell r="S138">
            <v>75.417675667146966</v>
          </cell>
          <cell r="T138">
            <v>72.703297324898358</v>
          </cell>
          <cell r="U138">
            <v>69.999938216361357</v>
          </cell>
          <cell r="V138">
            <v>67.299354027253571</v>
          </cell>
          <cell r="W138">
            <v>64.653185613592896</v>
          </cell>
          <cell r="X138">
            <v>62.059804652826742</v>
          </cell>
          <cell r="Y138">
            <v>59.517647149644773</v>
          </cell>
          <cell r="Z138">
            <v>57.044732025426299</v>
          </cell>
          <cell r="AA138">
            <v>54.637579743114728</v>
          </cell>
          <cell r="AB138">
            <v>52.273346468508663</v>
          </cell>
          <cell r="AC138">
            <v>49.950894466970105</v>
          </cell>
          <cell r="AD138">
            <v>47.669125865821464</v>
          </cell>
          <cell r="AE138">
            <v>45.601842405978076</v>
          </cell>
          <cell r="AF138">
            <v>43.742419843596707</v>
          </cell>
          <cell r="AG138">
            <v>41.909605385252064</v>
          </cell>
          <cell r="AH138">
            <v>40.102831943260739</v>
          </cell>
          <cell r="AI138">
            <v>38.321548431274849</v>
          </cell>
          <cell r="AJ138">
            <v>36.619385789220587</v>
          </cell>
          <cell r="AK138">
            <v>34.992829634341582</v>
          </cell>
          <cell r="AL138">
            <v>33.438521685377424</v>
          </cell>
          <cell r="AM138">
            <v>31.953252828863288</v>
          </cell>
          <cell r="AN138">
            <v>30.53395649340996</v>
          </cell>
          <cell r="AO138">
            <v>29.17770231828441</v>
          </cell>
          <cell r="AP138">
            <v>27.88169010321872</v>
          </cell>
          <cell r="AQ138">
            <v>26.643244026955774</v>
          </cell>
        </row>
      </sheetData>
      <sheetData sheetId="8">
        <row r="21">
          <cell r="E21">
            <v>39782.418110759652</v>
          </cell>
        </row>
        <row r="26">
          <cell r="D26">
            <v>2.9166666666666665</v>
          </cell>
          <cell r="E26">
            <v>2.0938114795136658</v>
          </cell>
        </row>
        <row r="37">
          <cell r="E37">
            <v>13924.316827893592</v>
          </cell>
        </row>
        <row r="42">
          <cell r="D42">
            <v>1.6666666666666667</v>
          </cell>
          <cell r="E42">
            <v>0.73285878041545216</v>
          </cell>
        </row>
      </sheetData>
      <sheetData sheetId="9">
        <row r="2">
          <cell r="A2" t="str">
            <v>Code</v>
          </cell>
          <cell r="B2" t="str">
            <v>Sector</v>
          </cell>
          <cell r="C2">
            <v>2010</v>
          </cell>
          <cell r="D2">
            <v>2011</v>
          </cell>
          <cell r="E2">
            <v>2012</v>
          </cell>
          <cell r="F2">
            <v>2013</v>
          </cell>
          <cell r="G2">
            <v>2014</v>
          </cell>
          <cell r="H2">
            <v>2015</v>
          </cell>
          <cell r="I2">
            <v>2016</v>
          </cell>
          <cell r="J2">
            <v>2017</v>
          </cell>
          <cell r="K2">
            <v>2018</v>
          </cell>
          <cell r="L2">
            <v>2019</v>
          </cell>
          <cell r="M2">
            <v>2020</v>
          </cell>
          <cell r="N2">
            <v>2021</v>
          </cell>
          <cell r="O2">
            <v>2022</v>
          </cell>
          <cell r="P2">
            <v>2023</v>
          </cell>
          <cell r="Q2">
            <v>2024</v>
          </cell>
          <cell r="R2">
            <v>2025</v>
          </cell>
          <cell r="S2">
            <v>2026</v>
          </cell>
          <cell r="T2">
            <v>2027</v>
          </cell>
          <cell r="U2">
            <v>2028</v>
          </cell>
          <cell r="V2">
            <v>2029</v>
          </cell>
          <cell r="W2">
            <v>2030</v>
          </cell>
          <cell r="X2">
            <v>2031</v>
          </cell>
          <cell r="Y2">
            <v>2032</v>
          </cell>
          <cell r="Z2">
            <v>2033</v>
          </cell>
          <cell r="AA2">
            <v>2034</v>
          </cell>
          <cell r="AB2">
            <v>2035</v>
          </cell>
          <cell r="AC2">
            <v>2036</v>
          </cell>
          <cell r="AD2">
            <v>2037</v>
          </cell>
          <cell r="AE2">
            <v>2038</v>
          </cell>
          <cell r="AF2">
            <v>2039</v>
          </cell>
          <cell r="AG2">
            <v>2040</v>
          </cell>
          <cell r="AH2">
            <v>2041</v>
          </cell>
          <cell r="AI2">
            <v>2042</v>
          </cell>
          <cell r="AJ2">
            <v>2043</v>
          </cell>
          <cell r="AK2">
            <v>2044</v>
          </cell>
          <cell r="AL2">
            <v>2045</v>
          </cell>
          <cell r="AM2">
            <v>2046</v>
          </cell>
          <cell r="AN2">
            <v>2047</v>
          </cell>
          <cell r="AO2">
            <v>2048</v>
          </cell>
          <cell r="AP2">
            <v>2049</v>
          </cell>
          <cell r="AQ2">
            <v>2050</v>
          </cell>
          <cell r="AR2">
            <v>2051</v>
          </cell>
          <cell r="AS2">
            <v>2052</v>
          </cell>
          <cell r="AT2">
            <v>2053</v>
          </cell>
          <cell r="AU2">
            <v>2054</v>
          </cell>
          <cell r="AV2">
            <v>2055</v>
          </cell>
          <cell r="AW2">
            <v>2056</v>
          </cell>
          <cell r="AX2">
            <v>2057</v>
          </cell>
          <cell r="AY2">
            <v>2058</v>
          </cell>
          <cell r="AZ2">
            <v>2059</v>
          </cell>
          <cell r="BA2">
            <v>2060</v>
          </cell>
        </row>
        <row r="3">
          <cell r="A3">
            <v>1</v>
          </cell>
          <cell r="B3" t="str">
            <v>Power Generation</v>
          </cell>
          <cell r="C3">
            <v>12773.014883999997</v>
          </cell>
          <cell r="D3">
            <v>13067.914576999998</v>
          </cell>
          <cell r="E3">
            <v>13358.541172000003</v>
          </cell>
          <cell r="F3">
            <v>13655.577414000001</v>
          </cell>
          <cell r="G3">
            <v>13625.004647</v>
          </cell>
          <cell r="H3">
            <v>13238.134806684333</v>
          </cell>
          <cell r="I3">
            <v>12851.264966368666</v>
          </cell>
          <cell r="J3">
            <v>12464.395126052999</v>
          </cell>
          <cell r="K3">
            <v>12077.525285737333</v>
          </cell>
          <cell r="L3">
            <v>11690.655445421666</v>
          </cell>
          <cell r="M3">
            <v>11303.785605105999</v>
          </cell>
          <cell r="N3">
            <v>10916.915764790332</v>
          </cell>
          <cell r="O3">
            <v>10530.045924474665</v>
          </cell>
          <cell r="P3">
            <v>10143.176084158998</v>
          </cell>
          <cell r="Q3">
            <v>9756.3062438433317</v>
          </cell>
          <cell r="R3">
            <v>9369.4364035276667</v>
          </cell>
          <cell r="S3">
            <v>8912.189007806759</v>
          </cell>
          <cell r="T3">
            <v>8454.9416120858514</v>
          </cell>
          <cell r="U3">
            <v>7997.6942163649446</v>
          </cell>
          <cell r="V3">
            <v>7540.4468206440379</v>
          </cell>
          <cell r="W3">
            <v>7083.1994249231311</v>
          </cell>
          <cell r="X3">
            <v>6618.2893447776987</v>
          </cell>
          <cell r="Y3">
            <v>6153.3792646322663</v>
          </cell>
          <cell r="Z3">
            <v>5688.4691844868339</v>
          </cell>
          <cell r="AA3">
            <v>5223.5591043414015</v>
          </cell>
          <cell r="AB3">
            <v>4758.6490241959691</v>
          </cell>
          <cell r="AC3">
            <v>4339.3000014150048</v>
          </cell>
          <cell r="AD3">
            <v>3919.9509786340404</v>
          </cell>
          <cell r="AE3">
            <v>3500.6019558530761</v>
          </cell>
          <cell r="AF3">
            <v>3081.2529330721118</v>
          </cell>
          <cell r="AG3">
            <v>2661.9039102911465</v>
          </cell>
          <cell r="AH3">
            <v>2294.2550882392611</v>
          </cell>
          <cell r="AI3">
            <v>1926.6062661873757</v>
          </cell>
          <cell r="AJ3">
            <v>1558.9574441354903</v>
          </cell>
          <cell r="AK3">
            <v>1191.3086220836049</v>
          </cell>
          <cell r="AL3">
            <v>823.65980003171899</v>
          </cell>
          <cell r="AM3">
            <v>587.79398715934417</v>
          </cell>
          <cell r="AN3">
            <v>351.92817428696929</v>
          </cell>
          <cell r="AO3">
            <v>116.06236141459442</v>
          </cell>
          <cell r="AP3">
            <v>-119.80345145778045</v>
          </cell>
          <cell r="AQ3">
            <v>-355.66926433015539</v>
          </cell>
          <cell r="AR3">
            <v>-522.33960693418169</v>
          </cell>
          <cell r="AS3">
            <v>-689.00994953820805</v>
          </cell>
          <cell r="AT3">
            <v>-855.68029214223441</v>
          </cell>
          <cell r="AU3">
            <v>-1022.3506347462608</v>
          </cell>
          <cell r="AV3">
            <v>-1189.020977350287</v>
          </cell>
          <cell r="AW3">
            <v>-1299.9840512081387</v>
          </cell>
          <cell r="AX3">
            <v>-1410.9471250659903</v>
          </cell>
          <cell r="AY3">
            <v>-1521.910198923842</v>
          </cell>
          <cell r="AZ3">
            <v>-1632.8732727816937</v>
          </cell>
          <cell r="BA3">
            <v>-1743.8363466395458</v>
          </cell>
        </row>
        <row r="4">
          <cell r="A4">
            <v>2</v>
          </cell>
          <cell r="B4" t="str">
            <v>Iron &amp; Steel Industry</v>
          </cell>
          <cell r="C4">
            <v>2959.7096328471739</v>
          </cell>
          <cell r="D4">
            <v>2990.5249707660996</v>
          </cell>
          <cell r="E4">
            <v>2551.7153761458931</v>
          </cell>
          <cell r="F4">
            <v>2817.3431803343847</v>
          </cell>
          <cell r="G4">
            <v>2338.4101620461929</v>
          </cell>
          <cell r="H4">
            <v>2260.9591339869899</v>
          </cell>
          <cell r="I4">
            <v>2183.5081059277868</v>
          </cell>
          <cell r="J4">
            <v>2106.0570778685837</v>
          </cell>
          <cell r="K4">
            <v>2028.6060498093805</v>
          </cell>
          <cell r="L4">
            <v>1951.1550217501772</v>
          </cell>
          <cell r="M4">
            <v>1873.7039936909739</v>
          </cell>
          <cell r="N4">
            <v>1796.2529656317706</v>
          </cell>
          <cell r="O4">
            <v>1718.8019375725673</v>
          </cell>
          <cell r="P4">
            <v>1641.3509095133641</v>
          </cell>
          <cell r="Q4">
            <v>1563.8998814541608</v>
          </cell>
          <cell r="R4">
            <v>1486.448853394957</v>
          </cell>
          <cell r="S4">
            <v>1421.6008836916469</v>
          </cell>
          <cell r="T4">
            <v>1356.7529139883368</v>
          </cell>
          <cell r="U4">
            <v>1291.9049442850267</v>
          </cell>
          <cell r="V4">
            <v>1227.0569745817165</v>
          </cell>
          <cell r="W4">
            <v>1162.2090048784066</v>
          </cell>
          <cell r="X4">
            <v>1109.2452528783072</v>
          </cell>
          <cell r="Y4">
            <v>1056.2815008782077</v>
          </cell>
          <cell r="Z4">
            <v>1003.3177488781083</v>
          </cell>
          <cell r="AA4">
            <v>950.35399687800896</v>
          </cell>
          <cell r="AB4">
            <v>897.39024487790971</v>
          </cell>
          <cell r="AC4">
            <v>873.54658220491535</v>
          </cell>
          <cell r="AD4">
            <v>849.702919531921</v>
          </cell>
          <cell r="AE4">
            <v>825.85925685892664</v>
          </cell>
          <cell r="AF4">
            <v>802.01559418593229</v>
          </cell>
          <cell r="AG4">
            <v>778.1719315129377</v>
          </cell>
          <cell r="AH4">
            <v>751.94756566882381</v>
          </cell>
          <cell r="AI4">
            <v>725.72319982470992</v>
          </cell>
          <cell r="AJ4">
            <v>699.49883398059603</v>
          </cell>
          <cell r="AK4">
            <v>673.27446813648214</v>
          </cell>
          <cell r="AL4">
            <v>647.05010229236814</v>
          </cell>
          <cell r="AM4">
            <v>615.16200529191997</v>
          </cell>
          <cell r="AN4">
            <v>583.2739082914718</v>
          </cell>
          <cell r="AO4">
            <v>551.38581129102363</v>
          </cell>
          <cell r="AP4">
            <v>519.49771429057546</v>
          </cell>
          <cell r="AQ4">
            <v>487.60961729012712</v>
          </cell>
          <cell r="AR4">
            <v>465.65219188481353</v>
          </cell>
          <cell r="AS4">
            <v>443.69476647949995</v>
          </cell>
          <cell r="AT4">
            <v>421.73734107418636</v>
          </cell>
          <cell r="AU4">
            <v>399.77991566887277</v>
          </cell>
          <cell r="AV4">
            <v>377.8224902635593</v>
          </cell>
          <cell r="AW4">
            <v>343.84321660009789</v>
          </cell>
          <cell r="AX4">
            <v>309.86394293663648</v>
          </cell>
          <cell r="AY4">
            <v>275.88466927317506</v>
          </cell>
          <cell r="AZ4">
            <v>241.90539560971365</v>
          </cell>
          <cell r="BA4">
            <v>207.92612194625229</v>
          </cell>
        </row>
        <row r="5">
          <cell r="A5">
            <v>3</v>
          </cell>
          <cell r="B5" t="str">
            <v>Cement</v>
          </cell>
          <cell r="C5">
            <v>2160.2248803075968</v>
          </cell>
          <cell r="D5">
            <v>2162.6438430844769</v>
          </cell>
          <cell r="E5">
            <v>2287.1635574020929</v>
          </cell>
          <cell r="F5">
            <v>2228.5321444086053</v>
          </cell>
          <cell r="G5">
            <v>2230.1009269397146</v>
          </cell>
          <cell r="H5">
            <v>2220.6132080923426</v>
          </cell>
          <cell r="I5">
            <v>2211.1254892449706</v>
          </cell>
          <cell r="J5">
            <v>2201.6377703975986</v>
          </cell>
          <cell r="K5">
            <v>2192.1500515502266</v>
          </cell>
          <cell r="L5">
            <v>2182.6623327028547</v>
          </cell>
          <cell r="M5">
            <v>2173.1746138554827</v>
          </cell>
          <cell r="N5">
            <v>2163.6868950081107</v>
          </cell>
          <cell r="O5">
            <v>2154.1991761607387</v>
          </cell>
          <cell r="P5">
            <v>2144.7114573133667</v>
          </cell>
          <cell r="Q5">
            <v>2135.2237384659948</v>
          </cell>
          <cell r="R5">
            <v>2125.7360196186214</v>
          </cell>
          <cell r="S5">
            <v>2075.8851893534538</v>
          </cell>
          <cell r="T5">
            <v>2026.034359088286</v>
          </cell>
          <cell r="U5">
            <v>1976.1835288231182</v>
          </cell>
          <cell r="V5">
            <v>1926.3326985579504</v>
          </cell>
          <cell r="W5">
            <v>1876.4818682927826</v>
          </cell>
          <cell r="X5">
            <v>1824.4157360666811</v>
          </cell>
          <cell r="Y5">
            <v>1772.3496038405797</v>
          </cell>
          <cell r="Z5">
            <v>1720.2834716144782</v>
          </cell>
          <cell r="AA5">
            <v>1668.2173393883768</v>
          </cell>
          <cell r="AB5">
            <v>1616.1512071622758</v>
          </cell>
          <cell r="AC5">
            <v>1561.5240993648815</v>
          </cell>
          <cell r="AD5">
            <v>1506.8969915674872</v>
          </cell>
          <cell r="AE5">
            <v>1452.269883770093</v>
          </cell>
          <cell r="AF5">
            <v>1397.6427759726987</v>
          </cell>
          <cell r="AG5">
            <v>1343.0156681753047</v>
          </cell>
          <cell r="AH5">
            <v>1316.0531177178821</v>
          </cell>
          <cell r="AI5">
            <v>1289.0905672604595</v>
          </cell>
          <cell r="AJ5">
            <v>1262.1280168030369</v>
          </cell>
          <cell r="AK5">
            <v>1235.1654663456143</v>
          </cell>
          <cell r="AL5">
            <v>1208.2029158881917</v>
          </cell>
          <cell r="AM5">
            <v>1139.6569172807356</v>
          </cell>
          <cell r="AN5">
            <v>1071.1109186732795</v>
          </cell>
          <cell r="AO5">
            <v>1002.5649200658233</v>
          </cell>
          <cell r="AP5">
            <v>934.01892145836723</v>
          </cell>
          <cell r="AQ5">
            <v>865.472922850911</v>
          </cell>
          <cell r="AR5">
            <v>838.12862834463408</v>
          </cell>
          <cell r="AS5">
            <v>810.78433383835716</v>
          </cell>
          <cell r="AT5">
            <v>783.44003933208023</v>
          </cell>
          <cell r="AU5">
            <v>756.09574482580331</v>
          </cell>
          <cell r="AV5">
            <v>728.75145031952661</v>
          </cell>
          <cell r="AW5">
            <v>680.06026256718258</v>
          </cell>
          <cell r="AX5">
            <v>631.36907481483854</v>
          </cell>
          <cell r="AY5">
            <v>582.67788706249451</v>
          </cell>
          <cell r="AZ5">
            <v>533.98669931015047</v>
          </cell>
          <cell r="BA5">
            <v>485.29551155780666</v>
          </cell>
        </row>
        <row r="6">
          <cell r="A6">
            <v>4</v>
          </cell>
          <cell r="B6" t="str">
            <v>Chemical and Petrochemical Industry</v>
          </cell>
          <cell r="C6">
            <v>1285.5670515656464</v>
          </cell>
          <cell r="D6">
            <v>1272.5655335398646</v>
          </cell>
          <cell r="E6">
            <v>1215.5919841453122</v>
          </cell>
          <cell r="F6">
            <v>1224.5764818039158</v>
          </cell>
          <cell r="G6">
            <v>1061.0697844663939</v>
          </cell>
          <cell r="H6">
            <v>1072.0643655511863</v>
          </cell>
          <cell r="I6">
            <v>1083.0589466359786</v>
          </cell>
          <cell r="J6">
            <v>1094.0535277207709</v>
          </cell>
          <cell r="K6">
            <v>1105.0481088055633</v>
          </cell>
          <cell r="L6">
            <v>1116.0426898903556</v>
          </cell>
          <cell r="M6">
            <v>1127.037270975148</v>
          </cell>
          <cell r="N6">
            <v>1138.0318520599403</v>
          </cell>
          <cell r="O6">
            <v>1149.0264331447327</v>
          </cell>
          <cell r="P6">
            <v>1160.021014229525</v>
          </cell>
          <cell r="Q6">
            <v>1171.0155953143174</v>
          </cell>
          <cell r="R6">
            <v>1182.0101763991097</v>
          </cell>
          <cell r="S6">
            <v>1149.0110676342488</v>
          </cell>
          <cell r="T6">
            <v>1116.0119588693879</v>
          </cell>
          <cell r="U6">
            <v>1083.0128501045269</v>
          </cell>
          <cell r="V6">
            <v>1050.013741339666</v>
          </cell>
          <cell r="W6">
            <v>1017.0146325748048</v>
          </cell>
          <cell r="X6">
            <v>993.73020687495421</v>
          </cell>
          <cell r="Y6">
            <v>970.44578117510366</v>
          </cell>
          <cell r="Z6">
            <v>947.16135547525312</v>
          </cell>
          <cell r="AA6">
            <v>923.87692977540257</v>
          </cell>
          <cell r="AB6">
            <v>900.5925040755518</v>
          </cell>
          <cell r="AC6">
            <v>875.41512295182838</v>
          </cell>
          <cell r="AD6">
            <v>850.23774182810496</v>
          </cell>
          <cell r="AE6">
            <v>825.06036070438154</v>
          </cell>
          <cell r="AF6">
            <v>799.88297958065812</v>
          </cell>
          <cell r="AG6">
            <v>774.70559845693458</v>
          </cell>
          <cell r="AH6">
            <v>749.55668631802462</v>
          </cell>
          <cell r="AI6">
            <v>724.40777417911465</v>
          </cell>
          <cell r="AJ6">
            <v>699.25886204020469</v>
          </cell>
          <cell r="AK6">
            <v>674.10994990129473</v>
          </cell>
          <cell r="AL6">
            <v>648.96103776238454</v>
          </cell>
          <cell r="AM6">
            <v>623.66147250828635</v>
          </cell>
          <cell r="AN6">
            <v>598.36190725418817</v>
          </cell>
          <cell r="AO6">
            <v>573.06234200008998</v>
          </cell>
          <cell r="AP6">
            <v>547.7627767459918</v>
          </cell>
          <cell r="AQ6">
            <v>522.46321149189362</v>
          </cell>
          <cell r="AR6">
            <v>499.1577787587018</v>
          </cell>
          <cell r="AS6">
            <v>475.85234602550997</v>
          </cell>
          <cell r="AT6">
            <v>452.54691329231815</v>
          </cell>
          <cell r="AU6">
            <v>429.24148055912633</v>
          </cell>
          <cell r="AV6">
            <v>405.93604782593451</v>
          </cell>
          <cell r="AW6">
            <v>388.90443994605181</v>
          </cell>
          <cell r="AX6">
            <v>371.87283206616911</v>
          </cell>
          <cell r="AY6">
            <v>354.84122418628641</v>
          </cell>
          <cell r="AZ6">
            <v>337.80961630640371</v>
          </cell>
          <cell r="BA6">
            <v>320.77800842652101</v>
          </cell>
        </row>
        <row r="7">
          <cell r="A7">
            <v>5</v>
          </cell>
          <cell r="B7" t="str">
            <v>Aluminium</v>
          </cell>
          <cell r="C7">
            <v>93.035817183381923</v>
          </cell>
          <cell r="D7">
            <v>150.33966749451628</v>
          </cell>
          <cell r="E7">
            <v>164.78574420201568</v>
          </cell>
          <cell r="F7">
            <v>243.51848131496749</v>
          </cell>
          <cell r="G7">
            <v>260.65242521456832</v>
          </cell>
          <cell r="H7">
            <v>263.73960724579376</v>
          </cell>
          <cell r="I7">
            <v>266.8267892770192</v>
          </cell>
          <cell r="J7">
            <v>269.91397130824464</v>
          </cell>
          <cell r="K7">
            <v>273.00115333947008</v>
          </cell>
          <cell r="L7">
            <v>276.08833537069552</v>
          </cell>
          <cell r="M7">
            <v>279.17551740192096</v>
          </cell>
          <cell r="N7">
            <v>282.26269943314639</v>
          </cell>
          <cell r="O7">
            <v>285.34988146437183</v>
          </cell>
          <cell r="P7">
            <v>288.43706349559727</v>
          </cell>
          <cell r="Q7">
            <v>291.52424552682271</v>
          </cell>
          <cell r="R7">
            <v>294.61142755804804</v>
          </cell>
          <cell r="S7">
            <v>292.34388464172901</v>
          </cell>
          <cell r="T7">
            <v>290.07634172540997</v>
          </cell>
          <cell r="U7">
            <v>287.80879880909094</v>
          </cell>
          <cell r="V7">
            <v>285.54125589277191</v>
          </cell>
          <cell r="W7">
            <v>283.27371297645277</v>
          </cell>
          <cell r="X7">
            <v>280.00388895977392</v>
          </cell>
          <cell r="Y7">
            <v>276.73406494309506</v>
          </cell>
          <cell r="Z7">
            <v>273.46424092641621</v>
          </cell>
          <cell r="AA7">
            <v>270.19441690973736</v>
          </cell>
          <cell r="AB7">
            <v>266.92459289305839</v>
          </cell>
          <cell r="AC7">
            <v>260.77064880327123</v>
          </cell>
          <cell r="AD7">
            <v>254.6167047134841</v>
          </cell>
          <cell r="AE7">
            <v>248.46276062369697</v>
          </cell>
          <cell r="AF7">
            <v>242.30881653390983</v>
          </cell>
          <cell r="AG7">
            <v>236.1548724441227</v>
          </cell>
          <cell r="AH7">
            <v>229.900699765719</v>
          </cell>
          <cell r="AI7">
            <v>223.64652708731529</v>
          </cell>
          <cell r="AJ7">
            <v>217.39235440891159</v>
          </cell>
          <cell r="AK7">
            <v>211.13818173050788</v>
          </cell>
          <cell r="AL7">
            <v>204.8840090521042</v>
          </cell>
          <cell r="AM7">
            <v>198.09947267058183</v>
          </cell>
          <cell r="AN7">
            <v>191.31493628905946</v>
          </cell>
          <cell r="AO7">
            <v>184.53039990753709</v>
          </cell>
          <cell r="AP7">
            <v>177.74586352601472</v>
          </cell>
          <cell r="AQ7">
            <v>170.96132714449232</v>
          </cell>
          <cell r="AR7">
            <v>164.50172314536118</v>
          </cell>
          <cell r="AS7">
            <v>158.04211914623005</v>
          </cell>
          <cell r="AT7">
            <v>151.58251514709892</v>
          </cell>
          <cell r="AU7">
            <v>145.12291114796778</v>
          </cell>
          <cell r="AV7">
            <v>138.66330714883668</v>
          </cell>
          <cell r="AW7">
            <v>136.0162768838297</v>
          </cell>
          <cell r="AX7">
            <v>133.36924661882273</v>
          </cell>
          <cell r="AY7">
            <v>130.72221635381575</v>
          </cell>
          <cell r="AZ7">
            <v>128.07518608880878</v>
          </cell>
          <cell r="BA7">
            <v>125.42815582380175</v>
          </cell>
        </row>
        <row r="8">
          <cell r="A8">
            <v>6</v>
          </cell>
          <cell r="B8" t="str">
            <v>Pulp &amp; Paper</v>
          </cell>
          <cell r="C8">
            <v>248.47800249985161</v>
          </cell>
          <cell r="D8">
            <v>237.35164856391825</v>
          </cell>
          <cell r="E8">
            <v>237.35164856391825</v>
          </cell>
          <cell r="F8">
            <v>220.6621176600182</v>
          </cell>
          <cell r="G8">
            <v>194.41575097860326</v>
          </cell>
          <cell r="H8">
            <v>188.85072717685813</v>
          </cell>
          <cell r="I8">
            <v>183.285703375113</v>
          </cell>
          <cell r="J8">
            <v>177.72067957336787</v>
          </cell>
          <cell r="K8">
            <v>172.15565577162275</v>
          </cell>
          <cell r="L8">
            <v>166.59063196987762</v>
          </cell>
          <cell r="M8">
            <v>161.02560816813249</v>
          </cell>
          <cell r="N8">
            <v>155.46058436638737</v>
          </cell>
          <cell r="O8">
            <v>149.89556056464224</v>
          </cell>
          <cell r="P8">
            <v>144.33053676289711</v>
          </cell>
          <cell r="Q8">
            <v>138.76551296115198</v>
          </cell>
          <cell r="R8">
            <v>133.20048915940689</v>
          </cell>
          <cell r="S8">
            <v>131.09018064701942</v>
          </cell>
          <cell r="T8">
            <v>128.97987213463196</v>
          </cell>
          <cell r="U8">
            <v>126.8695636222445</v>
          </cell>
          <cell r="V8">
            <v>124.75925510985704</v>
          </cell>
          <cell r="W8">
            <v>122.64894659746955</v>
          </cell>
          <cell r="X8">
            <v>117.81778717154522</v>
          </cell>
          <cell r="Y8">
            <v>112.98662774562089</v>
          </cell>
          <cell r="Z8">
            <v>108.15546831969657</v>
          </cell>
          <cell r="AA8">
            <v>103.32430889377224</v>
          </cell>
          <cell r="AB8">
            <v>98.493149467847886</v>
          </cell>
          <cell r="AC8">
            <v>92.77768311558421</v>
          </cell>
          <cell r="AD8">
            <v>87.062216763320535</v>
          </cell>
          <cell r="AE8">
            <v>81.34675041105686</v>
          </cell>
          <cell r="AF8">
            <v>75.631284058793184</v>
          </cell>
          <cell r="AG8">
            <v>69.915817706529495</v>
          </cell>
          <cell r="AH8">
            <v>61.8793528921057</v>
          </cell>
          <cell r="AI8">
            <v>53.842888077681906</v>
          </cell>
          <cell r="AJ8">
            <v>45.806423263258111</v>
          </cell>
          <cell r="AK8">
            <v>37.769958448834316</v>
          </cell>
          <cell r="AL8">
            <v>29.733493634410511</v>
          </cell>
          <cell r="AM8">
            <v>29.502946505755055</v>
          </cell>
          <cell r="AN8">
            <v>29.2723993770996</v>
          </cell>
          <cell r="AO8">
            <v>29.041852248444144</v>
          </cell>
          <cell r="AP8">
            <v>28.811305119788688</v>
          </cell>
          <cell r="AQ8">
            <v>28.58075799113324</v>
          </cell>
          <cell r="AR8">
            <v>28.301337078374857</v>
          </cell>
          <cell r="AS8">
            <v>28.021916165616474</v>
          </cell>
          <cell r="AT8">
            <v>27.742495252858092</v>
          </cell>
          <cell r="AU8">
            <v>27.463074340099709</v>
          </cell>
          <cell r="AV8">
            <v>27.183653427341326</v>
          </cell>
          <cell r="AW8">
            <v>26.295685969294027</v>
          </cell>
          <cell r="AX8">
            <v>25.407718511246728</v>
          </cell>
          <cell r="AY8">
            <v>24.519751053199428</v>
          </cell>
          <cell r="AZ8">
            <v>23.631783595152129</v>
          </cell>
          <cell r="BA8">
            <v>22.743816137104837</v>
          </cell>
        </row>
        <row r="9">
          <cell r="A9">
            <v>7</v>
          </cell>
          <cell r="B9" t="str">
            <v>Manufacture of light-road automotor vehicles</v>
          </cell>
          <cell r="C9">
            <v>1935.2290466320669</v>
          </cell>
          <cell r="D9">
            <v>2084.4305413154134</v>
          </cell>
          <cell r="E9">
            <v>1932.864508825658</v>
          </cell>
          <cell r="F9">
            <v>2232.4497670955552</v>
          </cell>
          <cell r="G9">
            <v>2216.1619801312718</v>
          </cell>
          <cell r="H9">
            <v>2199.8741931669888</v>
          </cell>
          <cell r="I9">
            <v>2183.5864062027053</v>
          </cell>
          <cell r="J9">
            <v>2167.2986192384219</v>
          </cell>
          <cell r="K9">
            <v>2151.0108322741385</v>
          </cell>
          <cell r="L9">
            <v>2134.7230453098555</v>
          </cell>
          <cell r="M9">
            <v>2118.435258345572</v>
          </cell>
          <cell r="N9">
            <v>2095.4462653099399</v>
          </cell>
          <cell r="O9">
            <v>2072.4572722743083</v>
          </cell>
          <cell r="P9">
            <v>2049.4682792386761</v>
          </cell>
          <cell r="Q9">
            <v>2026.4792862030442</v>
          </cell>
          <cell r="R9">
            <v>2003.4902931674123</v>
          </cell>
          <cell r="S9">
            <v>1974.331381169711</v>
          </cell>
          <cell r="T9">
            <v>1945.1724691720096</v>
          </cell>
          <cell r="U9">
            <v>1916.0135571743081</v>
          </cell>
          <cell r="V9">
            <v>1886.8546451766067</v>
          </cell>
          <cell r="W9">
            <v>1857.6957331789054</v>
          </cell>
          <cell r="X9">
            <v>1839.4163387399183</v>
          </cell>
          <cell r="Y9">
            <v>1821.1369443009312</v>
          </cell>
          <cell r="Z9">
            <v>1802.8575498619443</v>
          </cell>
          <cell r="AA9">
            <v>1784.5781554229573</v>
          </cell>
          <cell r="AB9">
            <v>1766.2987609839702</v>
          </cell>
          <cell r="AC9">
            <v>1737.3270784050562</v>
          </cell>
          <cell r="AD9">
            <v>1708.3553958261423</v>
          </cell>
          <cell r="AE9">
            <v>1679.3837132472286</v>
          </cell>
          <cell r="AF9">
            <v>1650.4120306683146</v>
          </cell>
          <cell r="AG9">
            <v>1621.4403480894007</v>
          </cell>
          <cell r="AH9">
            <v>1584.5961970390404</v>
          </cell>
          <cell r="AI9">
            <v>1547.7520459886798</v>
          </cell>
          <cell r="AJ9">
            <v>1510.9078949383195</v>
          </cell>
          <cell r="AK9">
            <v>1474.0637438879589</v>
          </cell>
          <cell r="AL9">
            <v>1437.2195928375986</v>
          </cell>
          <cell r="AM9">
            <v>1398.3027945017254</v>
          </cell>
          <cell r="AN9">
            <v>1359.3859961658522</v>
          </cell>
          <cell r="AO9">
            <v>1320.4691978299793</v>
          </cell>
          <cell r="AP9">
            <v>1281.5523994941061</v>
          </cell>
          <cell r="AQ9">
            <v>1242.6356011582329</v>
          </cell>
        </row>
        <row r="10">
          <cell r="A10">
            <v>8</v>
          </cell>
          <cell r="B10" t="str">
            <v>Other Industry</v>
          </cell>
          <cell r="C10">
            <v>1</v>
          </cell>
          <cell r="D10">
            <v>1.0770975895297799</v>
          </cell>
          <cell r="E10">
            <v>0.99877816126699626</v>
          </cell>
          <cell r="F10">
            <v>1.1535842596930579</v>
          </cell>
          <cell r="G10">
            <v>1.1685506270204331</v>
          </cell>
          <cell r="H10">
            <v>1.1449034304929853</v>
          </cell>
          <cell r="I10">
            <v>1.1212562339655374</v>
          </cell>
          <cell r="J10">
            <v>1.0976090374380896</v>
          </cell>
          <cell r="K10">
            <v>1.073961840910642</v>
          </cell>
          <cell r="L10">
            <v>1.0503146443831941</v>
          </cell>
          <cell r="M10">
            <v>1.0266674478557465</v>
          </cell>
          <cell r="N10">
            <v>1.0030202513282989</v>
          </cell>
          <cell r="O10">
            <v>0.97937305480085113</v>
          </cell>
          <cell r="P10">
            <v>0.95572585827340351</v>
          </cell>
          <cell r="Q10">
            <v>0.93207866174595588</v>
          </cell>
          <cell r="R10">
            <v>0.90843146521850826</v>
          </cell>
          <cell r="S10">
            <v>0.88759653760997836</v>
          </cell>
          <cell r="T10">
            <v>0.86676161000144858</v>
          </cell>
          <cell r="U10">
            <v>0.84592668239291868</v>
          </cell>
          <cell r="V10">
            <v>0.82509175478438879</v>
          </cell>
          <cell r="W10">
            <v>0.80425682717585889</v>
          </cell>
          <cell r="X10">
            <v>0.79550817613505576</v>
          </cell>
          <cell r="Y10">
            <v>0.78675952509425273</v>
          </cell>
          <cell r="Z10">
            <v>0.7780108740534496</v>
          </cell>
          <cell r="AA10">
            <v>0.76926222301264646</v>
          </cell>
          <cell r="AB10">
            <v>0.76051357197184366</v>
          </cell>
          <cell r="AC10">
            <v>0.75297165093809693</v>
          </cell>
          <cell r="AD10">
            <v>0.74542972990435019</v>
          </cell>
          <cell r="AE10">
            <v>0.73788780887060346</v>
          </cell>
          <cell r="AF10">
            <v>0.73034588783685672</v>
          </cell>
          <cell r="AG10">
            <v>0.72280396680310977</v>
          </cell>
          <cell r="AH10">
            <v>0.71013007045887089</v>
          </cell>
          <cell r="AI10">
            <v>0.69745617411463201</v>
          </cell>
          <cell r="AJ10">
            <v>0.68478227777039302</v>
          </cell>
          <cell r="AK10">
            <v>0.67210838142615414</v>
          </cell>
          <cell r="AL10">
            <v>0.65943448508191549</v>
          </cell>
          <cell r="AM10">
            <v>0.64696141731707069</v>
          </cell>
          <cell r="AN10">
            <v>0.63448834955222599</v>
          </cell>
          <cell r="AO10">
            <v>0.62201528178738119</v>
          </cell>
          <cell r="AP10">
            <v>0.60954221402253639</v>
          </cell>
          <cell r="AQ10">
            <v>0.5970691462576917</v>
          </cell>
          <cell r="AR10">
            <v>0.58476511851711688</v>
          </cell>
          <cell r="AS10">
            <v>0.57246109077654195</v>
          </cell>
          <cell r="AT10">
            <v>0.56015706303596713</v>
          </cell>
          <cell r="AU10">
            <v>0.54785303529539231</v>
          </cell>
          <cell r="AV10">
            <v>0.53554900755481727</v>
          </cell>
          <cell r="AW10">
            <v>0.52443317252370369</v>
          </cell>
          <cell r="AX10">
            <v>0.51331733749259012</v>
          </cell>
          <cell r="AY10">
            <v>0.50220150246147655</v>
          </cell>
          <cell r="AZ10">
            <v>0.49108566743036292</v>
          </cell>
          <cell r="BA10">
            <v>0.47996983239924929</v>
          </cell>
        </row>
        <row r="11">
          <cell r="A11">
            <v>9</v>
          </cell>
          <cell r="B11" t="str">
            <v>Passenger transport - Air</v>
          </cell>
          <cell r="C11">
            <v>885.38884953655895</v>
          </cell>
          <cell r="D11">
            <v>910.45255721715716</v>
          </cell>
          <cell r="E11">
            <v>935.51626489775526</v>
          </cell>
          <cell r="F11">
            <v>960.57997257835348</v>
          </cell>
          <cell r="G11">
            <v>985.64368025895158</v>
          </cell>
          <cell r="H11">
            <v>1010.7073879395498</v>
          </cell>
          <cell r="I11">
            <v>1007.8695750130779</v>
          </cell>
          <cell r="J11">
            <v>1005.031762086606</v>
          </cell>
          <cell r="K11">
            <v>1002.193949160134</v>
          </cell>
          <cell r="L11">
            <v>999.35613623366214</v>
          </cell>
          <cell r="M11">
            <v>996.51832330719026</v>
          </cell>
          <cell r="N11">
            <v>989.1853390303105</v>
          </cell>
          <cell r="O11">
            <v>981.85235475343086</v>
          </cell>
          <cell r="P11">
            <v>974.5193704765511</v>
          </cell>
          <cell r="Q11">
            <v>967.18638619967146</v>
          </cell>
          <cell r="R11">
            <v>959.8534019227917</v>
          </cell>
          <cell r="S11">
            <v>946.48918124721718</v>
          </cell>
          <cell r="T11">
            <v>933.12496057164265</v>
          </cell>
          <cell r="U11">
            <v>919.760739896068</v>
          </cell>
          <cell r="V11">
            <v>906.39651922049347</v>
          </cell>
          <cell r="W11">
            <v>893.03229854491894</v>
          </cell>
          <cell r="X11">
            <v>870.70215858888378</v>
          </cell>
          <cell r="Y11">
            <v>848.37201863284861</v>
          </cell>
          <cell r="Z11">
            <v>826.04187867681344</v>
          </cell>
          <cell r="AA11">
            <v>803.71173872077838</v>
          </cell>
          <cell r="AB11">
            <v>781.38159876474322</v>
          </cell>
          <cell r="AC11">
            <v>759.46357775635602</v>
          </cell>
          <cell r="AD11">
            <v>737.54555674796882</v>
          </cell>
          <cell r="AE11">
            <v>715.62753573958162</v>
          </cell>
          <cell r="AF11">
            <v>693.70951473119442</v>
          </cell>
          <cell r="AG11">
            <v>671.79149372280722</v>
          </cell>
          <cell r="AH11">
            <v>649.09037401574346</v>
          </cell>
          <cell r="AI11">
            <v>626.38925430867982</v>
          </cell>
          <cell r="AJ11">
            <v>603.68813460161607</v>
          </cell>
          <cell r="AK11">
            <v>580.98701489455243</v>
          </cell>
          <cell r="AL11">
            <v>558.28589518748868</v>
          </cell>
          <cell r="AM11">
            <v>533.01434816521703</v>
          </cell>
          <cell r="AN11">
            <v>507.74280114294544</v>
          </cell>
          <cell r="AO11">
            <v>482.47125412067379</v>
          </cell>
          <cell r="AP11">
            <v>457.1997070984022</v>
          </cell>
          <cell r="AQ11">
            <v>431.92816007613055</v>
          </cell>
        </row>
        <row r="12">
          <cell r="A12">
            <v>10</v>
          </cell>
          <cell r="B12" t="str">
            <v>Passenger transport - Light Road</v>
          </cell>
          <cell r="C12">
            <v>3409.3325925804033</v>
          </cell>
          <cell r="D12">
            <v>3469.1204255933508</v>
          </cell>
          <cell r="E12">
            <v>3528.9082586062982</v>
          </cell>
          <cell r="F12">
            <v>3588.6960916192456</v>
          </cell>
          <cell r="G12">
            <v>3648.4839246321926</v>
          </cell>
          <cell r="H12">
            <v>3708.27175764514</v>
          </cell>
          <cell r="I12">
            <v>3708.380631044186</v>
          </cell>
          <cell r="J12">
            <v>3708.4895044432315</v>
          </cell>
          <cell r="K12">
            <v>3708.5983778422774</v>
          </cell>
          <cell r="L12">
            <v>3708.7072512413229</v>
          </cell>
          <cell r="M12">
            <v>3708.8161246403688</v>
          </cell>
          <cell r="N12">
            <v>3694.0916611149664</v>
          </cell>
          <cell r="O12">
            <v>3679.3671975895636</v>
          </cell>
          <cell r="P12">
            <v>3664.6427340641603</v>
          </cell>
          <cell r="Q12">
            <v>3649.9182705387575</v>
          </cell>
          <cell r="R12">
            <v>3635.1938070133547</v>
          </cell>
          <cell r="S12">
            <v>3584.5581238772334</v>
          </cell>
          <cell r="T12">
            <v>3533.922440741112</v>
          </cell>
          <cell r="U12">
            <v>3483.2867576049903</v>
          </cell>
          <cell r="V12">
            <v>3432.6510744688685</v>
          </cell>
          <cell r="W12">
            <v>3382.0153913327472</v>
          </cell>
          <cell r="X12">
            <v>3309.5382448155478</v>
          </cell>
          <cell r="Y12">
            <v>3237.061098298348</v>
          </cell>
          <cell r="Z12">
            <v>3164.5839517811487</v>
          </cell>
          <cell r="AA12">
            <v>3092.1068052639494</v>
          </cell>
          <cell r="AB12">
            <v>3019.62965874675</v>
          </cell>
          <cell r="AC12">
            <v>2934.203720022444</v>
          </cell>
          <cell r="AD12">
            <v>2848.7777812981385</v>
          </cell>
          <cell r="AE12">
            <v>2763.351842573833</v>
          </cell>
          <cell r="AF12">
            <v>2677.925903849527</v>
          </cell>
          <cell r="AG12">
            <v>2592.499965125221</v>
          </cell>
          <cell r="AH12">
            <v>2507.0670383340757</v>
          </cell>
          <cell r="AI12">
            <v>2421.6341115429309</v>
          </cell>
          <cell r="AJ12">
            <v>2336.2011847517861</v>
          </cell>
          <cell r="AK12">
            <v>2250.7682579606408</v>
          </cell>
          <cell r="AL12">
            <v>2165.3353311694959</v>
          </cell>
          <cell r="AM12">
            <v>2093.3338931085227</v>
          </cell>
          <cell r="AN12">
            <v>2021.3324550475497</v>
          </cell>
          <cell r="AO12">
            <v>1949.3310169865767</v>
          </cell>
          <cell r="AP12">
            <v>1877.329578925604</v>
          </cell>
          <cell r="AQ12">
            <v>1805.3281408646308</v>
          </cell>
        </row>
        <row r="13">
          <cell r="A13">
            <v>11</v>
          </cell>
          <cell r="B13" t="str">
            <v>Passenger transport - Heavy Road</v>
          </cell>
          <cell r="C13">
            <v>432.62758213249299</v>
          </cell>
          <cell r="D13">
            <v>429.66605277511684</v>
          </cell>
          <cell r="E13">
            <v>426.7045234177408</v>
          </cell>
          <cell r="F13">
            <v>423.74299406036465</v>
          </cell>
          <cell r="G13">
            <v>420.78146470298861</v>
          </cell>
          <cell r="H13">
            <v>417.81993534561252</v>
          </cell>
          <cell r="I13">
            <v>415.82892233464355</v>
          </cell>
          <cell r="J13">
            <v>413.83790932367458</v>
          </cell>
          <cell r="K13">
            <v>411.84689631270567</v>
          </cell>
          <cell r="L13">
            <v>409.8558833017367</v>
          </cell>
          <cell r="M13">
            <v>407.86487029076773</v>
          </cell>
          <cell r="N13">
            <v>407.78469844029701</v>
          </cell>
          <cell r="O13">
            <v>407.70452658982623</v>
          </cell>
          <cell r="P13">
            <v>407.62435473935545</v>
          </cell>
          <cell r="Q13">
            <v>407.54418288888473</v>
          </cell>
          <cell r="R13">
            <v>407.4640110384139</v>
          </cell>
          <cell r="S13">
            <v>407.03599658876703</v>
          </cell>
          <cell r="T13">
            <v>406.60798213912005</v>
          </cell>
          <cell r="U13">
            <v>406.17996768947319</v>
          </cell>
          <cell r="V13">
            <v>405.75195323982626</v>
          </cell>
          <cell r="W13">
            <v>405.32393879017934</v>
          </cell>
          <cell r="X13">
            <v>403.29251449487299</v>
          </cell>
          <cell r="Y13">
            <v>401.26109019956664</v>
          </cell>
          <cell r="Z13">
            <v>399.22966590426023</v>
          </cell>
          <cell r="AA13">
            <v>397.19824160895388</v>
          </cell>
          <cell r="AB13">
            <v>395.16681731364747</v>
          </cell>
          <cell r="AC13">
            <v>391.44693427486283</v>
          </cell>
          <cell r="AD13">
            <v>387.72705123607818</v>
          </cell>
          <cell r="AE13">
            <v>384.00716819729348</v>
          </cell>
          <cell r="AF13">
            <v>380.28728515850878</v>
          </cell>
          <cell r="AG13">
            <v>376.56740211972414</v>
          </cell>
          <cell r="AH13">
            <v>372.49515719759984</v>
          </cell>
          <cell r="AI13">
            <v>368.4229122754756</v>
          </cell>
          <cell r="AJ13">
            <v>364.3506673533513</v>
          </cell>
          <cell r="AK13">
            <v>360.278422431227</v>
          </cell>
          <cell r="AL13">
            <v>356.20617750910276</v>
          </cell>
          <cell r="AM13">
            <v>351.86407820675072</v>
          </cell>
          <cell r="AN13">
            <v>347.52197890439874</v>
          </cell>
          <cell r="AO13">
            <v>343.17987960204675</v>
          </cell>
          <cell r="AP13">
            <v>338.83778029969471</v>
          </cell>
          <cell r="AQ13">
            <v>334.49568099734273</v>
          </cell>
        </row>
        <row r="14">
          <cell r="A14">
            <v>12</v>
          </cell>
          <cell r="B14" t="str">
            <v>Passenger transport - Rail</v>
          </cell>
          <cell r="C14">
            <v>73.951330818737901</v>
          </cell>
          <cell r="D14">
            <v>74.02679063893531</v>
          </cell>
          <cell r="E14">
            <v>74.102250459132705</v>
          </cell>
          <cell r="F14">
            <v>74.177710279330114</v>
          </cell>
          <cell r="G14">
            <v>74.253170099527509</v>
          </cell>
          <cell r="H14">
            <v>74.328629919724918</v>
          </cell>
          <cell r="I14">
            <v>73.28716386868166</v>
          </cell>
          <cell r="J14">
            <v>72.245697817638401</v>
          </cell>
          <cell r="K14">
            <v>71.204231766595157</v>
          </cell>
          <cell r="L14">
            <v>70.162765715551899</v>
          </cell>
          <cell r="M14">
            <v>69.121299664508641</v>
          </cell>
          <cell r="N14">
            <v>67.049047004269326</v>
          </cell>
          <cell r="O14">
            <v>64.976794344030012</v>
          </cell>
          <cell r="P14">
            <v>62.90454168379069</v>
          </cell>
          <cell r="Q14">
            <v>60.832289023551368</v>
          </cell>
          <cell r="R14">
            <v>58.760036363312054</v>
          </cell>
          <cell r="S14">
            <v>56.606362817391151</v>
          </cell>
          <cell r="T14">
            <v>54.452689271470256</v>
          </cell>
          <cell r="U14">
            <v>52.299015725549353</v>
          </cell>
          <cell r="V14">
            <v>50.145342179628457</v>
          </cell>
          <cell r="W14">
            <v>47.991668633707555</v>
          </cell>
          <cell r="X14">
            <v>45.316584236786198</v>
          </cell>
          <cell r="Y14">
            <v>42.641499839864842</v>
          </cell>
          <cell r="Z14">
            <v>39.966415442943486</v>
          </cell>
          <cell r="AA14">
            <v>37.291331046022137</v>
          </cell>
          <cell r="AB14">
            <v>34.616246649100781</v>
          </cell>
          <cell r="AC14">
            <v>32.11556058222515</v>
          </cell>
          <cell r="AD14">
            <v>29.614874515349523</v>
          </cell>
          <cell r="AE14">
            <v>27.114188448473893</v>
          </cell>
          <cell r="AF14">
            <v>24.613502381598266</v>
          </cell>
          <cell r="AG14">
            <v>22.112816314722636</v>
          </cell>
          <cell r="AH14">
            <v>20.73673064877331</v>
          </cell>
          <cell r="AI14">
            <v>19.360644982823988</v>
          </cell>
          <cell r="AJ14">
            <v>17.984559316874662</v>
          </cell>
          <cell r="AK14">
            <v>16.60847365092534</v>
          </cell>
          <cell r="AL14">
            <v>15.232387984976015</v>
          </cell>
          <cell r="AM14">
            <v>14.455850863442704</v>
          </cell>
          <cell r="AN14">
            <v>13.679313741909393</v>
          </cell>
          <cell r="AO14">
            <v>12.902776620376082</v>
          </cell>
          <cell r="AP14">
            <v>12.126239498842772</v>
          </cell>
          <cell r="AQ14">
            <v>11.349702377309461</v>
          </cell>
        </row>
        <row r="15">
          <cell r="A15">
            <v>13</v>
          </cell>
          <cell r="B15" t="str">
            <v>Other transport</v>
          </cell>
          <cell r="C15">
            <v>2901.5790064649877</v>
          </cell>
          <cell r="D15">
            <v>3191.4821097861814</v>
          </cell>
          <cell r="E15">
            <v>3380.5470507340324</v>
          </cell>
          <cell r="F15">
            <v>3720.8692352418975</v>
          </cell>
          <cell r="G15">
            <v>3665.1231894484099</v>
          </cell>
          <cell r="H15">
            <v>3609.3771436549205</v>
          </cell>
          <cell r="I15">
            <v>3641.3579876072372</v>
          </cell>
          <cell r="J15">
            <v>3673.338831559553</v>
          </cell>
          <cell r="K15">
            <v>3705.3196755118706</v>
          </cell>
          <cell r="L15">
            <v>3737.3005194641873</v>
          </cell>
          <cell r="M15">
            <v>3769.2813634165041</v>
          </cell>
          <cell r="N15">
            <v>3777.4782877031412</v>
          </cell>
          <cell r="O15">
            <v>3785.6752119897792</v>
          </cell>
          <cell r="P15">
            <v>3793.8721362764172</v>
          </cell>
          <cell r="Q15">
            <v>3802.0690605630543</v>
          </cell>
          <cell r="R15">
            <v>3810.2659848496933</v>
          </cell>
          <cell r="S15">
            <v>3820.8297916132797</v>
          </cell>
          <cell r="T15">
            <v>3831.3935983768679</v>
          </cell>
          <cell r="U15">
            <v>3841.957405140457</v>
          </cell>
          <cell r="V15">
            <v>3852.5212119040452</v>
          </cell>
          <cell r="W15">
            <v>3863.0850186676334</v>
          </cell>
          <cell r="X15">
            <v>3870.3406451035307</v>
          </cell>
          <cell r="Y15">
            <v>3877.5962715394298</v>
          </cell>
          <cell r="Z15">
            <v>3884.8518979753253</v>
          </cell>
          <cell r="AA15">
            <v>3892.1075244112244</v>
          </cell>
          <cell r="AB15">
            <v>3899.3631508471226</v>
          </cell>
          <cell r="AC15">
            <v>3882.2633787828063</v>
          </cell>
          <cell r="AD15">
            <v>3865.1636067184913</v>
          </cell>
          <cell r="AE15">
            <v>3848.0638346541764</v>
          </cell>
          <cell r="AF15">
            <v>3830.9640625898614</v>
          </cell>
          <cell r="AG15">
            <v>3813.8642905255465</v>
          </cell>
          <cell r="AH15">
            <v>3785.3919111849518</v>
          </cell>
          <cell r="AI15">
            <v>3756.9195318443567</v>
          </cell>
          <cell r="AJ15">
            <v>3728.4471525037625</v>
          </cell>
          <cell r="AK15">
            <v>3699.9747731631683</v>
          </cell>
          <cell r="AL15">
            <v>3671.5023938225727</v>
          </cell>
          <cell r="AM15">
            <v>3636.9254342465438</v>
          </cell>
          <cell r="AN15">
            <v>3602.3484746705162</v>
          </cell>
          <cell r="AO15">
            <v>3567.7715150944873</v>
          </cell>
          <cell r="AP15">
            <v>3533.1945555184593</v>
          </cell>
          <cell r="AQ15">
            <v>3498.6175959424304</v>
          </cell>
        </row>
        <row r="16">
          <cell r="A16">
            <v>14</v>
          </cell>
          <cell r="B16" t="str">
            <v>Services / Commercial Buildings</v>
          </cell>
          <cell r="C16">
            <v>815.39304786747857</v>
          </cell>
          <cell r="D16">
            <v>876.40176065756123</v>
          </cell>
          <cell r="E16">
            <v>837.1377493596998</v>
          </cell>
          <cell r="F16">
            <v>948.28282419375432</v>
          </cell>
          <cell r="G16">
            <v>918.89557394509745</v>
          </cell>
          <cell r="H16">
            <v>886.54990754770404</v>
          </cell>
          <cell r="I16">
            <v>854.20424115031062</v>
          </cell>
          <cell r="J16">
            <v>821.85857475291721</v>
          </cell>
          <cell r="K16">
            <v>789.51290835552379</v>
          </cell>
          <cell r="L16">
            <v>757.16724195813038</v>
          </cell>
          <cell r="M16">
            <v>724.82157556073696</v>
          </cell>
          <cell r="N16">
            <v>692.47590916334354</v>
          </cell>
          <cell r="O16">
            <v>660.13024276595013</v>
          </cell>
          <cell r="P16">
            <v>627.78457636855671</v>
          </cell>
          <cell r="Q16">
            <v>595.4389099711633</v>
          </cell>
          <cell r="R16">
            <v>563.09324357376943</v>
          </cell>
          <cell r="S16">
            <v>527.04630383311212</v>
          </cell>
          <cell r="T16">
            <v>490.99936409245487</v>
          </cell>
          <cell r="U16">
            <v>454.95242435179762</v>
          </cell>
          <cell r="V16">
            <v>418.90548461114037</v>
          </cell>
          <cell r="W16">
            <v>382.85854487048312</v>
          </cell>
          <cell r="X16">
            <v>370.62997133715476</v>
          </cell>
          <cell r="Y16">
            <v>358.4013978038264</v>
          </cell>
          <cell r="Z16">
            <v>346.17282427049804</v>
          </cell>
          <cell r="AA16">
            <v>333.94425073716968</v>
          </cell>
          <cell r="AB16">
            <v>321.71567720384121</v>
          </cell>
          <cell r="AC16">
            <v>307.86016789740376</v>
          </cell>
          <cell r="AD16">
            <v>294.0046585909663</v>
          </cell>
          <cell r="AE16">
            <v>280.14914928452885</v>
          </cell>
          <cell r="AF16">
            <v>266.29363997809139</v>
          </cell>
          <cell r="AG16">
            <v>252.43813067165385</v>
          </cell>
          <cell r="AH16">
            <v>240.61547942060577</v>
          </cell>
          <cell r="AI16">
            <v>228.79282816955768</v>
          </cell>
          <cell r="AJ16">
            <v>216.97017691850959</v>
          </cell>
          <cell r="AK16">
            <v>205.14752566746151</v>
          </cell>
          <cell r="AL16">
            <v>193.32487441641348</v>
          </cell>
          <cell r="AM16">
            <v>181.03313443273223</v>
          </cell>
          <cell r="AN16">
            <v>168.74139444905097</v>
          </cell>
          <cell r="AO16">
            <v>156.44965446536972</v>
          </cell>
          <cell r="AP16">
            <v>144.15791448168847</v>
          </cell>
          <cell r="AQ16">
            <v>131.86617449800715</v>
          </cell>
          <cell r="AR16">
            <v>128.96759549715216</v>
          </cell>
          <cell r="AS16">
            <v>126.06901649629718</v>
          </cell>
          <cell r="AT16">
            <v>123.1704374954422</v>
          </cell>
          <cell r="AU16">
            <v>120.27185849458722</v>
          </cell>
          <cell r="AV16">
            <v>117.37327949373224</v>
          </cell>
          <cell r="AW16">
            <v>114.54167868924955</v>
          </cell>
          <cell r="AX16">
            <v>111.71007788476686</v>
          </cell>
          <cell r="AY16">
            <v>108.87847708028417</v>
          </cell>
          <cell r="AZ16">
            <v>106.04687627580148</v>
          </cell>
          <cell r="BA16">
            <v>103.2152754713188</v>
          </cell>
        </row>
        <row r="19">
          <cell r="A19" t="str">
            <v>Code</v>
          </cell>
          <cell r="B19" t="str">
            <v>Sector</v>
          </cell>
          <cell r="C19">
            <v>2010</v>
          </cell>
          <cell r="D19">
            <v>2011</v>
          </cell>
          <cell r="E19">
            <v>2012</v>
          </cell>
          <cell r="F19">
            <v>2013</v>
          </cell>
          <cell r="G19">
            <v>2014</v>
          </cell>
          <cell r="H19">
            <v>2015</v>
          </cell>
          <cell r="I19">
            <v>2016</v>
          </cell>
          <cell r="J19">
            <v>2017</v>
          </cell>
          <cell r="K19">
            <v>2018</v>
          </cell>
          <cell r="L19">
            <v>2019</v>
          </cell>
          <cell r="M19">
            <v>2020</v>
          </cell>
          <cell r="N19">
            <v>2021</v>
          </cell>
          <cell r="O19">
            <v>2022</v>
          </cell>
          <cell r="P19">
            <v>2023</v>
          </cell>
          <cell r="Q19">
            <v>2024</v>
          </cell>
          <cell r="R19">
            <v>2025</v>
          </cell>
          <cell r="S19">
            <v>2026</v>
          </cell>
          <cell r="T19">
            <v>2027</v>
          </cell>
          <cell r="U19">
            <v>2028</v>
          </cell>
          <cell r="V19">
            <v>2029</v>
          </cell>
          <cell r="W19">
            <v>2030</v>
          </cell>
          <cell r="X19">
            <v>2031</v>
          </cell>
          <cell r="Y19">
            <v>2032</v>
          </cell>
          <cell r="Z19">
            <v>2033</v>
          </cell>
          <cell r="AA19">
            <v>2034</v>
          </cell>
          <cell r="AB19">
            <v>2035</v>
          </cell>
          <cell r="AC19">
            <v>2036</v>
          </cell>
          <cell r="AD19">
            <v>2037</v>
          </cell>
          <cell r="AE19">
            <v>2038</v>
          </cell>
          <cell r="AF19">
            <v>2039</v>
          </cell>
          <cell r="AG19">
            <v>2040</v>
          </cell>
          <cell r="AH19">
            <v>2041</v>
          </cell>
          <cell r="AI19">
            <v>2042</v>
          </cell>
          <cell r="AJ19">
            <v>2043</v>
          </cell>
          <cell r="AK19">
            <v>2044</v>
          </cell>
          <cell r="AL19">
            <v>2045</v>
          </cell>
          <cell r="AM19">
            <v>2046</v>
          </cell>
          <cell r="AN19">
            <v>2047</v>
          </cell>
          <cell r="AO19">
            <v>2048</v>
          </cell>
          <cell r="AP19">
            <v>2049</v>
          </cell>
          <cell r="AQ19">
            <v>2050</v>
          </cell>
          <cell r="AR19">
            <v>2051</v>
          </cell>
          <cell r="AS19">
            <v>2052</v>
          </cell>
          <cell r="AT19">
            <v>2053</v>
          </cell>
          <cell r="AU19">
            <v>2054</v>
          </cell>
          <cell r="AV19">
            <v>2055</v>
          </cell>
          <cell r="AW19">
            <v>2056</v>
          </cell>
          <cell r="AX19">
            <v>2057</v>
          </cell>
          <cell r="AY19">
            <v>2058</v>
          </cell>
          <cell r="AZ19">
            <v>2059</v>
          </cell>
          <cell r="BA19">
            <v>2060</v>
          </cell>
        </row>
        <row r="20">
          <cell r="A20">
            <v>1</v>
          </cell>
          <cell r="B20" t="str">
            <v>Power Generation</v>
          </cell>
          <cell r="C20">
            <v>21535927173.396137</v>
          </cell>
          <cell r="D20">
            <v>22129974663.559998</v>
          </cell>
          <cell r="E20">
            <v>22668078072.998005</v>
          </cell>
          <cell r="F20">
            <v>23290097603.524799</v>
          </cell>
          <cell r="G20">
            <v>23818899236</v>
          </cell>
          <cell r="H20">
            <v>24233259259.908772</v>
          </cell>
          <cell r="I20">
            <v>24647619283.817543</v>
          </cell>
          <cell r="J20">
            <v>25061979307.726318</v>
          </cell>
          <cell r="K20">
            <v>25476339331.63509</v>
          </cell>
          <cell r="L20">
            <v>25890699355.543861</v>
          </cell>
          <cell r="M20">
            <v>26305059379.452633</v>
          </cell>
          <cell r="N20">
            <v>26719419403.361404</v>
          </cell>
          <cell r="O20">
            <v>27133779427.270176</v>
          </cell>
          <cell r="P20">
            <v>27548139451.178947</v>
          </cell>
          <cell r="Q20">
            <v>27962499475.087719</v>
          </cell>
          <cell r="R20">
            <v>28376859498.996475</v>
          </cell>
          <cell r="S20">
            <v>28893346505.709778</v>
          </cell>
          <cell r="T20">
            <v>29409833512.42308</v>
          </cell>
          <cell r="U20">
            <v>29926320519.136383</v>
          </cell>
          <cell r="V20">
            <v>30442807525.849682</v>
          </cell>
          <cell r="W20">
            <v>30959294532.562992</v>
          </cell>
          <cell r="X20">
            <v>31532398945.567642</v>
          </cell>
          <cell r="Y20">
            <v>32105503358.572292</v>
          </cell>
          <cell r="Z20">
            <v>32678607771.576942</v>
          </cell>
          <cell r="AA20">
            <v>33251712184.581593</v>
          </cell>
          <cell r="AB20">
            <v>33824816597.58625</v>
          </cell>
          <cell r="AC20">
            <v>34462920300.872658</v>
          </cell>
          <cell r="AD20">
            <v>35101024004.159058</v>
          </cell>
          <cell r="AE20">
            <v>35739127707.445465</v>
          </cell>
          <cell r="AF20">
            <v>36377231410.731865</v>
          </cell>
          <cell r="AG20">
            <v>37015335114.018257</v>
          </cell>
          <cell r="AH20">
            <v>37708528588.042923</v>
          </cell>
          <cell r="AI20">
            <v>38401722062.067589</v>
          </cell>
          <cell r="AJ20">
            <v>39094915536.092255</v>
          </cell>
          <cell r="AK20">
            <v>39788109010.11692</v>
          </cell>
          <cell r="AL20">
            <v>40481302484.141586</v>
          </cell>
          <cell r="AM20">
            <v>41249186561.090065</v>
          </cell>
          <cell r="AN20">
            <v>42017070638.038536</v>
          </cell>
          <cell r="AO20">
            <v>42784954714.987015</v>
          </cell>
          <cell r="AP20">
            <v>43552838791.935486</v>
          </cell>
          <cell r="AQ20">
            <v>44320722868.883972</v>
          </cell>
          <cell r="AR20">
            <v>45176664994.713463</v>
          </cell>
          <cell r="AS20">
            <v>46032607120.542953</v>
          </cell>
          <cell r="AT20">
            <v>46888549246.372444</v>
          </cell>
          <cell r="AU20">
            <v>47744491372.201935</v>
          </cell>
          <cell r="AV20">
            <v>48600433498.031433</v>
          </cell>
          <cell r="AW20">
            <v>49504860135.65007</v>
          </cell>
          <cell r="AX20">
            <v>50409286773.268715</v>
          </cell>
          <cell r="AY20">
            <v>51313713410.88736</v>
          </cell>
          <cell r="AZ20">
            <v>52218140048.505997</v>
          </cell>
          <cell r="BA20">
            <v>53122566686.124649</v>
          </cell>
        </row>
        <row r="21">
          <cell r="A21">
            <v>2</v>
          </cell>
          <cell r="B21" t="str">
            <v>Iron &amp; Steel Industry</v>
          </cell>
          <cell r="C21">
            <v>1440.1995671230011</v>
          </cell>
          <cell r="D21">
            <v>1518.3000000000009</v>
          </cell>
          <cell r="E21">
            <v>1546.0067013689998</v>
          </cell>
          <cell r="F21">
            <v>1649.3039999999996</v>
          </cell>
          <cell r="G21">
            <v>1670.1409999999994</v>
          </cell>
          <cell r="H21">
            <v>1670.5922422310605</v>
          </cell>
          <cell r="I21">
            <v>1671.0434844621216</v>
          </cell>
          <cell r="J21">
            <v>1671.4947266931827</v>
          </cell>
          <cell r="K21">
            <v>1671.9459689242437</v>
          </cell>
          <cell r="L21">
            <v>1672.3972111553048</v>
          </cell>
          <cell r="M21">
            <v>1672.8484533863659</v>
          </cell>
          <cell r="N21">
            <v>1673.299695617427</v>
          </cell>
          <cell r="O21">
            <v>1673.7509378484881</v>
          </cell>
          <cell r="P21">
            <v>1674.2021800795492</v>
          </cell>
          <cell r="Q21">
            <v>1674.6534223106103</v>
          </cell>
          <cell r="R21">
            <v>1675.1046645416709</v>
          </cell>
          <cell r="S21">
            <v>1672.6663282779498</v>
          </cell>
          <cell r="T21">
            <v>1670.2279920142287</v>
          </cell>
          <cell r="U21">
            <v>1667.7896557505076</v>
          </cell>
          <cell r="V21">
            <v>1665.3513194867865</v>
          </cell>
          <cell r="W21">
            <v>1662.9129832230658</v>
          </cell>
          <cell r="X21">
            <v>1671.9351296200375</v>
          </cell>
          <cell r="Y21">
            <v>1680.9572760170092</v>
          </cell>
          <cell r="Z21">
            <v>1689.979422413981</v>
          </cell>
          <cell r="AA21">
            <v>1699.0015688109527</v>
          </cell>
          <cell r="AB21">
            <v>1708.0237152079249</v>
          </cell>
          <cell r="AC21">
            <v>1720.3336246937865</v>
          </cell>
          <cell r="AD21">
            <v>1732.6435341796482</v>
          </cell>
          <cell r="AE21">
            <v>1744.9534436655099</v>
          </cell>
          <cell r="AF21">
            <v>1757.2633531513716</v>
          </cell>
          <cell r="AG21">
            <v>1769.5732626372328</v>
          </cell>
          <cell r="AH21">
            <v>1771.4513206879242</v>
          </cell>
          <cell r="AI21">
            <v>1773.3293787386156</v>
          </cell>
          <cell r="AJ21">
            <v>1775.2074367893069</v>
          </cell>
          <cell r="AK21">
            <v>1777.0854948399983</v>
          </cell>
          <cell r="AL21">
            <v>1778.9635528906899</v>
          </cell>
          <cell r="AM21">
            <v>1788.2629513552429</v>
          </cell>
          <cell r="AN21">
            <v>1797.5623498197958</v>
          </cell>
          <cell r="AO21">
            <v>1806.8617482843488</v>
          </cell>
          <cell r="AP21">
            <v>1816.1611467489017</v>
          </cell>
          <cell r="AQ21">
            <v>1825.4605452134547</v>
          </cell>
          <cell r="AR21">
            <v>1824.0124968281584</v>
          </cell>
          <cell r="AS21">
            <v>1822.5644484428622</v>
          </cell>
          <cell r="AT21">
            <v>1821.1164000575659</v>
          </cell>
          <cell r="AU21">
            <v>1819.6683516722696</v>
          </cell>
          <cell r="AV21">
            <v>1818.2203032869736</v>
          </cell>
          <cell r="AW21">
            <v>1810.4130927701849</v>
          </cell>
          <cell r="AX21">
            <v>1802.6058822533962</v>
          </cell>
          <cell r="AY21">
            <v>1794.7986717366075</v>
          </cell>
          <cell r="AZ21">
            <v>1786.9914612198188</v>
          </cell>
          <cell r="BA21">
            <v>1779.1842507030296</v>
          </cell>
        </row>
        <row r="22">
          <cell r="A22">
            <v>3</v>
          </cell>
          <cell r="B22" t="str">
            <v>Cement</v>
          </cell>
          <cell r="C22">
            <v>3409.1997904373334</v>
          </cell>
          <cell r="D22">
            <v>3635.1730407050004</v>
          </cell>
          <cell r="E22">
            <v>3835.5792084920004</v>
          </cell>
          <cell r="F22">
            <v>4074.3360000000011</v>
          </cell>
          <cell r="G22">
            <v>4175.3100000000004</v>
          </cell>
          <cell r="H22">
            <v>4206.2428347708665</v>
          </cell>
          <cell r="I22">
            <v>4237.1756695417325</v>
          </cell>
          <cell r="J22">
            <v>4268.1085043125986</v>
          </cell>
          <cell r="K22">
            <v>4299.0413390834647</v>
          </cell>
          <cell r="L22">
            <v>4329.9741738543307</v>
          </cell>
          <cell r="M22">
            <v>4360.9070086251968</v>
          </cell>
          <cell r="N22">
            <v>4391.8398433960629</v>
          </cell>
          <cell r="O22">
            <v>4422.7726781669289</v>
          </cell>
          <cell r="P22">
            <v>4453.705512937795</v>
          </cell>
          <cell r="Q22">
            <v>4484.6383477086611</v>
          </cell>
          <cell r="R22">
            <v>4515.5711824795253</v>
          </cell>
          <cell r="S22">
            <v>4531.3959718965361</v>
          </cell>
          <cell r="T22">
            <v>4547.220761313547</v>
          </cell>
          <cell r="U22">
            <v>4563.0455507305578</v>
          </cell>
          <cell r="V22">
            <v>4578.8703401475686</v>
          </cell>
          <cell r="W22">
            <v>4594.6951295645804</v>
          </cell>
          <cell r="X22">
            <v>4608.068035312901</v>
          </cell>
          <cell r="Y22">
            <v>4621.4409410612216</v>
          </cell>
          <cell r="Z22">
            <v>4634.8138468095422</v>
          </cell>
          <cell r="AA22">
            <v>4648.1867525578627</v>
          </cell>
          <cell r="AB22">
            <v>4661.5596583061852</v>
          </cell>
          <cell r="AC22">
            <v>4705.7681332507764</v>
          </cell>
          <cell r="AD22">
            <v>4749.9766081953676</v>
          </cell>
          <cell r="AE22">
            <v>4794.1850831399588</v>
          </cell>
          <cell r="AF22">
            <v>4838.39355808455</v>
          </cell>
          <cell r="AG22">
            <v>4882.6020330291394</v>
          </cell>
          <cell r="AH22">
            <v>4909.7191737515013</v>
          </cell>
          <cell r="AI22">
            <v>4936.8363144738632</v>
          </cell>
          <cell r="AJ22">
            <v>4963.9534551962251</v>
          </cell>
          <cell r="AK22">
            <v>4991.0705959185871</v>
          </cell>
          <cell r="AL22">
            <v>5018.1877366409472</v>
          </cell>
          <cell r="AM22">
            <v>5033.2687704256514</v>
          </cell>
          <cell r="AN22">
            <v>5048.3498042103556</v>
          </cell>
          <cell r="AO22">
            <v>5063.4308379950598</v>
          </cell>
          <cell r="AP22">
            <v>5078.5118717797641</v>
          </cell>
          <cell r="AQ22">
            <v>5093.5929055644683</v>
          </cell>
          <cell r="AR22">
            <v>5079.6858474892733</v>
          </cell>
          <cell r="AS22">
            <v>5065.7787894140783</v>
          </cell>
          <cell r="AT22">
            <v>5051.8717313388834</v>
          </cell>
          <cell r="AU22">
            <v>5037.9646732636884</v>
          </cell>
          <cell r="AV22">
            <v>5024.0576151884925</v>
          </cell>
          <cell r="AW22">
            <v>5004.5935754238835</v>
          </cell>
          <cell r="AX22">
            <v>4985.1295356592746</v>
          </cell>
          <cell r="AY22">
            <v>4965.6654958946656</v>
          </cell>
          <cell r="AZ22">
            <v>4946.2014561300566</v>
          </cell>
          <cell r="BA22">
            <v>4926.7374163654467</v>
          </cell>
        </row>
        <row r="23">
          <cell r="A23">
            <v>4</v>
          </cell>
          <cell r="B23" t="str">
            <v>Chemical and Petrochemical Industry</v>
          </cell>
          <cell r="C23">
            <v>1.0501639926970658</v>
          </cell>
          <cell r="D23">
            <v>1.0717952822356573</v>
          </cell>
          <cell r="E23">
            <v>1.1202745514263825</v>
          </cell>
          <cell r="F23">
            <v>1.1284818511389074</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row>
        <row r="24">
          <cell r="A24">
            <v>5</v>
          </cell>
          <cell r="B24" t="str">
            <v>Aluminium</v>
          </cell>
          <cell r="C24">
            <v>77.721038457266943</v>
          </cell>
          <cell r="D24">
            <v>92.661824812873292</v>
          </cell>
          <cell r="E24">
            <v>98.183826181181473</v>
          </cell>
          <cell r="F24">
            <v>117.83400503043691</v>
          </cell>
          <cell r="G24">
            <v>126.29013428541874</v>
          </cell>
          <cell r="H24">
            <v>129.14557417708136</v>
          </cell>
          <cell r="I24">
            <v>132.00101406874396</v>
          </cell>
          <cell r="J24">
            <v>134.85645396040655</v>
          </cell>
          <cell r="K24">
            <v>137.71189385206915</v>
          </cell>
          <cell r="L24">
            <v>140.56733374373175</v>
          </cell>
          <cell r="M24">
            <v>143.42277363539435</v>
          </cell>
          <cell r="N24">
            <v>146.27821352705695</v>
          </cell>
          <cell r="O24">
            <v>149.13365341871955</v>
          </cell>
          <cell r="P24">
            <v>151.98909331038215</v>
          </cell>
          <cell r="Q24">
            <v>154.84453320204474</v>
          </cell>
          <cell r="R24">
            <v>157.6999730937074</v>
          </cell>
          <cell r="S24">
            <v>160.21534501028142</v>
          </cell>
          <cell r="T24">
            <v>162.73071692685545</v>
          </cell>
          <cell r="U24">
            <v>165.24608884342948</v>
          </cell>
          <cell r="V24">
            <v>167.7614607600035</v>
          </cell>
          <cell r="W24">
            <v>170.2768326765775</v>
          </cell>
          <cell r="X24">
            <v>171.97609472340949</v>
          </cell>
          <cell r="Y24">
            <v>173.67535677024148</v>
          </cell>
          <cell r="Z24">
            <v>175.37461881707347</v>
          </cell>
          <cell r="AA24">
            <v>177.07388086390546</v>
          </cell>
          <cell r="AB24">
            <v>178.77314291073739</v>
          </cell>
          <cell r="AC24">
            <v>178.56746204206303</v>
          </cell>
          <cell r="AD24">
            <v>178.36178117338866</v>
          </cell>
          <cell r="AE24">
            <v>178.1561003047143</v>
          </cell>
          <cell r="AF24">
            <v>177.95041943603994</v>
          </cell>
          <cell r="AG24">
            <v>177.74473856736552</v>
          </cell>
          <cell r="AH24">
            <v>177.79206947984429</v>
          </cell>
          <cell r="AI24">
            <v>177.83940039232306</v>
          </cell>
          <cell r="AJ24">
            <v>177.88673130480183</v>
          </cell>
          <cell r="AK24">
            <v>177.9340622172806</v>
          </cell>
          <cell r="AL24">
            <v>177.98139312975937</v>
          </cell>
          <cell r="AM24">
            <v>177.30260770684401</v>
          </cell>
          <cell r="AN24">
            <v>176.62382228392866</v>
          </cell>
          <cell r="AO24">
            <v>175.94503686101331</v>
          </cell>
          <cell r="AP24">
            <v>175.26625143809795</v>
          </cell>
          <cell r="AQ24">
            <v>174.5874660151826</v>
          </cell>
          <cell r="AR24">
            <v>173.95348344113791</v>
          </cell>
          <cell r="AS24">
            <v>173.31950086709321</v>
          </cell>
          <cell r="AT24">
            <v>172.68551829304852</v>
          </cell>
          <cell r="AU24">
            <v>172.05153571900382</v>
          </cell>
          <cell r="AV24">
            <v>171.41755314495919</v>
          </cell>
          <cell r="AW24">
            <v>170.71474860485085</v>
          </cell>
          <cell r="AX24">
            <v>170.01194406474252</v>
          </cell>
          <cell r="AY24">
            <v>169.30913952463419</v>
          </cell>
          <cell r="AZ24">
            <v>168.60633498452586</v>
          </cell>
          <cell r="BA24">
            <v>167.90353044441747</v>
          </cell>
        </row>
        <row r="25">
          <cell r="A25">
            <v>6</v>
          </cell>
          <cell r="B25" t="str">
            <v>Pulp &amp; Paper</v>
          </cell>
          <cell r="C25">
            <v>407.77952433333337</v>
          </cell>
          <cell r="D25">
            <v>403.10187100000002</v>
          </cell>
          <cell r="E25">
            <v>403.10187100000002</v>
          </cell>
          <cell r="F25">
            <v>396.08539099999996</v>
          </cell>
          <cell r="G25">
            <v>400.2218530822455</v>
          </cell>
          <cell r="H25">
            <v>403.97193673417809</v>
          </cell>
          <cell r="I25">
            <v>407.72202038611067</v>
          </cell>
          <cell r="J25">
            <v>411.47210403804326</v>
          </cell>
          <cell r="K25">
            <v>415.22218768997584</v>
          </cell>
          <cell r="L25">
            <v>418.97227134190842</v>
          </cell>
          <cell r="M25">
            <v>422.72235499384101</v>
          </cell>
          <cell r="N25">
            <v>426.47243864577359</v>
          </cell>
          <cell r="O25">
            <v>430.22252229770618</v>
          </cell>
          <cell r="P25">
            <v>433.97260594963876</v>
          </cell>
          <cell r="Q25">
            <v>437.72268960157135</v>
          </cell>
          <cell r="R25">
            <v>441.47277325350422</v>
          </cell>
          <cell r="S25">
            <v>445.26817921431854</v>
          </cell>
          <cell r="T25">
            <v>449.06358517513286</v>
          </cell>
          <cell r="U25">
            <v>452.85899113594718</v>
          </cell>
          <cell r="V25">
            <v>456.6543970967615</v>
          </cell>
          <cell r="W25">
            <v>460.44980305757571</v>
          </cell>
          <cell r="X25">
            <v>462.8555846482688</v>
          </cell>
          <cell r="Y25">
            <v>465.2613662389619</v>
          </cell>
          <cell r="Z25">
            <v>467.66714782965499</v>
          </cell>
          <cell r="AA25">
            <v>470.07292942034809</v>
          </cell>
          <cell r="AB25">
            <v>472.47871101104107</v>
          </cell>
          <cell r="AC25">
            <v>474.67534386080189</v>
          </cell>
          <cell r="AD25">
            <v>476.87197671056271</v>
          </cell>
          <cell r="AE25">
            <v>479.06860956032352</v>
          </cell>
          <cell r="AF25">
            <v>481.26524241008434</v>
          </cell>
          <cell r="AG25">
            <v>483.46187525984527</v>
          </cell>
          <cell r="AH25">
            <v>484.99925769342559</v>
          </cell>
          <cell r="AI25">
            <v>486.53664012700591</v>
          </cell>
          <cell r="AJ25">
            <v>488.07402256058623</v>
          </cell>
          <cell r="AK25">
            <v>489.61140499416655</v>
          </cell>
          <cell r="AL25">
            <v>491.14878742774687</v>
          </cell>
          <cell r="AM25">
            <v>492.50677376399909</v>
          </cell>
          <cell r="AN25">
            <v>493.86476010025132</v>
          </cell>
          <cell r="AO25">
            <v>495.22274643650354</v>
          </cell>
          <cell r="AP25">
            <v>496.58073277275577</v>
          </cell>
          <cell r="AQ25">
            <v>497.9387191090081</v>
          </cell>
          <cell r="AR25">
            <v>499.21854727864087</v>
          </cell>
          <cell r="AS25">
            <v>500.49837544827363</v>
          </cell>
          <cell r="AT25">
            <v>501.7782036179064</v>
          </cell>
          <cell r="AU25">
            <v>503.05803178753916</v>
          </cell>
          <cell r="AV25">
            <v>504.33785995717193</v>
          </cell>
          <cell r="AW25">
            <v>505.49001053178648</v>
          </cell>
          <cell r="AX25">
            <v>506.64216110640103</v>
          </cell>
          <cell r="AY25">
            <v>507.79431168101559</v>
          </cell>
          <cell r="AZ25">
            <v>508.94646225563014</v>
          </cell>
          <cell r="BA25">
            <v>510.09861283024463</v>
          </cell>
        </row>
        <row r="26">
          <cell r="A26">
            <v>7</v>
          </cell>
          <cell r="B26" t="str">
            <v>Manufacture of light-road automotor vehicles</v>
          </cell>
          <cell r="C26">
            <v>0.81424748451644979</v>
          </cell>
          <cell r="D26">
            <v>0.8494799731714765</v>
          </cell>
          <cell r="E26">
            <v>0.87628956112476841</v>
          </cell>
          <cell r="F26">
            <v>0.89766226352060141</v>
          </cell>
          <cell r="G26">
            <v>0.9210104589947723</v>
          </cell>
          <cell r="H26">
            <v>0.95969289827255277</v>
          </cell>
          <cell r="I26">
            <v>1</v>
          </cell>
          <cell r="J26">
            <v>1.042</v>
          </cell>
          <cell r="K26">
            <v>1.0857640000000002</v>
          </cell>
          <cell r="L26">
            <v>1.131366088</v>
          </cell>
          <cell r="M26">
            <v>1.1788834636960002</v>
          </cell>
          <cell r="N26">
            <v>1.2283965691712324</v>
          </cell>
          <cell r="O26">
            <v>1.2799892250764242</v>
          </cell>
          <cell r="P26">
            <v>1.333748772529634</v>
          </cell>
          <cell r="Q26">
            <v>1.3897662209758785</v>
          </cell>
          <cell r="R26">
            <v>1.4481364022568655</v>
          </cell>
          <cell r="S26">
            <v>1.5089581311516538</v>
          </cell>
          <cell r="T26">
            <v>1.5723343726600234</v>
          </cell>
          <cell r="U26">
            <v>1.6383724163117444</v>
          </cell>
          <cell r="V26">
            <v>1.7071840577968376</v>
          </cell>
          <cell r="W26">
            <v>1.7788857882243048</v>
          </cell>
          <cell r="X26">
            <v>1.8411467908121555</v>
          </cell>
          <cell r="Y26">
            <v>1.9055869284905806</v>
          </cell>
          <cell r="Z26">
            <v>1.9722824709877509</v>
          </cell>
          <cell r="AA26">
            <v>2.041312357472322</v>
          </cell>
          <cell r="AB26">
            <v>2.1127582899838533</v>
          </cell>
          <cell r="AC26">
            <v>2.1867048301332881</v>
          </cell>
          <cell r="AD26">
            <v>2.2632394991879528</v>
          </cell>
          <cell r="AE26">
            <v>2.3424528816595309</v>
          </cell>
          <cell r="AF26">
            <v>2.4244387325176144</v>
          </cell>
          <cell r="AG26">
            <v>2.5092940881557309</v>
          </cell>
          <cell r="AH26">
            <v>2.597119381241181</v>
          </cell>
          <cell r="AI26">
            <v>2.6542560076284869</v>
          </cell>
          <cell r="AJ26">
            <v>2.7126496397963136</v>
          </cell>
          <cell r="AK26">
            <v>2.7723279318718324</v>
          </cell>
          <cell r="AL26">
            <v>2.8333191463730127</v>
          </cell>
          <cell r="AM26">
            <v>2.895652167593219</v>
          </cell>
          <cell r="AN26">
            <v>2.9593565152802701</v>
          </cell>
          <cell r="AO26">
            <v>3.0244623586164359</v>
          </cell>
          <cell r="AP26">
            <v>3.0910005305059975</v>
          </cell>
          <cell r="AQ26">
            <v>3.1590025421771295</v>
          </cell>
          <cell r="AR26">
            <v>3.2285005981050268</v>
          </cell>
          <cell r="AS26">
            <v>3.2995276112633372</v>
          </cell>
          <cell r="AT26">
            <v>3.3721172187111308</v>
          </cell>
          <cell r="AU26">
            <v>3.4463037975227753</v>
          </cell>
          <cell r="AV26">
            <v>3.5221224810682763</v>
          </cell>
          <cell r="AW26">
            <v>3.5996091756517785</v>
          </cell>
          <cell r="AX26">
            <v>3.6788005775161179</v>
          </cell>
          <cell r="AY26">
            <v>3.7597341902214718</v>
          </cell>
          <cell r="AZ26">
            <v>3.8424483424063447</v>
          </cell>
          <cell r="BA26">
            <v>3.9269822059392845</v>
          </cell>
        </row>
        <row r="27">
          <cell r="A27">
            <v>8</v>
          </cell>
          <cell r="B27" t="str">
            <v>Other Industry</v>
          </cell>
          <cell r="C27">
            <v>0.81424748451644979</v>
          </cell>
          <cell r="D27">
            <v>0.8494799731714765</v>
          </cell>
          <cell r="E27">
            <v>0.87628956112476841</v>
          </cell>
          <cell r="F27">
            <v>0.89766226352060141</v>
          </cell>
          <cell r="G27">
            <v>0.9210104589947723</v>
          </cell>
          <cell r="H27">
            <v>0.95969289827255277</v>
          </cell>
          <cell r="I27">
            <v>1</v>
          </cell>
          <cell r="J27">
            <v>1.042</v>
          </cell>
          <cell r="K27">
            <v>1.0857640000000002</v>
          </cell>
          <cell r="L27">
            <v>1.131366088</v>
          </cell>
          <cell r="M27">
            <v>1.1788834636960002</v>
          </cell>
          <cell r="N27">
            <v>1.2283965691712324</v>
          </cell>
          <cell r="O27">
            <v>1.2799892250764242</v>
          </cell>
          <cell r="P27">
            <v>1.333748772529634</v>
          </cell>
          <cell r="Q27">
            <v>1.3897662209758785</v>
          </cell>
          <cell r="R27">
            <v>1.4481364022568655</v>
          </cell>
          <cell r="S27">
            <v>1.5089581311516538</v>
          </cell>
          <cell r="T27">
            <v>1.5723343726600234</v>
          </cell>
          <cell r="U27">
            <v>1.6383724163117444</v>
          </cell>
          <cell r="V27">
            <v>1.7071840577968376</v>
          </cell>
          <cell r="W27">
            <v>1.7788857882243048</v>
          </cell>
          <cell r="X27">
            <v>1.8411467908121555</v>
          </cell>
          <cell r="Y27">
            <v>1.9055869284905806</v>
          </cell>
          <cell r="Z27">
            <v>1.9722824709877509</v>
          </cell>
          <cell r="AA27">
            <v>2.041312357472322</v>
          </cell>
          <cell r="AB27">
            <v>2.1127582899838533</v>
          </cell>
          <cell r="AC27">
            <v>2.1867048301332881</v>
          </cell>
          <cell r="AD27">
            <v>2.2632394991879528</v>
          </cell>
          <cell r="AE27">
            <v>2.3424528816595309</v>
          </cell>
          <cell r="AF27">
            <v>2.4244387325176144</v>
          </cell>
          <cell r="AG27">
            <v>2.5092940881557309</v>
          </cell>
          <cell r="AH27">
            <v>2.597119381241181</v>
          </cell>
          <cell r="AI27">
            <v>2.6542560076284869</v>
          </cell>
          <cell r="AJ27">
            <v>2.7126496397963136</v>
          </cell>
          <cell r="AK27">
            <v>2.7723279318718324</v>
          </cell>
          <cell r="AL27">
            <v>2.8333191463730127</v>
          </cell>
          <cell r="AM27">
            <v>2.895652167593219</v>
          </cell>
          <cell r="AN27">
            <v>2.9593565152802701</v>
          </cell>
          <cell r="AO27">
            <v>3.0244623586164359</v>
          </cell>
          <cell r="AP27">
            <v>3.0910005305059975</v>
          </cell>
          <cell r="AQ27">
            <v>3.1590025421771295</v>
          </cell>
          <cell r="AR27">
            <v>3.2285005981050268</v>
          </cell>
          <cell r="AS27">
            <v>3.2995276112633372</v>
          </cell>
          <cell r="AT27">
            <v>3.3721172187111308</v>
          </cell>
          <cell r="AU27">
            <v>3.4463037975227753</v>
          </cell>
          <cell r="AV27">
            <v>3.5221224810682763</v>
          </cell>
          <cell r="AW27">
            <v>3.5996091756517785</v>
          </cell>
          <cell r="AX27">
            <v>3.6788005775161179</v>
          </cell>
          <cell r="AY27">
            <v>3.7597341902214718</v>
          </cell>
          <cell r="AZ27">
            <v>3.8424483424063447</v>
          </cell>
          <cell r="BA27">
            <v>3.9269822059392845</v>
          </cell>
        </row>
        <row r="28">
          <cell r="A28">
            <v>9</v>
          </cell>
          <cell r="B28" t="str">
            <v>Passenger transport - Air</v>
          </cell>
          <cell r="C28">
            <v>4729108779189.7383</v>
          </cell>
          <cell r="D28">
            <v>5022251508399.7754</v>
          </cell>
          <cell r="E28">
            <v>5315394237609.8115</v>
          </cell>
          <cell r="F28">
            <v>5608536966819.8486</v>
          </cell>
          <cell r="G28">
            <v>5901679696029.8848</v>
          </cell>
          <cell r="H28">
            <v>6194822425239.9209</v>
          </cell>
          <cell r="I28">
            <v>6399441660477.0703</v>
          </cell>
          <cell r="J28">
            <v>6604060895714.2207</v>
          </cell>
          <cell r="K28">
            <v>6808680130951.3691</v>
          </cell>
          <cell r="L28">
            <v>7013299366188.5195</v>
          </cell>
          <cell r="M28">
            <v>7217918601425.668</v>
          </cell>
          <cell r="N28">
            <v>7429724593596.5381</v>
          </cell>
          <cell r="O28">
            <v>7641530585767.4092</v>
          </cell>
          <cell r="P28">
            <v>7853336577938.2793</v>
          </cell>
          <cell r="Q28">
            <v>8065142570109.1504</v>
          </cell>
          <cell r="R28">
            <v>8276948562280.0205</v>
          </cell>
          <cell r="S28">
            <v>8494692788983.9609</v>
          </cell>
          <cell r="T28">
            <v>8712437015687.8994</v>
          </cell>
          <cell r="U28">
            <v>8930181242391.8398</v>
          </cell>
          <cell r="V28">
            <v>9147925469095.7793</v>
          </cell>
          <cell r="W28">
            <v>9365669695799.7188</v>
          </cell>
          <cell r="X28">
            <v>9567558127760.0859</v>
          </cell>
          <cell r="Y28">
            <v>9769446559720.4512</v>
          </cell>
          <cell r="Z28">
            <v>9971334991680.8184</v>
          </cell>
          <cell r="AA28">
            <v>10173223423641.184</v>
          </cell>
          <cell r="AB28">
            <v>10375111855601.551</v>
          </cell>
          <cell r="AC28">
            <v>10570626212522.227</v>
          </cell>
          <cell r="AD28">
            <v>10766140569442.9</v>
          </cell>
          <cell r="AE28">
            <v>10961654926363.578</v>
          </cell>
          <cell r="AF28">
            <v>11157169283284.254</v>
          </cell>
          <cell r="AG28">
            <v>11352683640204.93</v>
          </cell>
          <cell r="AH28">
            <v>11549867519074.373</v>
          </cell>
          <cell r="AI28">
            <v>11747051397943.814</v>
          </cell>
          <cell r="AJ28">
            <v>11944235276813.258</v>
          </cell>
          <cell r="AK28">
            <v>12141419155682.699</v>
          </cell>
          <cell r="AL28">
            <v>12338603034552.141</v>
          </cell>
          <cell r="AM28">
            <v>12530290102741.848</v>
          </cell>
          <cell r="AN28">
            <v>12721977170931.553</v>
          </cell>
          <cell r="AO28">
            <v>12913664239121.262</v>
          </cell>
          <cell r="AP28">
            <v>13105351307310.967</v>
          </cell>
          <cell r="AQ28">
            <v>13297038375500.674</v>
          </cell>
          <cell r="AR28">
            <v>0</v>
          </cell>
          <cell r="AS28">
            <v>0</v>
          </cell>
          <cell r="AT28">
            <v>0</v>
          </cell>
          <cell r="AU28">
            <v>0</v>
          </cell>
          <cell r="AV28">
            <v>0</v>
          </cell>
          <cell r="AW28">
            <v>0</v>
          </cell>
          <cell r="AX28">
            <v>0</v>
          </cell>
          <cell r="AY28">
            <v>0</v>
          </cell>
          <cell r="AZ28">
            <v>0</v>
          </cell>
          <cell r="BA28">
            <v>0</v>
          </cell>
        </row>
        <row r="29">
          <cell r="A29">
            <v>10</v>
          </cell>
          <cell r="B29" t="str">
            <v>Passenger transport - Light Road</v>
          </cell>
          <cell r="C29">
            <v>23214113418028.078</v>
          </cell>
          <cell r="D29">
            <v>24239765474683.32</v>
          </cell>
          <cell r="E29">
            <v>25265417531338.559</v>
          </cell>
          <cell r="F29">
            <v>26291069587993.801</v>
          </cell>
          <cell r="G29">
            <v>27316721644649.035</v>
          </cell>
          <cell r="H29">
            <v>28342373701304.277</v>
          </cell>
          <cell r="I29">
            <v>29125298676889.871</v>
          </cell>
          <cell r="J29">
            <v>29908223652475.461</v>
          </cell>
          <cell r="K29">
            <v>30691148628061.047</v>
          </cell>
          <cell r="L29">
            <v>31474073603646.641</v>
          </cell>
          <cell r="M29">
            <v>32256998579232.234</v>
          </cell>
          <cell r="N29">
            <v>33068751059259.777</v>
          </cell>
          <cell r="O29">
            <v>33880503539287.316</v>
          </cell>
          <cell r="P29">
            <v>34692256019314.859</v>
          </cell>
          <cell r="Q29">
            <v>35504008499342.406</v>
          </cell>
          <cell r="R29">
            <v>36315760979369.953</v>
          </cell>
          <cell r="S29">
            <v>36963388537062.234</v>
          </cell>
          <cell r="T29">
            <v>37611016094754.516</v>
          </cell>
          <cell r="U29">
            <v>38258643652446.805</v>
          </cell>
          <cell r="V29">
            <v>38906271210139.086</v>
          </cell>
          <cell r="W29">
            <v>39553898767831.375</v>
          </cell>
          <cell r="X29">
            <v>40105727290480.766</v>
          </cell>
          <cell r="Y29">
            <v>40657555813130.164</v>
          </cell>
          <cell r="Z29">
            <v>41209384335779.57</v>
          </cell>
          <cell r="AA29">
            <v>41761212858428.969</v>
          </cell>
          <cell r="AB29">
            <v>42313041381078.367</v>
          </cell>
          <cell r="AC29">
            <v>42750317537727.68</v>
          </cell>
          <cell r="AD29">
            <v>43187593694376.977</v>
          </cell>
          <cell r="AE29">
            <v>43624869851026.281</v>
          </cell>
          <cell r="AF29">
            <v>44062146007675.594</v>
          </cell>
          <cell r="AG29">
            <v>44499422164324.906</v>
          </cell>
          <cell r="AH29">
            <v>44905147831535.484</v>
          </cell>
          <cell r="AI29">
            <v>45310873498746.063</v>
          </cell>
          <cell r="AJ29">
            <v>45716599165956.656</v>
          </cell>
          <cell r="AK29">
            <v>46122324833167.234</v>
          </cell>
          <cell r="AL29">
            <v>46528050500377.813</v>
          </cell>
          <cell r="AM29">
            <v>46867005689138.039</v>
          </cell>
          <cell r="AN29">
            <v>47205960877898.266</v>
          </cell>
          <cell r="AO29">
            <v>47544916066658.492</v>
          </cell>
          <cell r="AP29">
            <v>47883871255418.719</v>
          </cell>
          <cell r="AQ29">
            <v>48222826444178.953</v>
          </cell>
          <cell r="AR29">
            <v>0</v>
          </cell>
          <cell r="AS29">
            <v>0</v>
          </cell>
          <cell r="AT29">
            <v>0</v>
          </cell>
          <cell r="AU29">
            <v>0</v>
          </cell>
          <cell r="AV29">
            <v>0</v>
          </cell>
          <cell r="AW29">
            <v>0</v>
          </cell>
          <cell r="AX29">
            <v>0</v>
          </cell>
          <cell r="AY29">
            <v>0</v>
          </cell>
          <cell r="AZ29">
            <v>0</v>
          </cell>
          <cell r="BA29">
            <v>0</v>
          </cell>
        </row>
        <row r="30">
          <cell r="A30">
            <v>11</v>
          </cell>
          <cell r="B30" t="str">
            <v>Passenger transport - Heavy Road</v>
          </cell>
          <cell r="C30">
            <v>12781010944934.193</v>
          </cell>
          <cell r="D30">
            <v>13111615765201.773</v>
          </cell>
          <cell r="E30">
            <v>13442220585469.354</v>
          </cell>
          <cell r="F30">
            <v>13772825405736.934</v>
          </cell>
          <cell r="G30">
            <v>14103430226004.514</v>
          </cell>
          <cell r="H30">
            <v>14434035046272.094</v>
          </cell>
          <cell r="I30">
            <v>14721350757315.512</v>
          </cell>
          <cell r="J30">
            <v>15008666468358.926</v>
          </cell>
          <cell r="K30">
            <v>15295982179402.344</v>
          </cell>
          <cell r="L30">
            <v>15583297890445.76</v>
          </cell>
          <cell r="M30">
            <v>15870613601489.174</v>
          </cell>
          <cell r="N30">
            <v>16205326420569.291</v>
          </cell>
          <cell r="O30">
            <v>16540039239649.406</v>
          </cell>
          <cell r="P30">
            <v>16874752058729.521</v>
          </cell>
          <cell r="Q30">
            <v>17209464877809.639</v>
          </cell>
          <cell r="R30">
            <v>17544177696889.75</v>
          </cell>
          <cell r="S30">
            <v>17853801727368.992</v>
          </cell>
          <cell r="T30">
            <v>18163425757848.234</v>
          </cell>
          <cell r="U30">
            <v>18473049788327.473</v>
          </cell>
          <cell r="V30">
            <v>18782673818806.719</v>
          </cell>
          <cell r="W30">
            <v>19092297849285.957</v>
          </cell>
          <cell r="X30">
            <v>19374762036023.441</v>
          </cell>
          <cell r="Y30">
            <v>19657226222760.926</v>
          </cell>
          <cell r="Z30">
            <v>19939690409498.406</v>
          </cell>
          <cell r="AA30">
            <v>20222154596235.887</v>
          </cell>
          <cell r="AB30">
            <v>20504618782973.371</v>
          </cell>
          <cell r="AC30">
            <v>20787038195432.695</v>
          </cell>
          <cell r="AD30">
            <v>21069457607892.023</v>
          </cell>
          <cell r="AE30">
            <v>21351877020351.348</v>
          </cell>
          <cell r="AF30">
            <v>21634296432810.676</v>
          </cell>
          <cell r="AG30">
            <v>21916715845270.004</v>
          </cell>
          <cell r="AH30">
            <v>22215469282984.457</v>
          </cell>
          <cell r="AI30">
            <v>22514222720698.91</v>
          </cell>
          <cell r="AJ30">
            <v>22812976158413.371</v>
          </cell>
          <cell r="AK30">
            <v>23111729596127.82</v>
          </cell>
          <cell r="AL30">
            <v>23410483033842.281</v>
          </cell>
          <cell r="AM30">
            <v>23725902660112.887</v>
          </cell>
          <cell r="AN30">
            <v>24041322286383.488</v>
          </cell>
          <cell r="AO30">
            <v>24356741912654.094</v>
          </cell>
          <cell r="AP30">
            <v>24672161538924.703</v>
          </cell>
          <cell r="AQ30">
            <v>24987581165195.305</v>
          </cell>
          <cell r="AR30">
            <v>0</v>
          </cell>
          <cell r="AS30">
            <v>0</v>
          </cell>
          <cell r="AT30">
            <v>0</v>
          </cell>
          <cell r="AU30">
            <v>0</v>
          </cell>
          <cell r="AV30">
            <v>0</v>
          </cell>
          <cell r="AW30">
            <v>0</v>
          </cell>
          <cell r="AX30">
            <v>0</v>
          </cell>
          <cell r="AY30">
            <v>0</v>
          </cell>
          <cell r="AZ30">
            <v>0</v>
          </cell>
          <cell r="BA30">
            <v>0</v>
          </cell>
        </row>
        <row r="31">
          <cell r="A31">
            <v>12</v>
          </cell>
          <cell r="B31" t="str">
            <v>Passenger transport - Rail</v>
          </cell>
          <cell r="C31">
            <v>3477939882172.3833</v>
          </cell>
          <cell r="D31">
            <v>3709604383567.5493</v>
          </cell>
          <cell r="E31">
            <v>3941268884962.7144</v>
          </cell>
          <cell r="F31">
            <v>4172933386357.8794</v>
          </cell>
          <cell r="G31">
            <v>4404597887753.0449</v>
          </cell>
          <cell r="H31">
            <v>4636262389148.2109</v>
          </cell>
          <cell r="I31">
            <v>4759551676479.1914</v>
          </cell>
          <cell r="J31">
            <v>4882840963810.1738</v>
          </cell>
          <cell r="K31">
            <v>5006130251141.1553</v>
          </cell>
          <cell r="L31">
            <v>5129419538472.1367</v>
          </cell>
          <cell r="M31">
            <v>5252708825803.1182</v>
          </cell>
          <cell r="N31">
            <v>5356785982574.6328</v>
          </cell>
          <cell r="O31">
            <v>5460863139346.1465</v>
          </cell>
          <cell r="P31">
            <v>5564940296117.6611</v>
          </cell>
          <cell r="Q31">
            <v>5669017452889.1748</v>
          </cell>
          <cell r="R31">
            <v>5773094609660.6895</v>
          </cell>
          <cell r="S31">
            <v>5871748240358.8447</v>
          </cell>
          <cell r="T31">
            <v>5970401871057</v>
          </cell>
          <cell r="U31">
            <v>6069055501755.1543</v>
          </cell>
          <cell r="V31">
            <v>6167709132453.3096</v>
          </cell>
          <cell r="W31">
            <v>6266362763151.4648</v>
          </cell>
          <cell r="X31">
            <v>6379563413377.9453</v>
          </cell>
          <cell r="Y31">
            <v>6492764063604.4248</v>
          </cell>
          <cell r="Z31">
            <v>6605964713830.9063</v>
          </cell>
          <cell r="AA31">
            <v>6719165364057.3867</v>
          </cell>
          <cell r="AB31">
            <v>6832366014283.8672</v>
          </cell>
          <cell r="AC31">
            <v>6982424281726.4482</v>
          </cell>
          <cell r="AD31">
            <v>7132482549169.0303</v>
          </cell>
          <cell r="AE31">
            <v>7282540816611.6123</v>
          </cell>
          <cell r="AF31">
            <v>7432599084054.1934</v>
          </cell>
          <cell r="AG31">
            <v>7582657351496.7754</v>
          </cell>
          <cell r="AH31">
            <v>7800643563761.7598</v>
          </cell>
          <cell r="AI31">
            <v>8018629776026.7432</v>
          </cell>
          <cell r="AJ31">
            <v>8236615988291.7275</v>
          </cell>
          <cell r="AK31">
            <v>8454602200556.7119</v>
          </cell>
          <cell r="AL31">
            <v>8672588412821.6963</v>
          </cell>
          <cell r="AM31">
            <v>8966796173206.2949</v>
          </cell>
          <cell r="AN31">
            <v>9261003933590.8926</v>
          </cell>
          <cell r="AO31">
            <v>9555211693975.4902</v>
          </cell>
          <cell r="AP31">
            <v>9849419454360.0898</v>
          </cell>
          <cell r="AQ31">
            <v>10143627214744.688</v>
          </cell>
          <cell r="AR31">
            <v>0</v>
          </cell>
          <cell r="AS31">
            <v>0</v>
          </cell>
          <cell r="AT31">
            <v>0</v>
          </cell>
          <cell r="AU31">
            <v>0</v>
          </cell>
          <cell r="AV31">
            <v>0</v>
          </cell>
          <cell r="AW31">
            <v>0</v>
          </cell>
          <cell r="AX31">
            <v>0</v>
          </cell>
          <cell r="AY31">
            <v>0</v>
          </cell>
          <cell r="AZ31">
            <v>0</v>
          </cell>
          <cell r="BA31">
            <v>0</v>
          </cell>
        </row>
        <row r="32">
          <cell r="A32">
            <v>13</v>
          </cell>
          <cell r="B32" t="str">
            <v>Other transport</v>
          </cell>
          <cell r="C32">
            <v>0.81424748451644979</v>
          </cell>
          <cell r="D32">
            <v>0.8494799731714765</v>
          </cell>
          <cell r="E32">
            <v>0.87628956112476841</v>
          </cell>
          <cell r="F32">
            <v>0.89766226352060141</v>
          </cell>
          <cell r="G32">
            <v>0.9210104589947723</v>
          </cell>
          <cell r="H32">
            <v>0.95969289827255277</v>
          </cell>
          <cell r="I32">
            <v>1</v>
          </cell>
          <cell r="J32">
            <v>1.042</v>
          </cell>
          <cell r="K32">
            <v>1.0857640000000002</v>
          </cell>
          <cell r="L32">
            <v>1.131366088</v>
          </cell>
          <cell r="M32">
            <v>1.1788834636960002</v>
          </cell>
          <cell r="N32">
            <v>1.2283965691712324</v>
          </cell>
          <cell r="O32">
            <v>1.2799892250764242</v>
          </cell>
          <cell r="P32">
            <v>1.333748772529634</v>
          </cell>
          <cell r="Q32">
            <v>1.3897662209758785</v>
          </cell>
          <cell r="R32">
            <v>1.4481364022568655</v>
          </cell>
          <cell r="S32">
            <v>1.5089581311516538</v>
          </cell>
          <cell r="T32">
            <v>1.5723343726600234</v>
          </cell>
          <cell r="U32">
            <v>1.6383724163117444</v>
          </cell>
          <cell r="V32">
            <v>1.7071840577968376</v>
          </cell>
          <cell r="W32">
            <v>1.7788857882243048</v>
          </cell>
          <cell r="X32">
            <v>1.8411467908121555</v>
          </cell>
          <cell r="Y32">
            <v>1.9055869284905806</v>
          </cell>
          <cell r="Z32">
            <v>1.9722824709877509</v>
          </cell>
          <cell r="AA32">
            <v>2.041312357472322</v>
          </cell>
          <cell r="AB32">
            <v>2.1127582899838533</v>
          </cell>
          <cell r="AC32">
            <v>2.1867048301332881</v>
          </cell>
          <cell r="AD32">
            <v>2.2632394991879528</v>
          </cell>
          <cell r="AE32">
            <v>2.3424528816595309</v>
          </cell>
          <cell r="AF32">
            <v>2.4244387325176144</v>
          </cell>
          <cell r="AG32">
            <v>2.5092940881557309</v>
          </cell>
          <cell r="AH32">
            <v>2.597119381241181</v>
          </cell>
          <cell r="AI32">
            <v>2.6542560076284869</v>
          </cell>
          <cell r="AJ32">
            <v>2.7126496397963136</v>
          </cell>
          <cell r="AK32">
            <v>2.7723279318718324</v>
          </cell>
          <cell r="AL32">
            <v>2.8333191463730127</v>
          </cell>
          <cell r="AM32">
            <v>2.895652167593219</v>
          </cell>
          <cell r="AN32">
            <v>2.9593565152802701</v>
          </cell>
          <cell r="AO32">
            <v>3.0244623586164359</v>
          </cell>
          <cell r="AP32">
            <v>3.0910005305059975</v>
          </cell>
          <cell r="AQ32">
            <v>3.1590025421771295</v>
          </cell>
          <cell r="AR32">
            <v>3.2285005981050268</v>
          </cell>
          <cell r="AS32">
            <v>3.2995276112633372</v>
          </cell>
          <cell r="AT32">
            <v>3.3721172187111308</v>
          </cell>
          <cell r="AU32">
            <v>3.4463037975227753</v>
          </cell>
          <cell r="AV32">
            <v>3.5221224810682763</v>
          </cell>
          <cell r="AW32">
            <v>3.5996091756517785</v>
          </cell>
          <cell r="AX32">
            <v>3.6788005775161179</v>
          </cell>
          <cell r="AY32">
            <v>3.7597341902214718</v>
          </cell>
          <cell r="AZ32">
            <v>3.8424483424063447</v>
          </cell>
          <cell r="BA32">
            <v>3.9269822059392845</v>
          </cell>
        </row>
        <row r="33">
          <cell r="A33">
            <v>14</v>
          </cell>
          <cell r="B33" t="str">
            <v>Services / Commercial Buildings</v>
          </cell>
          <cell r="C33">
            <v>1</v>
          </cell>
          <cell r="D33">
            <v>1.0176282693795071</v>
          </cell>
          <cell r="E33">
            <v>1.0352565387590142</v>
          </cell>
          <cell r="F33">
            <v>1.0528848081385214</v>
          </cell>
          <cell r="G33">
            <v>1.0705130775180285</v>
          </cell>
          <cell r="H33">
            <v>1.0881413468975361</v>
          </cell>
          <cell r="I33">
            <v>1.1057696162770432</v>
          </cell>
          <cell r="J33">
            <v>1.1233978856565503</v>
          </cell>
          <cell r="K33">
            <v>1.1410261550360574</v>
          </cell>
          <cell r="L33">
            <v>1.1586544244155648</v>
          </cell>
          <cell r="M33">
            <v>1.1762826937950719</v>
          </cell>
          <cell r="N33">
            <v>1.193910963174579</v>
          </cell>
          <cell r="O33">
            <v>1.2115392325540864</v>
          </cell>
          <cell r="P33">
            <v>1.2291675019335935</v>
          </cell>
          <cell r="Q33">
            <v>1.2467957713131006</v>
          </cell>
          <cell r="R33">
            <v>1.2644240406926079</v>
          </cell>
          <cell r="S33">
            <v>1.2820523100721151</v>
          </cell>
          <cell r="T33">
            <v>1.2996805794516222</v>
          </cell>
          <cell r="U33">
            <v>1.3173088488311293</v>
          </cell>
          <cell r="V33">
            <v>1.3349371182106367</v>
          </cell>
          <cell r="W33">
            <v>1.3525653875901438</v>
          </cell>
          <cell r="X33">
            <v>1.3687916302190832</v>
          </cell>
          <cell r="Y33">
            <v>1.3850178728480222</v>
          </cell>
          <cell r="Z33">
            <v>1.4012441154769617</v>
          </cell>
          <cell r="AA33">
            <v>1.4174703581059009</v>
          </cell>
          <cell r="AB33">
            <v>1.4336966007348402</v>
          </cell>
          <cell r="AC33">
            <v>1.4499228433637796</v>
          </cell>
          <cell r="AD33">
            <v>1.4661490859927189</v>
          </cell>
          <cell r="AE33">
            <v>1.4823753286216581</v>
          </cell>
          <cell r="AF33">
            <v>1.4986015712505973</v>
          </cell>
          <cell r="AG33">
            <v>1.5148278138795366</v>
          </cell>
          <cell r="AH33">
            <v>1.5310540565084758</v>
          </cell>
          <cell r="AI33">
            <v>1.5472802991374153</v>
          </cell>
          <cell r="AJ33">
            <v>1.5635065417663545</v>
          </cell>
          <cell r="AK33">
            <v>1.5797327843952937</v>
          </cell>
          <cell r="AL33">
            <v>1.5959590270242332</v>
          </cell>
          <cell r="AM33">
            <v>1.6121852696531724</v>
          </cell>
          <cell r="AN33">
            <v>1.6284115122821117</v>
          </cell>
          <cell r="AO33">
            <v>1.6446377549110511</v>
          </cell>
          <cell r="AP33">
            <v>1.6608639975399901</v>
          </cell>
          <cell r="AQ33">
            <v>1.6770902401689296</v>
          </cell>
          <cell r="AR33">
            <v>1.6933164827978697</v>
          </cell>
          <cell r="AS33">
            <v>1.7095427254268096</v>
          </cell>
          <cell r="AT33">
            <v>1.7257689680557493</v>
          </cell>
          <cell r="AU33">
            <v>1.7419952106846865</v>
          </cell>
          <cell r="AV33">
            <v>1.7582214533136262</v>
          </cell>
          <cell r="AW33">
            <v>1.7744476959425661</v>
          </cell>
          <cell r="AX33">
            <v>1.7906739385715058</v>
          </cell>
          <cell r="AY33">
            <v>1.8069001812004457</v>
          </cell>
          <cell r="AZ33">
            <v>1.8231264238293854</v>
          </cell>
          <cell r="BA33">
            <v>1.8393526664583224</v>
          </cell>
        </row>
        <row r="34">
          <cell r="C34">
            <v>4.3270000000000003E-2</v>
          </cell>
          <cell r="D34">
            <v>3.1559999999999998E-2</v>
          </cell>
          <cell r="E34">
            <v>2.4389999999999998E-2</v>
          </cell>
          <cell r="F34">
            <v>2.6009999999999998E-2</v>
          </cell>
          <cell r="G34">
            <v>4.2000000000000003E-2</v>
          </cell>
          <cell r="H34">
            <v>4.2000000000000003E-2</v>
          </cell>
          <cell r="I34">
            <v>4.2000000000000003E-2</v>
          </cell>
          <cell r="J34">
            <v>4.2000000000000003E-2</v>
          </cell>
          <cell r="K34">
            <v>4.2000000000000003E-2</v>
          </cell>
          <cell r="L34">
            <v>4.2000000000000003E-2</v>
          </cell>
          <cell r="M34">
            <v>4.2000000000000003E-2</v>
          </cell>
          <cell r="N34">
            <v>4.2000000000000003E-2</v>
          </cell>
          <cell r="O34">
            <v>4.2000000000000003E-2</v>
          </cell>
          <cell r="P34">
            <v>4.2000000000000003E-2</v>
          </cell>
          <cell r="Q34">
            <v>4.2000000000000003E-2</v>
          </cell>
          <cell r="R34">
            <v>4.2000000000000003E-2</v>
          </cell>
          <cell r="S34">
            <v>4.2000000000000003E-2</v>
          </cell>
          <cell r="T34">
            <v>4.2000000000000003E-2</v>
          </cell>
          <cell r="U34">
            <v>4.2000000000000003E-2</v>
          </cell>
          <cell r="V34">
            <v>4.2000000000000003E-2</v>
          </cell>
          <cell r="W34">
            <v>3.5000000000000003E-2</v>
          </cell>
          <cell r="X34">
            <v>3.5000000000000003E-2</v>
          </cell>
          <cell r="Y34">
            <v>3.5000000000000003E-2</v>
          </cell>
          <cell r="Z34">
            <v>3.5000000000000003E-2</v>
          </cell>
          <cell r="AA34">
            <v>3.5000000000000003E-2</v>
          </cell>
          <cell r="AB34">
            <v>3.5000000000000003E-2</v>
          </cell>
          <cell r="AC34">
            <v>3.5000000000000003E-2</v>
          </cell>
          <cell r="AD34">
            <v>3.5000000000000003E-2</v>
          </cell>
          <cell r="AE34">
            <v>3.5000000000000003E-2</v>
          </cell>
          <cell r="AF34">
            <v>3.5000000000000003E-2</v>
          </cell>
          <cell r="AG34">
            <v>3.5000000000000003E-2</v>
          </cell>
          <cell r="AH34">
            <v>2.1999999999999999E-2</v>
          </cell>
          <cell r="AI34">
            <v>2.1999999999999999E-2</v>
          </cell>
          <cell r="AJ34">
            <v>2.1999999999999999E-2</v>
          </cell>
          <cell r="AK34">
            <v>2.1999999999999999E-2</v>
          </cell>
          <cell r="AL34">
            <v>2.1999999999999999E-2</v>
          </cell>
          <cell r="AM34">
            <v>2.1999999999999999E-2</v>
          </cell>
          <cell r="AN34">
            <v>2.1999999999999999E-2</v>
          </cell>
          <cell r="AO34">
            <v>2.1999999999999999E-2</v>
          </cell>
          <cell r="AP34">
            <v>2.1999999999999999E-2</v>
          </cell>
          <cell r="AQ34">
            <v>2.1999999999999999E-2</v>
          </cell>
          <cell r="AR34">
            <v>2.1999999999999999E-2</v>
          </cell>
          <cell r="AS34">
            <v>2.1999999999999999E-2</v>
          </cell>
          <cell r="AT34">
            <v>2.1999999999999999E-2</v>
          </cell>
          <cell r="AU34">
            <v>2.1999999999999999E-2</v>
          </cell>
          <cell r="AV34">
            <v>2.1999999999999999E-2</v>
          </cell>
          <cell r="AW34">
            <v>2.1999999999999999E-2</v>
          </cell>
          <cell r="AX34">
            <v>2.1999999999999999E-2</v>
          </cell>
          <cell r="AY34">
            <v>2.1999999999999999E-2</v>
          </cell>
          <cell r="AZ34">
            <v>2.1999999999999999E-2</v>
          </cell>
          <cell r="BA34">
            <v>2.1999999999999999E-2</v>
          </cell>
        </row>
        <row r="35">
          <cell r="C35">
            <v>1</v>
          </cell>
          <cell r="D35">
            <v>1.0432699999999999</v>
          </cell>
          <cell r="E35">
            <v>1.0761956012</v>
          </cell>
          <cell r="F35">
            <v>1.1024440119132679</v>
          </cell>
          <cell r="G35">
            <v>1.1311185806631321</v>
          </cell>
          <cell r="H35">
            <v>1.1786255610509837</v>
          </cell>
          <cell r="I35">
            <v>1.228127834615125</v>
          </cell>
          <cell r="J35">
            <v>1.2797092036689603</v>
          </cell>
          <cell r="K35">
            <v>1.3334569902230566</v>
          </cell>
          <cell r="L35">
            <v>1.389462183812425</v>
          </cell>
          <cell r="M35">
            <v>1.447819595532547</v>
          </cell>
          <cell r="N35">
            <v>1.5086280185449141</v>
          </cell>
          <cell r="O35">
            <v>1.5719903953238006</v>
          </cell>
          <cell r="P35">
            <v>1.6380139919274002</v>
          </cell>
          <cell r="Q35">
            <v>1.706810579588351</v>
          </cell>
          <cell r="R35">
            <v>1.7784966239310618</v>
          </cell>
          <cell r="S35">
            <v>1.8531934821361664</v>
          </cell>
          <cell r="T35">
            <v>1.9310276083858855</v>
          </cell>
          <cell r="U35">
            <v>2.0121307679380926</v>
          </cell>
          <cell r="V35">
            <v>2.0966402601914926</v>
          </cell>
          <cell r="W35">
            <v>2.1846991511195353</v>
          </cell>
          <cell r="X35">
            <v>2.261163621408719</v>
          </cell>
          <cell r="Y35">
            <v>2.3403043481580239</v>
          </cell>
          <cell r="Z35">
            <v>2.4222150003435545</v>
          </cell>
          <cell r="AA35">
            <v>2.5069925253555789</v>
          </cell>
          <cell r="AB35">
            <v>2.5947372637430242</v>
          </cell>
          <cell r="AC35">
            <v>2.6855530679740296</v>
          </cell>
          <cell r="AD35">
            <v>2.7795474253531203</v>
          </cell>
          <cell r="AE35">
            <v>2.8768315852404793</v>
          </cell>
          <cell r="AF35">
            <v>2.977520690723896</v>
          </cell>
          <cell r="AG35">
            <v>3.0817339148992322</v>
          </cell>
          <cell r="AH35">
            <v>3.1895946019207049</v>
          </cell>
          <cell r="AI35">
            <v>3.2597656831629602</v>
          </cell>
          <cell r="AJ35">
            <v>3.3314805281925453</v>
          </cell>
          <cell r="AK35">
            <v>3.4047730998127812</v>
          </cell>
          <cell r="AL35">
            <v>3.4796781080086623</v>
          </cell>
          <cell r="AM35">
            <v>3.5562310263848529</v>
          </cell>
          <cell r="AN35">
            <v>3.6344681089653199</v>
          </cell>
          <cell r="AO35">
            <v>3.714426407362557</v>
          </cell>
          <cell r="AP35">
            <v>3.7961437883245335</v>
          </cell>
          <cell r="AQ35">
            <v>3.8796589516676732</v>
          </cell>
          <cell r="AR35">
            <v>3.9650114486043622</v>
          </cell>
          <cell r="AS35">
            <v>4.0522417004736582</v>
          </cell>
          <cell r="AT35">
            <v>4.1413910178840787</v>
          </cell>
          <cell r="AU35">
            <v>4.2325016202775281</v>
          </cell>
          <cell r="AV35">
            <v>4.3256166559236338</v>
          </cell>
          <cell r="AW35">
            <v>4.4207802223539536</v>
          </cell>
          <cell r="AX35">
            <v>4.5180373872457409</v>
          </cell>
          <cell r="AY35">
            <v>4.6174342097651468</v>
          </cell>
          <cell r="AZ35">
            <v>4.7190177623799805</v>
          </cell>
          <cell r="BA35">
            <v>4.8228361531523403</v>
          </cell>
        </row>
        <row r="36">
          <cell r="C36">
            <v>0.81424748451644979</v>
          </cell>
          <cell r="D36">
            <v>0.8494799731714765</v>
          </cell>
          <cell r="E36">
            <v>0.87628956112476841</v>
          </cell>
          <cell r="F36">
            <v>0.89766226352060141</v>
          </cell>
          <cell r="G36">
            <v>0.9210104589947723</v>
          </cell>
          <cell r="H36">
            <v>0.95969289827255277</v>
          </cell>
          <cell r="I36">
            <v>1</v>
          </cell>
          <cell r="J36">
            <v>1.042</v>
          </cell>
          <cell r="K36">
            <v>1.0857640000000002</v>
          </cell>
          <cell r="L36">
            <v>1.131366088</v>
          </cell>
          <cell r="M36">
            <v>1.1788834636960002</v>
          </cell>
          <cell r="N36">
            <v>1.2283965691712324</v>
          </cell>
          <cell r="O36">
            <v>1.2799892250764242</v>
          </cell>
          <cell r="P36">
            <v>1.333748772529634</v>
          </cell>
          <cell r="Q36">
            <v>1.3897662209758785</v>
          </cell>
          <cell r="R36">
            <v>1.4481364022568655</v>
          </cell>
          <cell r="S36">
            <v>1.5089581311516538</v>
          </cell>
          <cell r="T36">
            <v>1.5723343726600234</v>
          </cell>
          <cell r="U36">
            <v>1.6383724163117444</v>
          </cell>
          <cell r="V36">
            <v>1.7071840577968376</v>
          </cell>
          <cell r="W36">
            <v>1.7788857882243048</v>
          </cell>
          <cell r="X36">
            <v>1.8411467908121555</v>
          </cell>
          <cell r="Y36">
            <v>1.9055869284905806</v>
          </cell>
          <cell r="Z36">
            <v>1.9722824709877509</v>
          </cell>
          <cell r="AA36">
            <v>2.041312357472322</v>
          </cell>
          <cell r="AB36">
            <v>2.1127582899838533</v>
          </cell>
          <cell r="AC36">
            <v>2.1867048301332881</v>
          </cell>
          <cell r="AD36">
            <v>2.2632394991879528</v>
          </cell>
          <cell r="AE36">
            <v>2.3424528816595309</v>
          </cell>
          <cell r="AF36">
            <v>2.4244387325176144</v>
          </cell>
          <cell r="AG36">
            <v>2.5092940881557309</v>
          </cell>
          <cell r="AH36">
            <v>2.597119381241181</v>
          </cell>
          <cell r="AI36">
            <v>2.6542560076284869</v>
          </cell>
          <cell r="AJ36">
            <v>2.7126496397963136</v>
          </cell>
          <cell r="AK36">
            <v>2.7723279318718324</v>
          </cell>
          <cell r="AL36">
            <v>2.8333191463730127</v>
          </cell>
          <cell r="AM36">
            <v>2.895652167593219</v>
          </cell>
          <cell r="AN36">
            <v>2.9593565152802701</v>
          </cell>
          <cell r="AO36">
            <v>3.0244623586164359</v>
          </cell>
          <cell r="AP36">
            <v>3.0910005305059975</v>
          </cell>
          <cell r="AQ36">
            <v>3.1590025421771295</v>
          </cell>
          <cell r="AR36">
            <v>3.2285005981050268</v>
          </cell>
          <cell r="AS36">
            <v>3.2995276112633372</v>
          </cell>
          <cell r="AT36">
            <v>3.3721172187111308</v>
          </cell>
          <cell r="AU36">
            <v>3.4463037975227753</v>
          </cell>
          <cell r="AV36">
            <v>3.5221224810682763</v>
          </cell>
          <cell r="AW36">
            <v>3.5996091756517785</v>
          </cell>
          <cell r="AX36">
            <v>3.6788005775161179</v>
          </cell>
          <cell r="AY36">
            <v>3.7597341902214718</v>
          </cell>
          <cell r="AZ36">
            <v>3.8424483424063447</v>
          </cell>
          <cell r="BA36">
            <v>3.9269822059392845</v>
          </cell>
        </row>
        <row r="37">
          <cell r="C37">
            <v>1.0501639926970658</v>
          </cell>
          <cell r="D37">
            <v>1.0717952822356573</v>
          </cell>
          <cell r="E37">
            <v>1.1202745514263825</v>
          </cell>
          <cell r="F37">
            <v>1.1284818511389074</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row>
        <row r="38">
          <cell r="C38" t="e">
            <v>#DIV/0!</v>
          </cell>
          <cell r="D38" t="e">
            <v>#DIV/0!</v>
          </cell>
          <cell r="E38" t="e">
            <v>#DIV/0!</v>
          </cell>
          <cell r="F38" t="e">
            <v>#DIV/0!</v>
          </cell>
          <cell r="G38" t="e">
            <v>#DIV/0!</v>
          </cell>
          <cell r="H38" t="e">
            <v>#DIV/0!</v>
          </cell>
          <cell r="I38" t="e">
            <v>#DIV/0!</v>
          </cell>
          <cell r="J38" t="e">
            <v>#DIV/0!</v>
          </cell>
          <cell r="K38" t="e">
            <v>#DIV/0!</v>
          </cell>
          <cell r="L38" t="e">
            <v>#DIV/0!</v>
          </cell>
          <cell r="M38" t="e">
            <v>#DIV/0!</v>
          </cell>
          <cell r="N38" t="e">
            <v>#DIV/0!</v>
          </cell>
          <cell r="O38" t="e">
            <v>#DIV/0!</v>
          </cell>
          <cell r="P38" t="e">
            <v>#DIV/0!</v>
          </cell>
          <cell r="Q38" t="e">
            <v>#DIV/0!</v>
          </cell>
          <cell r="R38" t="e">
            <v>#DIV/0!</v>
          </cell>
          <cell r="S38" t="e">
            <v>#DIV/0!</v>
          </cell>
          <cell r="T38" t="e">
            <v>#DIV/0!</v>
          </cell>
          <cell r="U38" t="e">
            <v>#DIV/0!</v>
          </cell>
          <cell r="V38" t="e">
            <v>#DIV/0!</v>
          </cell>
          <cell r="W38" t="e">
            <v>#DIV/0!</v>
          </cell>
          <cell r="X38" t="e">
            <v>#DIV/0!</v>
          </cell>
          <cell r="Y38" t="e">
            <v>#DIV/0!</v>
          </cell>
          <cell r="Z38" t="e">
            <v>#DIV/0!</v>
          </cell>
          <cell r="AA38" t="e">
            <v>#DIV/0!</v>
          </cell>
          <cell r="AB38" t="e">
            <v>#DIV/0!</v>
          </cell>
          <cell r="AC38" t="e">
            <v>#DIV/0!</v>
          </cell>
          <cell r="AD38" t="e">
            <v>#DIV/0!</v>
          </cell>
          <cell r="AE38" t="e">
            <v>#DIV/0!</v>
          </cell>
          <cell r="AF38" t="e">
            <v>#DIV/0!</v>
          </cell>
          <cell r="AG38" t="e">
            <v>#DIV/0!</v>
          </cell>
          <cell r="AH38" t="e">
            <v>#DIV/0!</v>
          </cell>
          <cell r="AI38" t="e">
            <v>#DIV/0!</v>
          </cell>
          <cell r="AJ38" t="e">
            <v>#DIV/0!</v>
          </cell>
          <cell r="AK38" t="e">
            <v>#DIV/0!</v>
          </cell>
          <cell r="AL38" t="e">
            <v>#DIV/0!</v>
          </cell>
          <cell r="AM38" t="e">
            <v>#DIV/0!</v>
          </cell>
          <cell r="AN38" t="e">
            <v>#DIV/0!</v>
          </cell>
          <cell r="AO38" t="e">
            <v>#DIV/0!</v>
          </cell>
          <cell r="AP38" t="e">
            <v>#DIV/0!</v>
          </cell>
          <cell r="AQ38" t="e">
            <v>#DIV/0!</v>
          </cell>
          <cell r="AR38" t="e">
            <v>#DIV/0!</v>
          </cell>
          <cell r="AS38" t="e">
            <v>#DIV/0!</v>
          </cell>
          <cell r="AT38" t="e">
            <v>#DIV/0!</v>
          </cell>
          <cell r="AU38" t="e">
            <v>#DIV/0!</v>
          </cell>
          <cell r="AV38" t="e">
            <v>#DIV/0!</v>
          </cell>
          <cell r="AW38" t="e">
            <v>#DIV/0!</v>
          </cell>
          <cell r="AX38" t="e">
            <v>#DIV/0!</v>
          </cell>
          <cell r="AY38" t="e">
            <v>#DIV/0!</v>
          </cell>
          <cell r="AZ38" t="e">
            <v>#DIV/0!</v>
          </cell>
          <cell r="BA38" t="e">
            <v>#DIV/0!</v>
          </cell>
        </row>
        <row r="39">
          <cell r="C39">
            <v>1</v>
          </cell>
          <cell r="D39">
            <v>0.98988655005590909</v>
          </cell>
          <cell r="E39">
            <v>0.94556871433884837</v>
          </cell>
          <cell r="F39">
            <v>0.9525574572812423</v>
          </cell>
          <cell r="G39">
            <v>0.82537101676194546</v>
          </cell>
          <cell r="H39">
            <v>0.83392333697846188</v>
          </cell>
          <cell r="I39">
            <v>0.84247565719497841</v>
          </cell>
          <cell r="J39">
            <v>0.85102797741149483</v>
          </cell>
          <cell r="K39">
            <v>0.85958029762801136</v>
          </cell>
          <cell r="L39">
            <v>0.86813261784452778</v>
          </cell>
          <cell r="M39">
            <v>0.87668493806104431</v>
          </cell>
          <cell r="N39">
            <v>0.88523725827756072</v>
          </cell>
          <cell r="O39">
            <v>0.89378957849407725</v>
          </cell>
          <cell r="P39">
            <v>0.90234189871059367</v>
          </cell>
          <cell r="Q39">
            <v>0.91089421892711009</v>
          </cell>
          <cell r="R39">
            <v>0.91944653914362662</v>
          </cell>
          <cell r="S39">
            <v>0.89377762617275314</v>
          </cell>
          <cell r="T39">
            <v>0.86810871320187977</v>
          </cell>
          <cell r="U39">
            <v>0.84243980023100629</v>
          </cell>
          <cell r="V39">
            <v>0.81677088726013292</v>
          </cell>
          <cell r="W39">
            <v>0.79110197428925921</v>
          </cell>
          <cell r="X39">
            <v>0.77298979128682987</v>
          </cell>
          <cell r="Y39">
            <v>0.75487760828440054</v>
          </cell>
          <cell r="Z39">
            <v>0.73676542528197109</v>
          </cell>
          <cell r="AA39">
            <v>0.71865324227954175</v>
          </cell>
          <cell r="AB39">
            <v>0.70054105927711219</v>
          </cell>
          <cell r="AC39">
            <v>0.68095640899141863</v>
          </cell>
          <cell r="AD39">
            <v>0.66137175870572495</v>
          </cell>
          <cell r="AE39">
            <v>0.64178710842003139</v>
          </cell>
          <cell r="AF39">
            <v>0.62220245813433772</v>
          </cell>
          <cell r="AG39">
            <v>0.60261780784864405</v>
          </cell>
          <cell r="AH39">
            <v>0.58305530264264804</v>
          </cell>
          <cell r="AI39">
            <v>0.56349279743665193</v>
          </cell>
          <cell r="AJ39">
            <v>0.54393029223065592</v>
          </cell>
          <cell r="AK39">
            <v>0.5243677870246598</v>
          </cell>
          <cell r="AL39">
            <v>0.50480528181866358</v>
          </cell>
          <cell r="AM39">
            <v>0.48512558854767729</v>
          </cell>
          <cell r="AN39">
            <v>0.46544589527669095</v>
          </cell>
          <cell r="AO39">
            <v>0.4457662020057046</v>
          </cell>
          <cell r="AP39">
            <v>0.42608650873471826</v>
          </cell>
          <cell r="AQ39">
            <v>0.40640681546373197</v>
          </cell>
          <cell r="AR39">
            <v>0.38827829178633294</v>
          </cell>
          <cell r="AS39">
            <v>0.37014976810893396</v>
          </cell>
          <cell r="AT39">
            <v>0.35202124443153499</v>
          </cell>
          <cell r="AU39">
            <v>0.33389272075413601</v>
          </cell>
          <cell r="AV39">
            <v>0.31576419707673703</v>
          </cell>
          <cell r="AW39">
            <v>0.3025158738102528</v>
          </cell>
          <cell r="AX39">
            <v>0.28926755054376857</v>
          </cell>
          <cell r="AY39">
            <v>0.27601922727728428</v>
          </cell>
          <cell r="AZ39">
            <v>0.26277090401080005</v>
          </cell>
          <cell r="BA39">
            <v>0.24952258074431583</v>
          </cell>
        </row>
        <row r="40">
          <cell r="C40">
            <v>1</v>
          </cell>
          <cell r="D40">
            <v>1.0770975895297799</v>
          </cell>
          <cell r="E40">
            <v>0.99877816126699626</v>
          </cell>
          <cell r="F40">
            <v>1.1535842596930579</v>
          </cell>
          <cell r="G40">
            <v>1.1451677949894976</v>
          </cell>
          <cell r="H40">
            <v>1.1367513302859376</v>
          </cell>
          <cell r="I40">
            <v>1.1283348655823773</v>
          </cell>
          <cell r="J40">
            <v>1.119918400878817</v>
          </cell>
          <cell r="K40">
            <v>1.1115019361752567</v>
          </cell>
          <cell r="L40">
            <v>1.1030854714716967</v>
          </cell>
          <cell r="M40">
            <v>1.0946690067681364</v>
          </cell>
          <cell r="N40">
            <v>1.0827897963585775</v>
          </cell>
          <cell r="O40">
            <v>1.0709105859490191</v>
          </cell>
          <cell r="P40">
            <v>1.0590313755394603</v>
          </cell>
          <cell r="Q40">
            <v>1.0471521651299016</v>
          </cell>
          <cell r="R40">
            <v>1.035272954720343</v>
          </cell>
          <cell r="S40">
            <v>1.0202055330895818</v>
          </cell>
          <cell r="T40">
            <v>1.0051381114588207</v>
          </cell>
          <cell r="U40">
            <v>0.99007068982805935</v>
          </cell>
          <cell r="V40">
            <v>0.9750032681972981</v>
          </cell>
          <cell r="W40">
            <v>0.95993584656653697</v>
          </cell>
          <cell r="X40">
            <v>0.95049024917288516</v>
          </cell>
          <cell r="Y40">
            <v>0.94104465177923335</v>
          </cell>
          <cell r="Z40">
            <v>0.93159905438558166</v>
          </cell>
          <cell r="AA40">
            <v>0.92215345699192997</v>
          </cell>
          <cell r="AB40">
            <v>0.91270785959827816</v>
          </cell>
          <cell r="AC40">
            <v>0.89773718590498375</v>
          </cell>
          <cell r="AD40">
            <v>0.88276651221168922</v>
          </cell>
          <cell r="AE40">
            <v>0.86779583851839492</v>
          </cell>
          <cell r="AF40">
            <v>0.85282516482510051</v>
          </cell>
          <cell r="AG40">
            <v>0.8378544911318061</v>
          </cell>
          <cell r="AH40">
            <v>0.81881583980808748</v>
          </cell>
          <cell r="AI40">
            <v>0.79977718848436874</v>
          </cell>
          <cell r="AJ40">
            <v>0.78073853716065011</v>
          </cell>
          <cell r="AK40">
            <v>0.76169988583693138</v>
          </cell>
          <cell r="AL40">
            <v>0.74266123451321275</v>
          </cell>
          <cell r="AM40">
            <v>0.72255157441711138</v>
          </cell>
          <cell r="AN40">
            <v>0.70244191432101</v>
          </cell>
          <cell r="AO40">
            <v>0.68233225422490873</v>
          </cell>
          <cell r="AP40">
            <v>0.66222259412880735</v>
          </cell>
          <cell r="AQ40">
            <v>0.64211293403270597</v>
          </cell>
          <cell r="AR40">
            <v>0</v>
          </cell>
          <cell r="AS40">
            <v>0</v>
          </cell>
          <cell r="AT40">
            <v>0</v>
          </cell>
          <cell r="AU40">
            <v>0</v>
          </cell>
          <cell r="AV40">
            <v>0</v>
          </cell>
          <cell r="AW40">
            <v>0</v>
          </cell>
          <cell r="AX40">
            <v>0</v>
          </cell>
          <cell r="AY40">
            <v>0</v>
          </cell>
          <cell r="AZ40">
            <v>0</v>
          </cell>
          <cell r="BA40">
            <v>0</v>
          </cell>
        </row>
        <row r="41">
          <cell r="C41">
            <v>1</v>
          </cell>
          <cell r="D41">
            <v>1.0770975895297799</v>
          </cell>
          <cell r="E41">
            <v>0.99877816126699626</v>
          </cell>
          <cell r="F41">
            <v>1.1535842596930579</v>
          </cell>
          <cell r="G41">
            <v>1.1685506270204331</v>
          </cell>
          <cell r="H41">
            <v>1.1449034304929853</v>
          </cell>
          <cell r="I41">
            <v>1.1212562339655374</v>
          </cell>
          <cell r="J41">
            <v>1.0976090374380896</v>
          </cell>
          <cell r="K41">
            <v>1.073961840910642</v>
          </cell>
          <cell r="L41">
            <v>1.0503146443831941</v>
          </cell>
          <cell r="M41">
            <v>1.0266674478557465</v>
          </cell>
          <cell r="N41">
            <v>1.0030202513282989</v>
          </cell>
          <cell r="O41">
            <v>0.97937305480085113</v>
          </cell>
          <cell r="P41">
            <v>0.95572585827340351</v>
          </cell>
          <cell r="Q41">
            <v>0.93207866174595588</v>
          </cell>
          <cell r="R41">
            <v>0.90843146521850826</v>
          </cell>
          <cell r="S41">
            <v>0.88759653760997836</v>
          </cell>
          <cell r="T41">
            <v>0.86676161000144858</v>
          </cell>
          <cell r="U41">
            <v>0.84592668239291868</v>
          </cell>
          <cell r="V41">
            <v>0.82509175478438879</v>
          </cell>
          <cell r="W41">
            <v>0.80425682717585889</v>
          </cell>
          <cell r="X41">
            <v>0.79550817613505576</v>
          </cell>
          <cell r="Y41">
            <v>0.78675952509425273</v>
          </cell>
          <cell r="Z41">
            <v>0.7780108740534496</v>
          </cell>
          <cell r="AA41">
            <v>0.76926222301264646</v>
          </cell>
          <cell r="AB41">
            <v>0.76051357197184366</v>
          </cell>
          <cell r="AC41">
            <v>0.75297165093809693</v>
          </cell>
          <cell r="AD41">
            <v>0.74542972990435019</v>
          </cell>
          <cell r="AE41">
            <v>0.73788780887060346</v>
          </cell>
          <cell r="AF41">
            <v>0.73034588783685672</v>
          </cell>
          <cell r="AG41">
            <v>0.72280396680310977</v>
          </cell>
          <cell r="AH41">
            <v>0.71013007045887089</v>
          </cell>
          <cell r="AI41">
            <v>0.69745617411463201</v>
          </cell>
          <cell r="AJ41">
            <v>0.68478227777039302</v>
          </cell>
          <cell r="AK41">
            <v>0.67210838142615414</v>
          </cell>
          <cell r="AL41">
            <v>0.65943448508191549</v>
          </cell>
          <cell r="AM41">
            <v>0.64696141731707069</v>
          </cell>
          <cell r="AN41">
            <v>0.63448834955222599</v>
          </cell>
          <cell r="AO41">
            <v>0.62201528178738119</v>
          </cell>
          <cell r="AP41">
            <v>0.60954221402253639</v>
          </cell>
          <cell r="AQ41">
            <v>0.5970691462576917</v>
          </cell>
          <cell r="AR41">
            <v>0.58476511851711688</v>
          </cell>
          <cell r="AS41">
            <v>0.57246109077654195</v>
          </cell>
          <cell r="AT41">
            <v>0.56015706303596713</v>
          </cell>
          <cell r="AU41">
            <v>0.54785303529539231</v>
          </cell>
          <cell r="AV41">
            <v>0.53554900755481727</v>
          </cell>
          <cell r="AW41">
            <v>0.52443317252370369</v>
          </cell>
          <cell r="AX41">
            <v>0.51331733749259012</v>
          </cell>
          <cell r="AY41">
            <v>0.50220150246147655</v>
          </cell>
          <cell r="AZ41">
            <v>0.49108566743036292</v>
          </cell>
          <cell r="BA41">
            <v>0.47996983239924929</v>
          </cell>
        </row>
        <row r="42">
          <cell r="C42">
            <v>1</v>
          </cell>
          <cell r="D42">
            <v>1.099912186666385</v>
          </cell>
          <cell r="E42">
            <v>1.1650715156133469</v>
          </cell>
          <cell r="F42">
            <v>1.2823601311394435</v>
          </cell>
          <cell r="G42">
            <v>1.2631478175442319</v>
          </cell>
          <cell r="H42">
            <v>1.2439355039490196</v>
          </cell>
          <cell r="I42">
            <v>1.2549573799279472</v>
          </cell>
          <cell r="J42">
            <v>1.2659792559068743</v>
          </cell>
          <cell r="K42">
            <v>1.2770011318858021</v>
          </cell>
          <cell r="L42">
            <v>1.2880230078647297</v>
          </cell>
          <cell r="M42">
            <v>1.2990448838436572</v>
          </cell>
          <cell r="N42">
            <v>1.3018698712964798</v>
          </cell>
          <cell r="O42">
            <v>1.3046948587493026</v>
          </cell>
          <cell r="P42">
            <v>1.3075198462021256</v>
          </cell>
          <cell r="Q42">
            <v>1.3103448336549481</v>
          </cell>
          <cell r="R42">
            <v>1.3131698211077716</v>
          </cell>
          <cell r="S42">
            <v>1.3168105307834512</v>
          </cell>
          <cell r="T42">
            <v>1.3204512404591318</v>
          </cell>
          <cell r="U42">
            <v>1.3240919501348123</v>
          </cell>
          <cell r="V42">
            <v>1.3277326598104928</v>
          </cell>
          <cell r="W42">
            <v>1.3313733694861731</v>
          </cell>
          <cell r="X42">
            <v>1.3338739481089614</v>
          </cell>
          <cell r="Y42">
            <v>1.3363745267317502</v>
          </cell>
          <cell r="Z42">
            <v>1.3388751053545378</v>
          </cell>
          <cell r="AA42">
            <v>1.3413756839773265</v>
          </cell>
          <cell r="AB42">
            <v>1.3438762626001151</v>
          </cell>
          <cell r="AC42">
            <v>1.3379829982684472</v>
          </cell>
          <cell r="AD42">
            <v>1.3320897339367799</v>
          </cell>
          <cell r="AE42">
            <v>1.3261964696051125</v>
          </cell>
          <cell r="AF42">
            <v>1.3203032052734451</v>
          </cell>
          <cell r="AG42">
            <v>1.3144099409417778</v>
          </cell>
          <cell r="AH42">
            <v>1.3045972219783597</v>
          </cell>
          <cell r="AI42">
            <v>1.2947845030149414</v>
          </cell>
          <cell r="AJ42">
            <v>1.2849717840515236</v>
          </cell>
          <cell r="AK42">
            <v>1.2751590650881057</v>
          </cell>
          <cell r="AL42">
            <v>1.2653463461246872</v>
          </cell>
          <cell r="AM42">
            <v>1.2534297450261171</v>
          </cell>
          <cell r="AN42">
            <v>1.2415131439275473</v>
          </cell>
          <cell r="AO42">
            <v>1.2295965428289772</v>
          </cell>
          <cell r="AP42">
            <v>1.2176799417304072</v>
          </cell>
          <cell r="AQ42">
            <v>1.2057633406318371</v>
          </cell>
          <cell r="AR42">
            <v>0</v>
          </cell>
          <cell r="AS42">
            <v>0</v>
          </cell>
          <cell r="AT42">
            <v>0</v>
          </cell>
          <cell r="AU42">
            <v>0</v>
          </cell>
          <cell r="AV42">
            <v>0</v>
          </cell>
          <cell r="AW42">
            <v>0</v>
          </cell>
          <cell r="AX42">
            <v>0</v>
          </cell>
          <cell r="AY42">
            <v>0</v>
          </cell>
          <cell r="AZ42">
            <v>0</v>
          </cell>
          <cell r="BA42">
            <v>0</v>
          </cell>
        </row>
        <row r="63">
          <cell r="A63" t="str">
            <v>Code</v>
          </cell>
          <cell r="B63" t="str">
            <v>Sector</v>
          </cell>
          <cell r="C63">
            <v>2010</v>
          </cell>
          <cell r="D63">
            <v>2011</v>
          </cell>
          <cell r="E63">
            <v>2012</v>
          </cell>
          <cell r="F63">
            <v>2013</v>
          </cell>
          <cell r="G63">
            <v>2014</v>
          </cell>
          <cell r="H63">
            <v>2015</v>
          </cell>
          <cell r="I63">
            <v>2016</v>
          </cell>
          <cell r="J63">
            <v>2017</v>
          </cell>
          <cell r="K63">
            <v>2018</v>
          </cell>
          <cell r="L63">
            <v>2019</v>
          </cell>
          <cell r="M63">
            <v>2020</v>
          </cell>
          <cell r="N63">
            <v>2021</v>
          </cell>
          <cell r="O63">
            <v>2022</v>
          </cell>
          <cell r="P63">
            <v>2023</v>
          </cell>
          <cell r="Q63">
            <v>2024</v>
          </cell>
          <cell r="R63">
            <v>2025</v>
          </cell>
          <cell r="S63">
            <v>2026</v>
          </cell>
          <cell r="T63">
            <v>2027</v>
          </cell>
          <cell r="U63">
            <v>2028</v>
          </cell>
          <cell r="V63">
            <v>2029</v>
          </cell>
          <cell r="W63">
            <v>2030</v>
          </cell>
          <cell r="X63">
            <v>2031</v>
          </cell>
          <cell r="Y63">
            <v>2032</v>
          </cell>
          <cell r="Z63">
            <v>2033</v>
          </cell>
          <cell r="AA63">
            <v>2034</v>
          </cell>
          <cell r="AB63">
            <v>2035</v>
          </cell>
          <cell r="AC63">
            <v>2036</v>
          </cell>
          <cell r="AD63">
            <v>2037</v>
          </cell>
          <cell r="AE63">
            <v>2038</v>
          </cell>
          <cell r="AF63">
            <v>2039</v>
          </cell>
          <cell r="AG63">
            <v>2040</v>
          </cell>
          <cell r="AH63">
            <v>2041</v>
          </cell>
          <cell r="AI63">
            <v>2042</v>
          </cell>
          <cell r="AJ63">
            <v>2043</v>
          </cell>
          <cell r="AK63">
            <v>2044</v>
          </cell>
          <cell r="AL63">
            <v>2045</v>
          </cell>
          <cell r="AM63">
            <v>2046</v>
          </cell>
          <cell r="AN63">
            <v>2047</v>
          </cell>
          <cell r="AO63">
            <v>2048</v>
          </cell>
          <cell r="AP63">
            <v>2049</v>
          </cell>
          <cell r="AQ63">
            <v>2050</v>
          </cell>
          <cell r="AR63">
            <v>2051</v>
          </cell>
          <cell r="AS63">
            <v>2052</v>
          </cell>
          <cell r="AT63">
            <v>2053</v>
          </cell>
          <cell r="AU63">
            <v>2054</v>
          </cell>
          <cell r="AV63">
            <v>2055</v>
          </cell>
          <cell r="AW63">
            <v>2056</v>
          </cell>
          <cell r="AX63">
            <v>2057</v>
          </cell>
          <cell r="AY63">
            <v>2058</v>
          </cell>
          <cell r="AZ63">
            <v>2059</v>
          </cell>
          <cell r="BA63">
            <v>2060</v>
          </cell>
        </row>
        <row r="64">
          <cell r="A64">
            <v>1</v>
          </cell>
          <cell r="B64" t="str">
            <v>Power Generation</v>
          </cell>
          <cell r="C64">
            <v>0.59289650355114054</v>
          </cell>
          <cell r="D64">
            <v>0.59050743508161763</v>
          </cell>
          <cell r="E64">
            <v>0.58931070949118391</v>
          </cell>
          <cell r="F64">
            <v>0.5863254695821164</v>
          </cell>
          <cell r="G64">
            <v>0.57202495010378573</v>
          </cell>
          <cell r="H64">
            <v>0.5462795847930102</v>
          </cell>
          <cell r="I64">
            <v>0.52139984873939516</v>
          </cell>
          <cell r="J64">
            <v>0.49734280652806906</v>
          </cell>
          <cell r="K64">
            <v>0.47406831603707444</v>
          </cell>
          <cell r="L64">
            <v>0.45153880491522519</v>
          </cell>
          <cell r="M64">
            <v>0.42971906818562799</v>
          </cell>
          <cell r="N64">
            <v>0.40857608468157591</v>
          </cell>
          <cell r="O64">
            <v>0.38807885030169026</v>
          </cell>
          <cell r="P64">
            <v>0.36819822631342575</v>
          </cell>
          <cell r="Q64">
            <v>0.34890680114398914</v>
          </cell>
          <cell r="R64">
            <v>0.33017876428006449</v>
          </cell>
          <cell r="S64">
            <v>0.30845125558735714</v>
          </cell>
          <cell r="T64">
            <v>0.28748689136626288</v>
          </cell>
          <cell r="U64">
            <v>0.26724615915447475</v>
          </cell>
          <cell r="V64">
            <v>0.24769222793401274</v>
          </cell>
          <cell r="W64">
            <v>0.22879072446153514</v>
          </cell>
          <cell r="X64">
            <v>0.20988854530866577</v>
          </cell>
          <cell r="Y64">
            <v>0.19166119888879707</v>
          </cell>
          <cell r="Z64">
            <v>0.17407318035851349</v>
          </cell>
          <cell r="AA64">
            <v>0.15709143262594163</v>
          </cell>
          <cell r="AB64">
            <v>0.14068513898566262</v>
          </cell>
          <cell r="AC64">
            <v>0.12591213871405804</v>
          </cell>
          <cell r="AD64">
            <v>0.1116762570279879</v>
          </cell>
          <cell r="AE64">
            <v>9.7948724001000242E-2</v>
          </cell>
          <cell r="AF64">
            <v>8.4702788353571423E-2</v>
          </cell>
          <cell r="AG64">
            <v>7.1913543456831874E-2</v>
          </cell>
          <cell r="AH64">
            <v>6.0841808846573538E-2</v>
          </cell>
          <cell r="AI64">
            <v>5.0169788299427247E-2</v>
          </cell>
          <cell r="AJ64">
            <v>3.987621977840744E-2</v>
          </cell>
          <cell r="AK64">
            <v>2.9941322966132694E-2</v>
          </cell>
          <cell r="AL64">
            <v>2.0346672401521292E-2</v>
          </cell>
          <cell r="AM64">
            <v>1.4249832206722938E-2</v>
          </cell>
          <cell r="AN64">
            <v>8.3758379378395947E-3</v>
          </cell>
          <cell r="AO64">
            <v>2.7126909958827021E-3</v>
          </cell>
          <cell r="AP64">
            <v>-2.7507610245595289E-3</v>
          </cell>
          <cell r="AQ64">
            <v>-8.024897639471E-3</v>
          </cell>
          <cell r="AR64">
            <v>-1.1562155085934419E-2</v>
          </cell>
          <cell r="AS64">
            <v>-1.4967867184535891E-2</v>
          </cell>
          <cell r="AT64">
            <v>-1.8249237946052137E-2</v>
          </cell>
          <cell r="AU64">
            <v>-2.1412954779983256E-2</v>
          </cell>
          <cell r="AV64">
            <v>-2.4465233985998262E-2</v>
          </cell>
          <cell r="AW64">
            <v>-2.6259725765228E-2</v>
          </cell>
          <cell r="AX64">
            <v>-2.7989825196538871E-2</v>
          </cell>
          <cell r="AY64">
            <v>-2.9658937109800644E-2</v>
          </cell>
          <cell r="AZ64">
            <v>-3.1270230446065292E-2</v>
          </cell>
          <cell r="BA64">
            <v>-3.2826658337934321E-2</v>
          </cell>
        </row>
        <row r="65">
          <cell r="A65">
            <v>2</v>
          </cell>
          <cell r="B65" t="str">
            <v>Iron &amp; Steel Industry</v>
          </cell>
          <cell r="C65">
            <v>2.0375772956457721</v>
          </cell>
          <cell r="D65">
            <v>1.9696535406481577</v>
          </cell>
          <cell r="E65">
            <v>1.6505202557571912</v>
          </cell>
          <cell r="F65">
            <v>1.7082012657062526</v>
          </cell>
          <cell r="G65">
            <v>1.4001273916670471</v>
          </cell>
          <cell r="H65">
            <v>1.3533877847819404</v>
          </cell>
          <cell r="I65">
            <v>1.3066734206684145</v>
          </cell>
          <cell r="J65">
            <v>1.2599842788826032</v>
          </cell>
          <cell r="K65">
            <v>1.2133203390027116</v>
          </cell>
          <cell r="L65">
            <v>1.1666815806289847</v>
          </cell>
          <cell r="M65">
            <v>1.1200679833836795</v>
          </cell>
          <cell r="N65">
            <v>1.0734795269110327</v>
          </cell>
          <cell r="O65">
            <v>1.026916190877234</v>
          </cell>
          <cell r="P65">
            <v>0.98037795497039415</v>
          </cell>
          <cell r="Q65">
            <v>0.9338647989005171</v>
          </cell>
          <cell r="R65">
            <v>0.8873767023994692</v>
          </cell>
          <cell r="S65">
            <v>0.8499010589608863</v>
          </cell>
          <cell r="T65">
            <v>0.81231599546607203</v>
          </cell>
          <cell r="U65">
            <v>0.77462103199319088</v>
          </cell>
          <cell r="V65">
            <v>0.73681568580968271</v>
          </cell>
          <cell r="W65">
            <v>0.69889947135165642</v>
          </cell>
          <cell r="X65">
            <v>0.66344993488496962</v>
          </cell>
          <cell r="Y65">
            <v>0.62838093266774941</v>
          </cell>
          <cell r="Z65">
            <v>0.59368637012453129</v>
          </cell>
          <cell r="AA65">
            <v>0.55936028213506284</v>
          </cell>
          <cell r="AB65">
            <v>0.52539682961525314</v>
          </cell>
          <cell r="AC65">
            <v>0.50777742739313347</v>
          </cell>
          <cell r="AD65">
            <v>0.49040838624329519</v>
          </cell>
          <cell r="AE65">
            <v>0.47328440759089707</v>
          </cell>
          <cell r="AF65">
            <v>0.45640034133053831</v>
          </cell>
          <cell r="AG65">
            <v>0.43975118066217356</v>
          </cell>
          <cell r="AH65">
            <v>0.42448107768313553</v>
          </cell>
          <cell r="AI65">
            <v>0.40924331854295626</v>
          </cell>
          <cell r="AJ65">
            <v>0.39403780058838106</v>
          </cell>
          <cell r="AK65">
            <v>0.37886442160009925</v>
          </cell>
          <cell r="AL65">
            <v>0.36372307979045299</v>
          </cell>
          <cell r="AM65">
            <v>0.34399974837353575</v>
          </cell>
          <cell r="AN65">
            <v>0.32448048789514561</v>
          </cell>
          <cell r="AO65">
            <v>0.30516214747175618</v>
          </cell>
          <cell r="AP65">
            <v>0.28604164075446992</v>
          </cell>
          <cell r="AQ65">
            <v>0.26711594428523239</v>
          </cell>
          <cell r="AR65">
            <v>0.25529002279016894</v>
          </cell>
          <cell r="AS65">
            <v>0.24344530963422328</v>
          </cell>
          <cell r="AT65">
            <v>0.23158175999120931</v>
          </cell>
          <cell r="AU65">
            <v>0.2196993288922546</v>
          </cell>
          <cell r="AV65">
            <v>0.20779797122523208</v>
          </cell>
          <cell r="AW65">
            <v>0.18992528167920492</v>
          </cell>
          <cell r="AX65">
            <v>0.17189777642869039</v>
          </cell>
          <cell r="AY65">
            <v>0.15371343517110761</v>
          </cell>
          <cell r="AZ65">
            <v>0.13537020229776953</v>
          </cell>
          <cell r="BA65">
            <v>0.11686598611925214</v>
          </cell>
        </row>
        <row r="66">
          <cell r="A66">
            <v>3</v>
          </cell>
          <cell r="B66" t="str">
            <v>Cement</v>
          </cell>
          <cell r="C66">
            <v>0.62735100402732447</v>
          </cell>
          <cell r="D66">
            <v>0.59492184247302204</v>
          </cell>
          <cell r="E66">
            <v>0.59630200110019793</v>
          </cell>
          <cell r="F66">
            <v>0.54696817945515652</v>
          </cell>
          <cell r="G66">
            <v>0.53411625171297805</v>
          </cell>
          <cell r="H66">
            <v>0.52793271699286226</v>
          </cell>
          <cell r="I66">
            <v>0.52183946611873955</v>
          </cell>
          <cell r="J66">
            <v>0.51583453611195951</v>
          </cell>
          <cell r="K66">
            <v>0.50991602049064799</v>
          </cell>
          <cell r="L66">
            <v>0.50408206725167504</v>
          </cell>
          <cell r="M66">
            <v>0.49833087693850864</v>
          </cell>
          <cell r="N66">
            <v>0.49266070079072011</v>
          </cell>
          <cell r="O66">
            <v>0.48706983897114342</v>
          </cell>
          <cell r="P66">
            <v>0.48155663886691336</v>
          </cell>
          <cell r="Q66">
            <v>0.47611949346081517</v>
          </cell>
          <cell r="R66">
            <v>0.47075683976957439</v>
          </cell>
          <cell r="S66">
            <v>0.45811162878459033</v>
          </cell>
          <cell r="T66">
            <v>0.44555443103295239</v>
          </cell>
          <cell r="U66">
            <v>0.43308433081644893</v>
          </cell>
          <cell r="V66">
            <v>0.42070042509565103</v>
          </cell>
          <cell r="W66">
            <v>0.40840182327191937</v>
          </cell>
          <cell r="X66">
            <v>0.39591770826421796</v>
          </cell>
          <cell r="Y66">
            <v>0.38350584297061147</v>
          </cell>
          <cell r="Z66">
            <v>0.37116560200118209</v>
          </cell>
          <cell r="AA66">
            <v>0.35889636716303819</v>
          </cell>
          <cell r="AB66">
            <v>0.34669752735708143</v>
          </cell>
          <cell r="AC66">
            <v>0.33183192523473742</v>
          </cell>
          <cell r="AD66">
            <v>0.31724303420096089</v>
          </cell>
          <cell r="AE66">
            <v>0.30292319937279655</v>
          </cell>
          <cell r="AF66">
            <v>0.28886504563841336</v>
          </cell>
          <cell r="AG66">
            <v>0.27506146499146583</v>
          </cell>
          <cell r="AH66">
            <v>0.26805058927887515</v>
          </cell>
          <cell r="AI66">
            <v>0.26111673248738093</v>
          </cell>
          <cell r="AJ66">
            <v>0.25425863239749996</v>
          </cell>
          <cell r="AK66">
            <v>0.24747505422096458</v>
          </cell>
          <cell r="AL66">
            <v>0.24076478985956259</v>
          </cell>
          <cell r="AM66">
            <v>0.2264248084618691</v>
          </cell>
          <cell r="AN66">
            <v>0.21217050327613315</v>
          </cell>
          <cell r="AO66">
            <v>0.19800110876261198</v>
          </cell>
          <cell r="AP66">
            <v>0.1839158684748807</v>
          </cell>
          <cell r="AQ66">
            <v>0.16991403492521551</v>
          </cell>
          <cell r="AR66">
            <v>0.16499615399619533</v>
          </cell>
          <cell r="AS66">
            <v>0.16005127099759023</v>
          </cell>
          <cell r="AT66">
            <v>0.15507916293125029</v>
          </cell>
          <cell r="AU66">
            <v>0.15007960433672321</v>
          </cell>
          <cell r="AV66">
            <v>0.14505236725717471</v>
          </cell>
          <cell r="AW66">
            <v>0.13588721088297009</v>
          </cell>
          <cell r="AX66">
            <v>0.12665048526795022</v>
          </cell>
          <cell r="AY66">
            <v>0.1173413488170357</v>
          </cell>
          <cell r="AZ66">
            <v>0.10795894668793889</v>
          </cell>
          <cell r="BA66">
            <v>9.8502410529485634E-2</v>
          </cell>
        </row>
        <row r="67">
          <cell r="A67">
            <v>4</v>
          </cell>
          <cell r="B67" t="str">
            <v>Chemical and Petrochemical Industry</v>
          </cell>
          <cell r="C67">
            <v>1.2652423442979688</v>
          </cell>
          <cell r="D67">
            <v>1.2299868635308848</v>
          </cell>
          <cell r="E67">
            <v>1.1240755843609906</v>
          </cell>
          <cell r="F67">
            <v>1.1241480027953119</v>
          </cell>
        </row>
        <row r="68">
          <cell r="A68">
            <v>5</v>
          </cell>
          <cell r="B68" t="str">
            <v>Aluminium</v>
          </cell>
          <cell r="C68">
            <v>1.3449712876232169</v>
          </cell>
          <cell r="D68">
            <v>1.6224552861776789</v>
          </cell>
          <cell r="E68">
            <v>1.6783389954464776</v>
          </cell>
          <cell r="F68">
            <v>2.0666231386437715</v>
          </cell>
          <cell r="G68">
            <v>2.0639175553134463</v>
          </cell>
          <cell r="H68">
            <v>2.0421885064691434</v>
          </cell>
          <cell r="I68">
            <v>2.0213995412039805</v>
          </cell>
          <cell r="J68">
            <v>2.0014909437518695</v>
          </cell>
          <cell r="K68">
            <v>1.9824079511442154</v>
          </cell>
          <cell r="L68">
            <v>1.9641002501621896</v>
          </cell>
          <cell r="M68">
            <v>1.9465215343808209</v>
          </cell>
          <cell r="N68">
            <v>1.9296291130937042</v>
          </cell>
          <cell r="O68">
            <v>1.9133835651648707</v>
          </cell>
          <cell r="P68">
            <v>1.8977484318994524</v>
          </cell>
          <cell r="Q68">
            <v>1.8826899438964055</v>
          </cell>
          <cell r="R68">
            <v>1.8681767775761511</v>
          </cell>
          <cell r="S68">
            <v>1.8246934126251675</v>
          </cell>
          <cell r="T68">
            <v>1.7825543155186498</v>
          </cell>
          <cell r="U68">
            <v>1.7416980990199988</v>
          </cell>
          <cell r="V68">
            <v>1.7020670575899552</v>
          </cell>
          <cell r="W68">
            <v>1.6636068954518357</v>
          </cell>
          <cell r="X68">
            <v>1.6281558748621801</v>
          </cell>
          <cell r="Y68">
            <v>1.5933985689702193</v>
          </cell>
          <cell r="Z68">
            <v>1.5593148128900924</v>
          </cell>
          <cell r="AA68">
            <v>1.5258852157727429</v>
          </cell>
          <cell r="AB68">
            <v>1.4930911240193143</v>
          </cell>
          <cell r="AC68">
            <v>1.4603480713739694</v>
          </cell>
          <cell r="AD68">
            <v>1.4275295023319299</v>
          </cell>
          <cell r="AE68">
            <v>1.3946351553425995</v>
          </cell>
          <cell r="AF68">
            <v>1.3616647676461475</v>
          </cell>
          <cell r="AG68">
            <v>1.3286180752665129</v>
          </cell>
          <cell r="AH68">
            <v>1.293087483813681</v>
          </cell>
          <cell r="AI68">
            <v>1.2575758048775429</v>
          </cell>
          <cell r="AJ68">
            <v>1.2220830233617506</v>
          </cell>
          <cell r="AK68">
            <v>1.1866091241860186</v>
          </cell>
          <cell r="AL68">
            <v>1.151154092286103</v>
          </cell>
          <cell r="AM68">
            <v>1.1172958775548514</v>
          </cell>
          <cell r="AN68">
            <v>1.0831774208889804</v>
          </cell>
          <cell r="AO68">
            <v>1.0487957102950607</v>
          </cell>
          <cell r="AP68">
            <v>1.0141476871192885</v>
          </cell>
          <cell r="AQ68">
            <v>0.97923024514042178</v>
          </cell>
          <cell r="AR68">
            <v>0.94566501280225879</v>
          </cell>
          <cell r="AS68">
            <v>0.91185422503277147</v>
          </cell>
          <cell r="AT68">
            <v>0.87779517729947887</v>
          </cell>
          <cell r="AU68">
            <v>0.84348512520680941</v>
          </cell>
          <cell r="AV68">
            <v>0.80892128375893979</v>
          </cell>
          <cell r="AW68">
            <v>0.79674590505746612</v>
          </cell>
          <cell r="AX68">
            <v>0.78446986388223505</v>
          </cell>
          <cell r="AY68">
            <v>0.77209190667935501</v>
          </cell>
          <cell r="AZ68">
            <v>0.75961075899409769</v>
          </cell>
          <cell r="BA68">
            <v>0.74702512503346852</v>
          </cell>
        </row>
        <row r="69">
          <cell r="A69">
            <v>6</v>
          </cell>
          <cell r="B69" t="str">
            <v>Pulp &amp; Paper</v>
          </cell>
          <cell r="C69">
            <v>0.60995015087018667</v>
          </cell>
          <cell r="D69">
            <v>0.58881306597537042</v>
          </cell>
          <cell r="E69">
            <v>0.58881306597537042</v>
          </cell>
          <cell r="F69">
            <v>0.55710743863314616</v>
          </cell>
          <cell r="G69">
            <v>0.48576995354286878</v>
          </cell>
          <cell r="H69">
            <v>0.46748476813409401</v>
          </cell>
          <cell r="I69">
            <v>0.44953594412571185</v>
          </cell>
          <cell r="J69">
            <v>0.43191428490359202</v>
          </cell>
          <cell r="K69">
            <v>0.41461092609088163</v>
          </cell>
          <cell r="L69">
            <v>0.39761732067926975</v>
          </cell>
          <cell r="M69">
            <v>0.38092522495167924</v>
          </cell>
          <cell r="N69">
            <v>0.36452668514767106</v>
          </cell>
          <cell r="O69">
            <v>0.34841402482624384</v>
          </cell>
          <cell r="P69">
            <v>0.33257983288384391</v>
          </cell>
          <cell r="Q69">
            <v>0.31701695218829212</v>
          </cell>
          <cell r="R69">
            <v>0.30171846879200404</v>
          </cell>
          <cell r="S69">
            <v>0.29440725110500765</v>
          </cell>
          <cell r="T69">
            <v>0.28721961965437559</v>
          </cell>
          <cell r="U69">
            <v>0.28015246711566022</v>
          </cell>
          <cell r="V69">
            <v>0.27320278946842491</v>
          </cell>
          <cell r="W69">
            <v>0.26636768173866116</v>
          </cell>
          <cell r="X69">
            <v>0.25454545884128588</v>
          </cell>
          <cell r="Y69">
            <v>0.24284549705678779</v>
          </cell>
          <cell r="Z69">
            <v>0.23126590957184695</v>
          </cell>
          <cell r="AA69">
            <v>0.21980484819915613</v>
          </cell>
          <cell r="AB69">
            <v>0.20846050239403541</v>
          </cell>
          <cell r="AC69">
            <v>0.19545502903304618</v>
          </cell>
          <cell r="AD69">
            <v>0.1825693708484844</v>
          </cell>
          <cell r="AE69">
            <v>0.16980187970511104</v>
          </cell>
          <cell r="AF69">
            <v>0.15715093755793827</v>
          </cell>
          <cell r="AG69">
            <v>0.14461495576864666</v>
          </cell>
          <cell r="AH69">
            <v>0.12758648989772362</v>
          </cell>
          <cell r="AI69">
            <v>0.11066563879675478</v>
          </cell>
          <cell r="AJ69">
            <v>9.3851385539725191E-2</v>
          </cell>
          <cell r="AK69">
            <v>7.7142725973232434E-2</v>
          </cell>
          <cell r="AL69">
            <v>6.0538668516583925E-2</v>
          </cell>
          <cell r="AM69">
            <v>5.9903636005405214E-2</v>
          </cell>
          <cell r="AN69">
            <v>5.927209580849116E-2</v>
          </cell>
          <cell r="AO69">
            <v>5.8644019196254407E-2</v>
          </cell>
          <cell r="AP69">
            <v>5.8019377753371792E-2</v>
          </cell>
          <cell r="AQ69">
            <v>5.7398143374499014E-2</v>
          </cell>
          <cell r="AR69">
            <v>5.6691277262537983E-2</v>
          </cell>
          <cell r="AS69">
            <v>5.5988026215906331E-2</v>
          </cell>
          <cell r="AT69">
            <v>5.5288362573005304E-2</v>
          </cell>
          <cell r="AU69">
            <v>5.4592258953731258E-2</v>
          </cell>
          <cell r="AV69">
            <v>5.389968825590398E-2</v>
          </cell>
          <cell r="AW69">
            <v>5.2020189165816341E-2</v>
          </cell>
          <cell r="AX69">
            <v>5.0149238381112141E-2</v>
          </cell>
          <cell r="AY69">
            <v>4.8286777715230017E-2</v>
          </cell>
          <cell r="AZ69">
            <v>4.643274950849844E-2</v>
          </cell>
          <cell r="BA69">
            <v>4.4587096622185358E-2</v>
          </cell>
        </row>
        <row r="70">
          <cell r="A70">
            <v>7</v>
          </cell>
          <cell r="B70" t="str">
            <v>Manufacture of light-road automotor vehicles</v>
          </cell>
          <cell r="C70">
            <v>0.92433466408589537</v>
          </cell>
          <cell r="D70">
            <v>0.95544894189865026</v>
          </cell>
          <cell r="E70">
            <v>0.85436354913720647</v>
          </cell>
          <cell r="F70">
            <v>0.95157766223706075</v>
          </cell>
        </row>
        <row r="71">
          <cell r="A71">
            <v>8</v>
          </cell>
          <cell r="B71" t="str">
            <v>Other Industry</v>
          </cell>
        </row>
        <row r="72">
          <cell r="A72">
            <v>9</v>
          </cell>
          <cell r="B72" t="str">
            <v>Passenger transport - Air</v>
          </cell>
          <cell r="C72">
            <v>186.19806192488642</v>
          </cell>
          <cell r="D72">
            <v>181.28374409254781</v>
          </cell>
          <cell r="E72">
            <v>176.00129418028484</v>
          </cell>
          <cell r="F72">
            <v>171.27104238790841</v>
          </cell>
          <cell r="G72">
            <v>155.71021172031166</v>
          </cell>
          <cell r="H72">
            <v>149.77963237558387</v>
          </cell>
          <cell r="I72">
            <v>144.20778281990403</v>
          </cell>
          <cell r="J72">
            <v>138.96307019664908</v>
          </cell>
          <cell r="K72">
            <v>134.01750563766296</v>
          </cell>
          <cell r="L72">
            <v>129.34620460211408</v>
          </cell>
          <cell r="M72">
            <v>124.92696810086098</v>
          </cell>
          <cell r="N72">
            <v>120.73992993154474</v>
          </cell>
          <cell r="O72">
            <v>116.76725809583814</v>
          </cell>
          <cell r="P72">
            <v>112.99290093219822</v>
          </cell>
          <cell r="Q72">
            <v>109.40237034172713</v>
          </cell>
          <cell r="R72">
            <v>105.9825559344103</v>
          </cell>
          <cell r="S72">
            <v>102.6973394584499</v>
          </cell>
          <cell r="T72">
            <v>99.460062544448519</v>
          </cell>
          <cell r="U72">
            <v>96.269683455213482</v>
          </cell>
          <cell r="V72">
            <v>93.125190419400823</v>
          </cell>
          <cell r="W72">
            <v>90.025600561738798</v>
          </cell>
          <cell r="X72">
            <v>85.282185906321033</v>
          </cell>
          <cell r="Y72">
            <v>80.828274483836722</v>
          </cell>
          <cell r="Z72">
            <v>76.638147409979211</v>
          </cell>
          <cell r="AA72">
            <v>72.689044601010167</v>
          </cell>
          <cell r="AB72">
            <v>68.960751179221887</v>
          </cell>
          <cell r="AC72">
            <v>65.266600183096443</v>
          </cell>
          <cell r="AD72">
            <v>61.790104572252858</v>
          </cell>
          <cell r="AE72">
            <v>58.512578783102967</v>
          </cell>
          <cell r="AF72">
            <v>55.417416605250224</v>
          </cell>
          <cell r="AG72">
            <v>52.489809769147818</v>
          </cell>
          <cell r="AH72">
            <v>49.454153517600865</v>
          </cell>
          <cell r="AI72">
            <v>46.570071041086422</v>
          </cell>
          <cell r="AJ72">
            <v>43.826486477897816</v>
          </cell>
          <cell r="AK72">
            <v>41.213377426641344</v>
          </cell>
          <cell r="AL72">
            <v>38.72165260779861</v>
          </cell>
          <cell r="AM72">
            <v>36.949108682424324</v>
          </cell>
          <cell r="AN72">
            <v>35.224905735367962</v>
          </cell>
          <cell r="AO72">
            <v>33.547092830382361</v>
          </cell>
          <cell r="AP72">
            <v>31.913822618401124</v>
          </cell>
          <cell r="AQ72">
            <v>30.323344552504288</v>
          </cell>
          <cell r="AR72">
            <v>28.961421548558377</v>
          </cell>
          <cell r="AS72">
            <v>27.622200969411828</v>
          </cell>
          <cell r="AT72">
            <v>26.30511985383778</v>
          </cell>
          <cell r="AU72">
            <v>25.009633701320329</v>
          </cell>
          <cell r="AV72">
            <v>23.735215721499536</v>
          </cell>
          <cell r="AW72">
            <v>22.585545692835971</v>
          </cell>
          <cell r="AX72">
            <v>21.482890944302241</v>
          </cell>
          <cell r="AY72">
            <v>20.424425258747341</v>
          </cell>
          <cell r="AZ72">
            <v>19.407544491423252</v>
          </cell>
          <cell r="BA72">
            <v>18.429845178293853</v>
          </cell>
        </row>
        <row r="73">
          <cell r="A73">
            <v>10</v>
          </cell>
          <cell r="B73" t="str">
            <v>Passenger transport - Light Road</v>
          </cell>
          <cell r="C73">
            <v>146.3812565106918</v>
          </cell>
          <cell r="D73">
            <v>143.11691378435967</v>
          </cell>
          <cell r="E73">
            <v>139.67345895745174</v>
          </cell>
          <cell r="F73">
            <v>136.49867228140752</v>
          </cell>
          <cell r="G73">
            <v>127.12242715960423</v>
          </cell>
          <cell r="H73">
            <v>123.17654729881751</v>
          </cell>
          <cell r="I73">
            <v>119.36081785257988</v>
          </cell>
          <cell r="J73">
            <v>115.66890399659644</v>
          </cell>
          <cell r="K73">
            <v>112.09487545705517</v>
          </cell>
          <cell r="L73">
            <v>108.63317472417926</v>
          </cell>
          <cell r="M73">
            <v>105.27858821645117</v>
          </cell>
          <cell r="N73">
            <v>102.02622008082109</v>
          </cell>
          <cell r="O73">
            <v>98.871468351992974</v>
          </cell>
          <cell r="P73">
            <v>95.81000322663391</v>
          </cell>
          <cell r="Q73">
            <v>92.837747236810188</v>
          </cell>
          <cell r="R73">
            <v>89.950857131734168</v>
          </cell>
          <cell r="S73">
            <v>86.401532322323106</v>
          </cell>
          <cell r="T73">
            <v>82.901722833065804</v>
          </cell>
          <cell r="U73">
            <v>79.450399686476104</v>
          </cell>
          <cell r="V73">
            <v>76.046562219829127</v>
          </cell>
          <cell r="W73">
            <v>72.689237117880609</v>
          </cell>
          <cell r="X73">
            <v>69.14392606735332</v>
          </cell>
          <cell r="Y73">
            <v>65.611480814615931</v>
          </cell>
          <cell r="Z73">
            <v>62.091831452284147</v>
          </cell>
          <cell r="AA73">
            <v>58.5849085785215</v>
          </cell>
          <cell r="AB73">
            <v>55.090643292477608</v>
          </cell>
          <cell r="AC73">
            <v>51.758771674588587</v>
          </cell>
          <cell r="AD73">
            <v>48.457518192740672</v>
          </cell>
          <cell r="AE73">
            <v>45.186462730569083</v>
          </cell>
          <cell r="AF73">
            <v>41.945192822694473</v>
          </cell>
          <cell r="AG73">
            <v>38.733303481341537</v>
          </cell>
          <cell r="AH73">
            <v>36.121645589127972</v>
          </cell>
          <cell r="AI73">
            <v>33.565040719279999</v>
          </cell>
          <cell r="AJ73">
            <v>31.061766274126345</v>
          </cell>
          <cell r="AK73">
            <v>28.610170780471641</v>
          </cell>
          <cell r="AL73">
            <v>26.208670256270281</v>
          </cell>
          <cell r="AM73">
            <v>24.019931845224647</v>
          </cell>
          <cell r="AN73">
            <v>21.884898025656785</v>
          </cell>
          <cell r="AO73">
            <v>19.801616146878356</v>
          </cell>
          <cell r="AP73">
            <v>17.768227086827956</v>
          </cell>
          <cell r="AQ73">
            <v>15.782959718506708</v>
          </cell>
          <cell r="AR73">
            <v>14.341386673201495</v>
          </cell>
          <cell r="AS73">
            <v>12.933145436049156</v>
          </cell>
          <cell r="AT73">
            <v>11.55709318052403</v>
          </cell>
          <cell r="AU73">
            <v>10.21213873424535</v>
          </cell>
          <cell r="AV73">
            <v>8.897239693217319</v>
          </cell>
          <cell r="AW73">
            <v>8.1807385600463274</v>
          </cell>
          <cell r="AX73">
            <v>7.4773161840952991</v>
          </cell>
          <cell r="AY73">
            <v>6.786617701658197</v>
          </cell>
          <cell r="AZ73">
            <v>6.1083009719022892</v>
          </cell>
          <cell r="BA73">
            <v>5.4420360117444817</v>
          </cell>
        </row>
        <row r="74">
          <cell r="A74">
            <v>11</v>
          </cell>
          <cell r="B74" t="str">
            <v>Passenger transport - Heavy Road</v>
          </cell>
          <cell r="C74">
            <v>33.76330640166708</v>
          </cell>
          <cell r="D74">
            <v>32.769878287270323</v>
          </cell>
          <cell r="E74">
            <v>31.743603722661408</v>
          </cell>
          <cell r="F74">
            <v>30.766598833370729</v>
          </cell>
          <cell r="G74">
            <v>45.775685286973484</v>
          </cell>
          <cell r="H74">
            <v>44.571150609372047</v>
          </cell>
          <cell r="I74">
            <v>43.415720924077071</v>
          </cell>
          <cell r="J74">
            <v>42.306453437052973</v>
          </cell>
          <cell r="K74">
            <v>41.24063589240356</v>
          </cell>
          <cell r="L74">
            <v>40.215764430604409</v>
          </cell>
          <cell r="M74">
            <v>39.229523950536709</v>
          </cell>
          <cell r="N74">
            <v>38.279770651113324</v>
          </cell>
          <cell r="O74">
            <v>37.364516475394439</v>
          </cell>
          <cell r="P74">
            <v>36.481915219634395</v>
          </cell>
          <cell r="Q74">
            <v>35.630250103007704</v>
          </cell>
          <cell r="R74">
            <v>34.807922621906407</v>
          </cell>
          <cell r="S74">
            <v>33.735118655334439</v>
          </cell>
          <cell r="T74">
            <v>32.724558892376578</v>
          </cell>
          <cell r="U74">
            <v>31.770978930377787</v>
          </cell>
          <cell r="V74">
            <v>30.869691749316431</v>
          </cell>
          <cell r="W74">
            <v>30.016510667475824</v>
          </cell>
          <cell r="X74">
            <v>28.770790558398883</v>
          </cell>
          <cell r="Y74">
            <v>27.601635971080004</v>
          </cell>
          <cell r="Z74">
            <v>26.502198463908282</v>
          </cell>
          <cell r="AA74">
            <v>25.466422698506999</v>
          </cell>
          <cell r="AB74">
            <v>24.488934860699267</v>
          </cell>
          <cell r="AC74">
            <v>23.071647153238853</v>
          </cell>
          <cell r="AD74">
            <v>21.728088191580373</v>
          </cell>
          <cell r="AE74">
            <v>20.452650658548126</v>
          </cell>
          <cell r="AF74">
            <v>19.240281785458176</v>
          </cell>
          <cell r="AG74">
            <v>18.086416451997483</v>
          </cell>
          <cell r="AH74">
            <v>16.778881394838276</v>
          </cell>
          <cell r="AI74">
            <v>15.529636503707589</v>
          </cell>
          <cell r="AJ74">
            <v>14.334868887974174</v>
          </cell>
          <cell r="AK74">
            <v>13.191091107180297</v>
          </cell>
          <cell r="AL74">
            <v>12.095107172926227</v>
          </cell>
          <cell r="AM74">
            <v>11.168908583638204</v>
          </cell>
          <cell r="AN74">
            <v>10.278591405664368</v>
          </cell>
          <cell r="AO74">
            <v>9.4221101638008129</v>
          </cell>
          <cell r="AP74">
            <v>8.5975719575506702</v>
          </cell>
          <cell r="AQ74">
            <v>7.8032224956135483</v>
          </cell>
          <cell r="AR74">
            <v>7.0750080902462074</v>
          </cell>
          <cell r="AS74">
            <v>6.3721458255599561</v>
          </cell>
          <cell r="AT74">
            <v>5.693334434245684</v>
          </cell>
          <cell r="AU74">
            <v>5.0373602057258182</v>
          </cell>
          <cell r="AV74">
            <v>4.403089743831436</v>
          </cell>
          <cell r="AW74">
            <v>3.9825489017619149</v>
          </cell>
          <cell r="AX74">
            <v>3.5749737199089808</v>
          </cell>
          <cell r="AY74">
            <v>3.1797736864726867</v>
          </cell>
          <cell r="AZ74">
            <v>2.7963936126542936</v>
          </cell>
          <cell r="BA74">
            <v>2.4243110303998172</v>
          </cell>
        </row>
        <row r="75">
          <cell r="A75">
            <v>12</v>
          </cell>
          <cell r="B75" t="str">
            <v>Passenger transport - Rail</v>
          </cell>
          <cell r="C75">
            <v>21.023851773789737</v>
          </cell>
          <cell r="D75">
            <v>19.955440792245152</v>
          </cell>
          <cell r="E75">
            <v>18.801622680923415</v>
          </cell>
          <cell r="F75">
            <v>17.775915264267411</v>
          </cell>
          <cell r="G75">
            <v>19.019115533603248</v>
          </cell>
          <cell r="H75">
            <v>18.458642322841477</v>
          </cell>
          <cell r="I75">
            <v>17.933763325602452</v>
          </cell>
          <cell r="J75">
            <v>17.441192151426797</v>
          </cell>
          <cell r="K75">
            <v>16.978034903989045</v>
          </cell>
          <cell r="L75">
            <v>16.541733285319786</v>
          </cell>
          <cell r="M75">
            <v>16.130017318280633</v>
          </cell>
          <cell r="N75">
            <v>15.740865842310498</v>
          </cell>
          <cell r="O75">
            <v>15.3724733311374</v>
          </cell>
          <cell r="P75">
            <v>15.023221882779955</v>
          </cell>
          <cell r="Q75">
            <v>14.691657465053387</v>
          </cell>
          <cell r="R75">
            <v>14.376469680922238</v>
          </cell>
          <cell r="S75">
            <v>13.693538945081459</v>
          </cell>
          <cell r="T75">
            <v>13.065807113653154</v>
          </cell>
          <cell r="U75">
            <v>12.486841837035017</v>
          </cell>
          <cell r="V75">
            <v>11.951172815192967</v>
          </cell>
          <cell r="W75">
            <v>11.454118420148504</v>
          </cell>
          <cell r="X75">
            <v>10.667043127891752</v>
          </cell>
          <cell r="Y75">
            <v>9.9527176710559981</v>
          </cell>
          <cell r="Z75">
            <v>9.3015011415030457</v>
          </cell>
          <cell r="AA75">
            <v>8.7053840662732842</v>
          </cell>
          <cell r="AB75">
            <v>8.1576573245832016</v>
          </cell>
          <cell r="AC75">
            <v>7.3461137591606347</v>
          </cell>
          <cell r="AD75">
            <v>6.6061339967789552</v>
          </cell>
          <cell r="AE75">
            <v>5.9286517846720006</v>
          </cell>
          <cell r="AF75">
            <v>5.306070262245945</v>
          </cell>
          <cell r="AG75">
            <v>4.7319758675981616</v>
          </cell>
          <cell r="AH75">
            <v>4.0829278639315651</v>
          </cell>
          <cell r="AI75">
            <v>3.4910430850823904</v>
          </cell>
          <cell r="AJ75">
            <v>2.9490883002546191</v>
          </cell>
          <cell r="AK75">
            <v>2.4510012450188712</v>
          </cell>
          <cell r="AL75">
            <v>1.991662882928388</v>
          </cell>
          <cell r="AM75">
            <v>1.3898158269030596</v>
          </cell>
          <cell r="AN75">
            <v>0.83896152464546336</v>
          </cell>
          <cell r="AO75">
            <v>0.33288266168218944</v>
          </cell>
          <cell r="AP75">
            <v>-0.1336668183313526</v>
          </cell>
          <cell r="AQ75">
            <v>-0.565144245250778</v>
          </cell>
          <cell r="AR75">
            <v>-0.91667264343488475</v>
          </cell>
          <cell r="AS75">
            <v>-1.2402859511079265</v>
          </cell>
          <cell r="AT75">
            <v>-1.5391823170314145</v>
          </cell>
          <cell r="AU75">
            <v>-1.8160893239152338</v>
          </cell>
          <cell r="AV75">
            <v>-2.0733474649008543</v>
          </cell>
          <cell r="AW75">
            <v>-2.1212089606929032</v>
          </cell>
          <cell r="AX75">
            <v>-2.1664489426222708</v>
          </cell>
          <cell r="AY75">
            <v>-2.2092770513262563</v>
          </cell>
          <cell r="AZ75">
            <v>-2.2498811547372171</v>
          </cell>
          <cell r="BA75">
            <v>-2.2884301031171819</v>
          </cell>
        </row>
        <row r="76">
          <cell r="A76">
            <v>13</v>
          </cell>
          <cell r="B76" t="str">
            <v>Other transport</v>
          </cell>
          <cell r="C76">
            <v>1.0087377222364005</v>
          </cell>
          <cell r="D76">
            <v>1.0606674895529273</v>
          </cell>
          <cell r="E76">
            <v>1.0834155676919714</v>
          </cell>
          <cell r="F76">
            <v>1.1499361795972396</v>
          </cell>
        </row>
        <row r="77">
          <cell r="A77">
            <v>14</v>
          </cell>
          <cell r="B77" t="str">
            <v>Services / Commercial Buildings</v>
          </cell>
          <cell r="C77">
            <v>1</v>
          </cell>
          <cell r="D77">
            <v>1.0562022153008768</v>
          </cell>
          <cell r="E77">
            <v>0.99170371391432843</v>
          </cell>
          <cell r="F77">
            <v>1.1045618030805164</v>
          </cell>
          <cell r="G77">
            <v>1.052706194082335</v>
          </cell>
          <cell r="H77">
            <v>0.99919642552590293</v>
          </cell>
          <cell r="I77">
            <v>0.94739277115575871</v>
          </cell>
          <cell r="J77">
            <v>0.89721491435162282</v>
          </cell>
          <cell r="K77">
            <v>0.84858750189571774</v>
          </cell>
          <cell r="L77">
            <v>0.80143976639600867</v>
          </cell>
          <cell r="M77">
            <v>0.75570518266059383</v>
          </cell>
          <cell r="N77">
            <v>0.71132115451418843</v>
          </cell>
          <cell r="O77">
            <v>0.66822872895610852</v>
          </cell>
          <cell r="P77">
            <v>0.62637233491490385</v>
          </cell>
          <cell r="Q77">
            <v>0.5856995441652566</v>
          </cell>
          <cell r="R77">
            <v>0.54616085224428723</v>
          </cell>
          <cell r="S77">
            <v>0.50416886485021184</v>
          </cell>
          <cell r="T77">
            <v>0.46331599744802859</v>
          </cell>
          <cell r="U77">
            <v>0.42355651881664119</v>
          </cell>
          <cell r="V77">
            <v>0.38484711331625238</v>
          </cell>
          <cell r="W77">
            <v>0.34714672347446651</v>
          </cell>
          <cell r="X77">
            <v>0.33207500724345734</v>
          </cell>
          <cell r="Y77">
            <v>0.31735643782620876</v>
          </cell>
          <cell r="Z77">
            <v>0.30297874702657901</v>
          </cell>
          <cell r="AA77">
            <v>0.28893022840049715</v>
          </cell>
          <cell r="AB77">
            <v>0.27519970546707023</v>
          </cell>
          <cell r="AC77">
            <v>0.26040037506636304</v>
          </cell>
          <cell r="AD77">
            <v>0.24592862052833164</v>
          </cell>
          <cell r="AE77">
            <v>0.2317736848092142</v>
          </cell>
          <cell r="AF77">
            <v>0.21792527675666495</v>
          </cell>
          <cell r="AG77">
            <v>0.20437354615752171</v>
          </cell>
          <cell r="AH77">
            <v>0.19273741700029076</v>
          </cell>
          <cell r="AI77">
            <v>0.18134534272448258</v>
          </cell>
          <cell r="AJ77">
            <v>0.17018972484499661</v>
          </cell>
          <cell r="AK77">
            <v>0.15926327706842472</v>
          </cell>
          <cell r="AL77">
            <v>0.14855900942266195</v>
          </cell>
          <cell r="AM77">
            <v>0.13771337374116596</v>
          </cell>
          <cell r="AN77">
            <v>0.12708387988218312</v>
          </cell>
          <cell r="AO77">
            <v>0.11666413038284863</v>
          </cell>
          <cell r="AP77">
            <v>0.10644797778700464</v>
          </cell>
          <cell r="AQ77">
            <v>9.6429512550831514E-2</v>
          </cell>
          <cell r="AR77">
            <v>9.3406148049853421E-2</v>
          </cell>
          <cell r="AS77">
            <v>9.044017649404007E-2</v>
          </cell>
          <cell r="AT77">
            <v>8.7529979001830849E-2</v>
          </cell>
          <cell r="AU77">
            <v>8.4673997009546267E-2</v>
          </cell>
          <cell r="AV77">
            <v>8.1870729488084756E-2</v>
          </cell>
          <cell r="AW77">
            <v>7.9165022024234616E-2</v>
          </cell>
          <cell r="AX77">
            <v>7.6508350250071674E-2</v>
          </cell>
          <cell r="AY77">
            <v>7.3899393121401077E-2</v>
          </cell>
          <cell r="AZ77">
            <v>7.1336876624411308E-2</v>
          </cell>
          <cell r="BA77">
            <v>6.8819571701231333E-2</v>
          </cell>
        </row>
        <row r="97">
          <cell r="A97" t="str">
            <v>Code</v>
          </cell>
          <cell r="B97" t="str">
            <v>Sector</v>
          </cell>
          <cell r="C97">
            <v>2010</v>
          </cell>
          <cell r="D97">
            <v>2011</v>
          </cell>
          <cell r="E97">
            <v>2012</v>
          </cell>
          <cell r="F97">
            <v>2013</v>
          </cell>
          <cell r="G97">
            <v>2014</v>
          </cell>
          <cell r="H97">
            <v>2015</v>
          </cell>
          <cell r="I97">
            <v>2016</v>
          </cell>
          <cell r="J97">
            <v>2017</v>
          </cell>
          <cell r="K97">
            <v>2018</v>
          </cell>
          <cell r="L97">
            <v>2019</v>
          </cell>
          <cell r="M97">
            <v>2020</v>
          </cell>
          <cell r="N97">
            <v>2021</v>
          </cell>
          <cell r="O97">
            <v>2022</v>
          </cell>
          <cell r="P97">
            <v>2023</v>
          </cell>
          <cell r="Q97">
            <v>2024</v>
          </cell>
          <cell r="R97">
            <v>2025</v>
          </cell>
          <cell r="S97">
            <v>2026</v>
          </cell>
          <cell r="T97">
            <v>2027</v>
          </cell>
          <cell r="U97">
            <v>2028</v>
          </cell>
          <cell r="V97">
            <v>2029</v>
          </cell>
          <cell r="W97">
            <v>2030</v>
          </cell>
          <cell r="X97">
            <v>2031</v>
          </cell>
          <cell r="Y97">
            <v>2032</v>
          </cell>
          <cell r="Z97">
            <v>2033</v>
          </cell>
          <cell r="AA97">
            <v>2034</v>
          </cell>
          <cell r="AB97">
            <v>2035</v>
          </cell>
          <cell r="AC97">
            <v>2036</v>
          </cell>
          <cell r="AD97">
            <v>2037</v>
          </cell>
          <cell r="AE97">
            <v>2038</v>
          </cell>
          <cell r="AF97">
            <v>2039</v>
          </cell>
          <cell r="AG97">
            <v>2040</v>
          </cell>
          <cell r="AH97">
            <v>2041</v>
          </cell>
          <cell r="AI97">
            <v>2042</v>
          </cell>
          <cell r="AJ97">
            <v>2043</v>
          </cell>
          <cell r="AK97">
            <v>2044</v>
          </cell>
          <cell r="AL97">
            <v>2045</v>
          </cell>
          <cell r="AM97">
            <v>2046</v>
          </cell>
          <cell r="AN97">
            <v>2047</v>
          </cell>
          <cell r="AO97">
            <v>2048</v>
          </cell>
          <cell r="AP97">
            <v>2049</v>
          </cell>
          <cell r="AQ97">
            <v>2050</v>
          </cell>
        </row>
        <row r="98">
          <cell r="A98">
            <v>1</v>
          </cell>
          <cell r="B98" t="str">
            <v>Power Generation</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row>
        <row r="99">
          <cell r="A99">
            <v>2</v>
          </cell>
          <cell r="B99" t="str">
            <v>Iron &amp; Steel Industry</v>
          </cell>
          <cell r="C99">
            <v>611.12240632968519</v>
          </cell>
          <cell r="D99">
            <v>646.97080247723295</v>
          </cell>
          <cell r="E99">
            <v>621.14980636196685</v>
          </cell>
          <cell r="F99">
            <v>687.25550502470401</v>
          </cell>
          <cell r="G99">
            <v>680.53413977875607</v>
          </cell>
          <cell r="H99">
            <v>651.63559682890912</v>
          </cell>
          <cell r="I99">
            <v>623.60925568478274</v>
          </cell>
          <cell r="J99">
            <v>596.41185493155001</v>
          </cell>
          <cell r="K99">
            <v>570.00294765620833</v>
          </cell>
          <cell r="L99">
            <v>544.34467622827867</v>
          </cell>
          <cell r="M99">
            <v>519.40156836657047</v>
          </cell>
          <cell r="N99">
            <v>495.14035218131011</v>
          </cell>
          <cell r="O99">
            <v>471.52978816322366</v>
          </cell>
          <cell r="P99">
            <v>448.54051633523966</v>
          </cell>
          <cell r="Q99">
            <v>426.14491699401492</v>
          </cell>
          <cell r="R99">
            <v>404.31698365220564</v>
          </cell>
          <cell r="S99">
            <v>380.92224531149623</v>
          </cell>
          <cell r="T99">
            <v>358.02546435872921</v>
          </cell>
          <cell r="U99">
            <v>335.60085862125783</v>
          </cell>
          <cell r="V99">
            <v>313.62439558860621</v>
          </cell>
          <cell r="W99">
            <v>292.07364646635045</v>
          </cell>
          <cell r="X99">
            <v>269.60283793398463</v>
          </cell>
          <cell r="Y99">
            <v>247.7052587160849</v>
          </cell>
          <cell r="Z99">
            <v>226.35074961014675</v>
          </cell>
          <cell r="AA99">
            <v>205.51123062955099</v>
          </cell>
          <cell r="AB99">
            <v>185.16052485954884</v>
          </cell>
          <cell r="AC99">
            <v>167.6998040308045</v>
          </cell>
          <cell r="AD99">
            <v>150.49770556449866</v>
          </cell>
          <cell r="AE99">
            <v>133.54037675371222</v>
          </cell>
          <cell r="AF99">
            <v>116.81493686913325</v>
          </cell>
          <cell r="AG99">
            <v>100.30939337992766</v>
          </cell>
          <cell r="AH99">
            <v>85.423996839731061</v>
          </cell>
          <cell r="AI99">
            <v>70.900345799149704</v>
          </cell>
          <cell r="AJ99">
            <v>56.719197887444132</v>
          </cell>
          <cell r="AK99">
            <v>42.862651705954548</v>
          </cell>
          <cell r="AL99">
            <v>29.31403201545432</v>
          </cell>
          <cell r="AM99">
            <v>20.680134799939704</v>
          </cell>
          <cell r="AN99">
            <v>12.243638053708409</v>
          </cell>
          <cell r="AO99">
            <v>3.9939132267371069</v>
          </cell>
          <cell r="AP99">
            <v>-4.078918659254315</v>
          </cell>
          <cell r="AQ99">
            <v>-11.984051944784955</v>
          </cell>
          <cell r="AR99">
            <v>-17.376605130771097</v>
          </cell>
          <cell r="AS99">
            <v>-22.637609766009593</v>
          </cell>
          <cell r="AT99">
            <v>-27.774270036681482</v>
          </cell>
          <cell r="AU99">
            <v>-32.793273515112915</v>
          </cell>
          <cell r="AV99">
            <v>-37.70083665232827</v>
          </cell>
          <cell r="AW99">
            <v>-40.792218061069626</v>
          </cell>
          <cell r="AX99">
            <v>-43.827337582003594</v>
          </cell>
          <cell r="AY99">
            <v>-46.809170136255553</v>
          </cell>
          <cell r="AZ99">
            <v>-49.74048454048922</v>
          </cell>
          <cell r="BA99">
            <v>-52.623861051838816</v>
          </cell>
        </row>
        <row r="100">
          <cell r="A100">
            <v>3</v>
          </cell>
          <cell r="B100" t="str">
            <v>Cement</v>
          </cell>
          <cell r="C100">
            <v>212.13148792018703</v>
          </cell>
          <cell r="D100">
            <v>211.41352625153041</v>
          </cell>
          <cell r="E100">
            <v>217.67975540257288</v>
          </cell>
          <cell r="F100">
            <v>213.45045813783059</v>
          </cell>
          <cell r="G100">
            <v>202.62012804058128</v>
          </cell>
          <cell r="H100">
            <v>196.74818174473069</v>
          </cell>
          <cell r="I100">
            <v>190.88705019874646</v>
          </cell>
          <cell r="J100">
            <v>185.0361969884901</v>
          </cell>
          <cell r="K100">
            <v>179.19512059786277</v>
          </cell>
          <cell r="L100">
            <v>173.36335161622864</v>
          </cell>
          <cell r="M100">
            <v>167.54045020977208</v>
          </cell>
          <cell r="N100">
            <v>161.72600382813704</v>
          </cell>
          <cell r="O100">
            <v>155.91962512119815</v>
          </cell>
          <cell r="P100">
            <v>150.1209500438388</v>
          </cell>
          <cell r="Q100">
            <v>144.32963612923419</v>
          </cell>
          <cell r="R100">
            <v>138.545360913416</v>
          </cell>
          <cell r="S100">
            <v>130.78851201937653</v>
          </cell>
          <cell r="T100">
            <v>123.16699209175091</v>
          </cell>
          <cell r="U100">
            <v>115.6737943567456</v>
          </cell>
          <cell r="V100">
            <v>108.30238754304739</v>
          </cell>
          <cell r="W100">
            <v>101.04667621831454</v>
          </cell>
          <cell r="X100">
            <v>93.621762569370418</v>
          </cell>
          <cell r="Y100">
            <v>86.334521774025106</v>
          </cell>
          <cell r="Z100">
            <v>79.177710477191397</v>
          </cell>
          <cell r="AA100">
            <v>72.144584690400237</v>
          </cell>
          <cell r="AB100">
            <v>65.228857487179255</v>
          </cell>
          <cell r="AC100">
            <v>59.819605020937722</v>
          </cell>
          <cell r="AD100">
            <v>54.333708776246333</v>
          </cell>
          <cell r="AE100">
            <v>48.775274058578361</v>
          </cell>
          <cell r="AF100">
            <v>43.148118123929549</v>
          </cell>
          <cell r="AG100">
            <v>37.455795007100463</v>
          </cell>
          <cell r="AH100">
            <v>31.939012217111017</v>
          </cell>
          <cell r="AI100">
            <v>26.542760097852266</v>
          </cell>
          <cell r="AJ100">
            <v>21.260627247235881</v>
          </cell>
          <cell r="AK100">
            <v>16.086649064210086</v>
          </cell>
          <cell r="AL100">
            <v>11.015269494115671</v>
          </cell>
          <cell r="AM100">
            <v>7.8862793495753518</v>
          </cell>
          <cell r="AN100">
            <v>4.7363675642285719</v>
          </cell>
          <cell r="AO100">
            <v>1.5666606131373721</v>
          </cell>
          <cell r="AP100">
            <v>-1.6217944725748603</v>
          </cell>
          <cell r="AQ100">
            <v>-4.8280232236452543</v>
          </cell>
          <cell r="AR100">
            <v>-7.0596216932966707</v>
          </cell>
          <cell r="AS100">
            <v>-9.2730378852377608</v>
          </cell>
          <cell r="AT100">
            <v>-11.469267542204388</v>
          </cell>
          <cell r="AU100">
            <v>-13.64923500199086</v>
          </cell>
          <cell r="AV100">
            <v>-15.813799485305083</v>
          </cell>
          <cell r="AW100">
            <v>-17.236573886980164</v>
          </cell>
          <cell r="AX100">
            <v>-18.65236223391182</v>
          </cell>
          <cell r="AY100">
            <v>-20.061533922909312</v>
          </cell>
          <cell r="AZ100">
            <v>-21.464432758731796</v>
          </cell>
          <cell r="BA100">
            <v>-22.861379132647581</v>
          </cell>
        </row>
        <row r="101">
          <cell r="A101">
            <v>4</v>
          </cell>
          <cell r="B101" t="str">
            <v>Chemical and Petrochemical Industry</v>
          </cell>
          <cell r="C101">
            <v>684.19170293160641</v>
          </cell>
          <cell r="D101">
            <v>686.58904765929549</v>
          </cell>
          <cell r="E101">
            <v>635.10248053493365</v>
          </cell>
          <cell r="F101">
            <v>664.48262968274696</v>
          </cell>
          <cell r="G101">
            <v>670.65978409997444</v>
          </cell>
          <cell r="H101">
            <v>677.6208574878541</v>
          </cell>
          <cell r="I101">
            <v>682.21329339281203</v>
          </cell>
          <cell r="J101">
            <v>684.55457679143444</v>
          </cell>
          <cell r="K101">
            <v>684.75454932080322</v>
          </cell>
          <cell r="L101">
            <v>682.91602090630442</v>
          </cell>
          <cell r="M101">
            <v>679.13532358288876</v>
          </cell>
          <cell r="N101">
            <v>673.5028137849589</v>
          </cell>
          <cell r="O101">
            <v>666.10332861343625</v>
          </cell>
          <cell r="P101">
            <v>657.01660092570762</v>
          </cell>
          <cell r="Q101">
            <v>646.31763751971482</v>
          </cell>
          <cell r="R101">
            <v>634.07706418448743</v>
          </cell>
          <cell r="S101">
            <v>599.04683396003441</v>
          </cell>
          <cell r="T101">
            <v>564.57202499713412</v>
          </cell>
          <cell r="U101">
            <v>530.62387988159082</v>
          </cell>
          <cell r="V101">
            <v>497.17559277095688</v>
          </cell>
          <cell r="W101">
            <v>464.20214660635185</v>
          </cell>
          <cell r="X101">
            <v>423.33361946218878</v>
          </cell>
          <cell r="Y101">
            <v>384.27148504069197</v>
          </cell>
          <cell r="Z101">
            <v>346.92070395264852</v>
          </cell>
          <cell r="AA101">
            <v>311.19278895185289</v>
          </cell>
          <cell r="AB101">
            <v>277.00524986009799</v>
          </cell>
          <cell r="AC101">
            <v>242.87937007057207</v>
          </cell>
          <cell r="AD101">
            <v>210.95032959366588</v>
          </cell>
          <cell r="AE101">
            <v>181.10045812871775</v>
          </cell>
          <cell r="AF101">
            <v>153.22034173232092</v>
          </cell>
          <cell r="AG101">
            <v>127.20811116569064</v>
          </cell>
          <cell r="AH101">
            <v>106.98226794182935</v>
          </cell>
          <cell r="AI101">
            <v>87.688355830919207</v>
          </cell>
          <cell r="AJ101">
            <v>69.276802512093369</v>
          </cell>
          <cell r="AK101">
            <v>51.701490285493428</v>
          </cell>
          <cell r="AL101">
            <v>34.919460291181274</v>
          </cell>
          <cell r="AM101">
            <v>24.431538602050811</v>
          </cell>
          <cell r="AN101">
            <v>14.346165555449069</v>
          </cell>
          <cell r="AO101">
            <v>4.6416668949800215</v>
          </cell>
          <cell r="AP101">
            <v>-4.7021030725791757</v>
          </cell>
          <cell r="AQ101">
            <v>-13.703893893814445</v>
          </cell>
          <cell r="AR101">
            <v>-20.064921592441586</v>
          </cell>
          <cell r="AS101">
            <v>-26.390154436926679</v>
          </cell>
          <cell r="AT101">
            <v>-32.681552713354961</v>
          </cell>
          <cell r="AU101">
            <v>-38.940936135243739</v>
          </cell>
          <cell r="AV101">
            <v>-45.16999622223679</v>
          </cell>
          <cell r="AW101">
            <v>-51.328206766168265</v>
          </cell>
          <cell r="AX101">
            <v>-57.742417823241418</v>
          </cell>
          <cell r="AY101">
            <v>-64.399093030487833</v>
          </cell>
          <cell r="AZ101">
            <v>-71.285633832929463</v>
          </cell>
          <cell r="BA101">
            <v>-78.390299651354724</v>
          </cell>
        </row>
        <row r="102">
          <cell r="A102">
            <v>5</v>
          </cell>
          <cell r="B102" t="str">
            <v>Aluminium</v>
          </cell>
          <cell r="C102">
            <v>335.64117922862425</v>
          </cell>
          <cell r="D102">
            <v>399.67564701752053</v>
          </cell>
          <cell r="E102">
            <v>433.70400638770781</v>
          </cell>
          <cell r="F102">
            <v>511.56187243924825</v>
          </cell>
          <cell r="G102">
            <v>530.22676118791719</v>
          </cell>
          <cell r="H102">
            <v>509.36450888540151</v>
          </cell>
          <cell r="I102">
            <v>489.03119839646246</v>
          </cell>
          <cell r="J102">
            <v>469.20059408266599</v>
          </cell>
          <cell r="K102">
            <v>449.84816714416689</v>
          </cell>
          <cell r="L102">
            <v>430.95095903674746</v>
          </cell>
          <cell r="M102">
            <v>412.48745779766972</v>
          </cell>
          <cell r="N102">
            <v>394.43748587902866</v>
          </cell>
          <cell r="O102">
            <v>376.7820982584883</v>
          </cell>
          <cell r="P102">
            <v>359.50348974530408</v>
          </cell>
          <cell r="Q102">
            <v>342.58491052781437</v>
          </cell>
          <cell r="R102">
            <v>326.01058912000536</v>
          </cell>
          <cell r="S102">
            <v>304.55597679530564</v>
          </cell>
          <cell r="T102">
            <v>283.85506417435823</v>
          </cell>
          <cell r="U102">
            <v>263.86882780584693</v>
          </cell>
          <cell r="V102">
            <v>244.56089249690456</v>
          </cell>
          <cell r="W102">
            <v>225.8973104115874</v>
          </cell>
          <cell r="X102">
            <v>206.24809406538765</v>
          </cell>
          <cell r="Y102">
            <v>187.43644519259533</v>
          </cell>
          <cell r="Z102">
            <v>169.41829701852831</v>
          </cell>
          <cell r="AA102">
            <v>152.15262079107563</v>
          </cell>
          <cell r="AB102">
            <v>135.6011684098797</v>
          </cell>
          <cell r="AC102">
            <v>118.96280508947878</v>
          </cell>
          <cell r="AD102">
            <v>103.38467134747174</v>
          </cell>
          <cell r="AE102">
            <v>88.809977625995373</v>
          </cell>
          <cell r="AF102">
            <v>75.185919016460275</v>
          </cell>
          <cell r="AG102">
            <v>62.463331804675967</v>
          </cell>
          <cell r="AH102">
            <v>51.962074157682238</v>
          </cell>
          <cell r="AI102">
            <v>42.118285846808135</v>
          </cell>
          <cell r="AJ102">
            <v>32.896994028635014</v>
          </cell>
          <cell r="AK102">
            <v>24.265663064972554</v>
          </cell>
          <cell r="AL102">
            <v>16.19398585186055</v>
          </cell>
          <cell r="AM102">
            <v>11.144804718733127</v>
          </cell>
          <cell r="AN102">
            <v>6.435140637325139</v>
          </cell>
          <cell r="AO102">
            <v>2.046713134540064</v>
          </cell>
          <cell r="AP102">
            <v>-2.0374690439582199</v>
          </cell>
          <cell r="AQ102">
            <v>-5.8332196163279386</v>
          </cell>
          <cell r="AR102">
            <v>-8.300051629042537</v>
          </cell>
          <cell r="AS102">
            <v>-10.609781270518392</v>
          </cell>
          <cell r="AT102">
            <v>-12.771012168278995</v>
          </cell>
          <cell r="AU102">
            <v>-14.79173098173105</v>
          </cell>
          <cell r="AV102">
            <v>-16.679361731824034</v>
          </cell>
          <cell r="AW102">
            <v>-17.707073281517459</v>
          </cell>
          <cell r="AX102">
            <v>-18.665098189327683</v>
          </cell>
          <cell r="AY102">
            <v>-19.557121227863181</v>
          </cell>
          <cell r="AZ102">
            <v>-20.386571886300477</v>
          </cell>
          <cell r="BA102">
            <v>-21.156646101745235</v>
          </cell>
        </row>
        <row r="103">
          <cell r="A103">
            <v>6</v>
          </cell>
          <cell r="B103" t="str">
            <v>Pulp &amp; Paper</v>
          </cell>
          <cell r="C103">
            <v>304.4660408027658</v>
          </cell>
          <cell r="D103">
            <v>298.55716723180456</v>
          </cell>
          <cell r="E103">
            <v>291.85973751725032</v>
          </cell>
          <cell r="F103">
            <v>286.4387238159207</v>
          </cell>
          <cell r="G103">
            <v>162.97085549375021</v>
          </cell>
          <cell r="H103">
            <v>156.77289415563746</v>
          </cell>
          <cell r="I103">
            <v>150.71799090060938</v>
          </cell>
          <cell r="J103">
            <v>144.79905001407781</v>
          </cell>
          <cell r="K103">
            <v>139.00943741456888</v>
          </cell>
          <cell r="L103">
            <v>133.34294371337117</v>
          </cell>
          <cell r="M103">
            <v>127.79375076551356</v>
          </cell>
          <cell r="N103">
            <v>122.35640133307204</v>
          </cell>
          <cell r="O103">
            <v>117.02577152810694</v>
          </cell>
          <cell r="P103">
            <v>111.79704574256554</v>
          </cell>
          <cell r="Q103">
            <v>106.66569380718001</v>
          </cell>
          <cell r="R103">
            <v>101.62745015152537</v>
          </cell>
          <cell r="S103">
            <v>95.44038991495448</v>
          </cell>
          <cell r="T103">
            <v>89.420178787157553</v>
          </cell>
          <cell r="U103">
            <v>83.558178011822235</v>
          </cell>
          <cell r="V103">
            <v>77.84633508676346</v>
          </cell>
          <cell r="W103">
            <v>72.277134862189072</v>
          </cell>
          <cell r="X103">
            <v>66.485263330088458</v>
          </cell>
          <cell r="Y103">
            <v>60.875400447645369</v>
          </cell>
          <cell r="Z103">
            <v>55.437970229152</v>
          </cell>
          <cell r="AA103">
            <v>50.164056870203439</v>
          </cell>
          <cell r="AB103">
            <v>45.045348819409348</v>
          </cell>
          <cell r="AC103">
            <v>40.367867996670896</v>
          </cell>
          <cell r="AD103">
            <v>35.850466042394984</v>
          </cell>
          <cell r="AE103">
            <v>31.484568579533025</v>
          </cell>
          <cell r="AF103">
            <v>27.262202853703762</v>
          </cell>
          <cell r="AG103">
            <v>23.175945876624844</v>
          </cell>
          <cell r="AH103">
            <v>19.59773150249282</v>
          </cell>
          <cell r="AI103">
            <v>16.151867622882914</v>
          </cell>
          <cell r="AJ103">
            <v>12.831314102435158</v>
          </cell>
          <cell r="AK103">
            <v>9.6295214223088799</v>
          </cell>
          <cell r="AL103">
            <v>6.5403886741022657</v>
          </cell>
          <cell r="AM103">
            <v>4.5725984599520331</v>
          </cell>
          <cell r="AN103">
            <v>2.6830169089848162</v>
          </cell>
          <cell r="AO103">
            <v>0.86743306520888452</v>
          </cell>
          <cell r="AP103">
            <v>-0.87806705236935478</v>
          </cell>
          <cell r="AQ103">
            <v>-2.5571261761276856</v>
          </cell>
          <cell r="AR103">
            <v>-3.7076681139554672</v>
          </cell>
          <cell r="AS103">
            <v>-4.8300774138160723</v>
          </cell>
          <cell r="AT103">
            <v>-5.9258947446148396</v>
          </cell>
          <cell r="AU103">
            <v>-6.9965502935340806</v>
          </cell>
          <cell r="AV103">
            <v>-8.0433734949546025</v>
          </cell>
          <cell r="AW103">
            <v>-8.6838329872576558</v>
          </cell>
          <cell r="AX103">
            <v>-9.309775209835502</v>
          </cell>
          <cell r="AY103">
            <v>-9.9219677823694497</v>
          </cell>
          <cell r="AZ103">
            <v>-10.52112514335229</v>
          </cell>
          <cell r="BA103">
            <v>-11.107913077211768</v>
          </cell>
        </row>
        <row r="104">
          <cell r="A104">
            <v>7</v>
          </cell>
          <cell r="B104" t="str">
            <v>Manufacture of light-road automotor vehicles</v>
          </cell>
          <cell r="C104">
            <v>2400.8386673765676</v>
          </cell>
          <cell r="D104">
            <v>2383.0305000772173</v>
          </cell>
          <cell r="E104">
            <v>2530.2055316970827</v>
          </cell>
          <cell r="F104">
            <v>2429.6565347210544</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row>
        <row r="105">
          <cell r="A105">
            <v>8</v>
          </cell>
          <cell r="B105" t="str">
            <v>Other Industry</v>
          </cell>
          <cell r="C105">
            <v>1</v>
          </cell>
          <cell r="D105">
            <v>0.99258252229050881</v>
          </cell>
          <cell r="E105">
            <v>1.0538840306424573</v>
          </cell>
          <cell r="F105">
            <v>1.0120032502542025</v>
          </cell>
          <cell r="G105">
            <v>1.0584717519261417</v>
          </cell>
          <cell r="H105">
            <v>1.0131229274167488</v>
          </cell>
          <cell r="I105">
            <v>0.9691672438747998</v>
          </cell>
          <cell r="J105">
            <v>0.92653560118044931</v>
          </cell>
          <cell r="K105">
            <v>0.88516339473056393</v>
          </cell>
          <cell r="L105">
            <v>0.84499015570290026</v>
          </cell>
          <cell r="M105">
            <v>0.80595922531985476</v>
          </cell>
          <cell r="N105">
            <v>0.7680174594209781</v>
          </cell>
          <cell r="O105">
            <v>0.73111496010433163</v>
          </cell>
          <cell r="P105">
            <v>0.69520483158663049</v>
          </cell>
          <cell r="Q105">
            <v>0.6602429577699912</v>
          </cell>
          <cell r="R105">
            <v>0.62618779929654844</v>
          </cell>
          <cell r="S105">
            <v>0.58782058069043841</v>
          </cell>
          <cell r="T105">
            <v>0.55051472631780296</v>
          </cell>
          <cell r="U105">
            <v>0.51421528313131115</v>
          </cell>
          <cell r="V105">
            <v>0.47887102737632586</v>
          </cell>
          <cell r="W105">
            <v>0.44443415351611304</v>
          </cell>
          <cell r="X105">
            <v>0.41361952748483438</v>
          </cell>
          <cell r="Y105">
            <v>0.38309042752332206</v>
          </cell>
          <cell r="Z105">
            <v>0.3528318313039645</v>
          </cell>
          <cell r="AA105">
            <v>0.32282975215857129</v>
          </cell>
          <cell r="AB105">
            <v>0.29307115134087058</v>
          </cell>
          <cell r="AC105">
            <v>0.26676101438833827</v>
          </cell>
          <cell r="AD105">
            <v>0.24056024642228438</v>
          </cell>
          <cell r="AE105">
            <v>0.21446298926207272</v>
          </cell>
          <cell r="AF105">
            <v>0.18846379576733735</v>
          </cell>
          <cell r="AG105">
            <v>0.16255759440857007</v>
          </cell>
          <cell r="AH105">
            <v>0.13886867181055046</v>
          </cell>
          <cell r="AI105">
            <v>0.11561380291327152</v>
          </cell>
          <cell r="AJ105">
            <v>9.2769899047380366E-2</v>
          </cell>
          <cell r="AK105">
            <v>7.0315480558410054E-2</v>
          </cell>
          <cell r="AL105">
            <v>4.8230539044584318E-2</v>
          </cell>
          <cell r="AM105">
            <v>3.425164595355229E-2</v>
          </cell>
          <cell r="AN105">
            <v>2.0410798811592915E-2</v>
          </cell>
          <cell r="AO105">
            <v>6.7005648690245043E-3</v>
          </cell>
          <cell r="AP105">
            <v>-6.8859644338818051E-3</v>
          </cell>
          <cell r="AQ105">
            <v>-2.035521887648602E-2</v>
          </cell>
          <cell r="AR105">
            <v>-2.9768085753323761E-2</v>
          </cell>
          <cell r="AS105">
            <v>-3.9106841009178071E-2</v>
          </cell>
          <cell r="AT105">
            <v>-4.8375543327422575E-2</v>
          </cell>
          <cell r="AU105">
            <v>-5.757796034230879E-2</v>
          </cell>
          <cell r="AV105">
            <v>-6.6717594268491012E-2</v>
          </cell>
          <cell r="AW105">
            <v>-7.2775551694594362E-2</v>
          </cell>
          <cell r="AX105">
            <v>-7.8811328236125897E-2</v>
          </cell>
          <cell r="AY105">
            <v>-8.4826096736455497E-2</v>
          </cell>
          <cell r="AZ105">
            <v>-9.0820948783605068E-2</v>
          </cell>
          <cell r="BA105">
            <v>-9.6796901627224236E-2</v>
          </cell>
        </row>
        <row r="106">
          <cell r="A106">
            <v>9</v>
          </cell>
          <cell r="B106" t="str">
            <v>Passenger transport - Air</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row>
        <row r="107">
          <cell r="A107">
            <v>10</v>
          </cell>
          <cell r="B107" t="str">
            <v>Passenger transport - Light Road</v>
          </cell>
          <cell r="C107">
            <v>13.175477857746056</v>
          </cell>
          <cell r="D107">
            <v>14.762685878221459</v>
          </cell>
          <cell r="E107">
            <v>16.369741931620243</v>
          </cell>
          <cell r="F107">
            <v>17.915500460886797</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row>
        <row r="108">
          <cell r="A108">
            <v>11</v>
          </cell>
          <cell r="B108" t="str">
            <v>Passenger transport - Heavy Road</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row>
        <row r="109">
          <cell r="A109">
            <v>12</v>
          </cell>
          <cell r="B109" t="str">
            <v>Passenger transport - Rail</v>
          </cell>
          <cell r="C109">
            <v>68.073302265021255</v>
          </cell>
          <cell r="D109">
            <v>70.532832529280284</v>
          </cell>
          <cell r="E109">
            <v>62.20501934015693</v>
          </cell>
          <cell r="F109">
            <v>70.033319983466569</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row>
        <row r="110">
          <cell r="A110">
            <v>13</v>
          </cell>
          <cell r="B110" t="str">
            <v>Other transport</v>
          </cell>
          <cell r="C110">
            <v>64.779432800584743</v>
          </cell>
          <cell r="D110">
            <v>67.252235667453306</v>
          </cell>
          <cell r="E110">
            <v>65.478967726480974</v>
          </cell>
          <cell r="F110">
            <v>70.033319983466569</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row>
        <row r="111">
          <cell r="A111">
            <v>14</v>
          </cell>
          <cell r="B111" t="str">
            <v>Services / Commercial Buildings</v>
          </cell>
          <cell r="C111">
            <v>2272.7248529775929</v>
          </cell>
          <cell r="D111">
            <v>2505.2411548852078</v>
          </cell>
          <cell r="E111">
            <v>2579.6311042792395</v>
          </cell>
          <cell r="F111">
            <v>2886.9753618435338</v>
          </cell>
          <cell r="G111">
            <v>2828.4495266362214</v>
          </cell>
          <cell r="H111">
            <v>2731.2768533962353</v>
          </cell>
          <cell r="I111">
            <v>2635.6400477305738</v>
          </cell>
          <cell r="J111">
            <v>2541.4629302461008</v>
          </cell>
          <cell r="K111">
            <v>2448.6742776298697</v>
          </cell>
          <cell r="L111">
            <v>2357.2074260585387</v>
          </cell>
          <cell r="M111">
            <v>2266.9999120906082</v>
          </cell>
          <cell r="N111">
            <v>2177.9931469725302</v>
          </cell>
          <cell r="O111">
            <v>2090.1321207868559</v>
          </cell>
          <cell r="P111">
            <v>2003.3651333003688</v>
          </cell>
          <cell r="Q111">
            <v>1917.6435487426561</v>
          </cell>
          <cell r="R111">
            <v>1832.9215720690727</v>
          </cell>
          <cell r="S111">
            <v>1723.0821632704408</v>
          </cell>
          <cell r="T111">
            <v>1616.0143128665293</v>
          </cell>
          <cell r="U111">
            <v>1511.5745210343341</v>
          </cell>
          <cell r="V111">
            <v>1409.629026316011</v>
          </cell>
          <cell r="W111">
            <v>1310.052993304005</v>
          </cell>
          <cell r="X111">
            <v>1211.4167755035735</v>
          </cell>
          <cell r="Y111">
            <v>1114.9777018884636</v>
          </cell>
          <cell r="Z111">
            <v>1020.6201745387071</v>
          </cell>
          <cell r="AA111">
            <v>928.23656501003722</v>
          </cell>
          <cell r="AB111">
            <v>837.72653918733079</v>
          </cell>
          <cell r="AC111">
            <v>753.9544520367217</v>
          </cell>
          <cell r="AD111">
            <v>672.43199499138632</v>
          </cell>
          <cell r="AE111">
            <v>593.03867009348835</v>
          </cell>
          <cell r="AF111">
            <v>515.66243414550718</v>
          </cell>
          <cell r="AG111">
            <v>440.19896995635185</v>
          </cell>
          <cell r="AH111">
            <v>373.76552857278841</v>
          </cell>
          <cell r="AI111">
            <v>309.30904185953153</v>
          </cell>
          <cell r="AJ111">
            <v>246.72434943520372</v>
          </cell>
          <cell r="AK111">
            <v>185.91361938835576</v>
          </cell>
          <cell r="AL111">
            <v>126.78572082142941</v>
          </cell>
          <cell r="AM111">
            <v>88.959179464914257</v>
          </cell>
          <cell r="AN111">
            <v>52.385592965847906</v>
          </cell>
          <cell r="AO111">
            <v>16.997499005484499</v>
          </cell>
          <cell r="AP111">
            <v>-17.267806997718406</v>
          </cell>
          <cell r="AQ111">
            <v>-50.468684041873949</v>
          </cell>
          <cell r="AR111">
            <v>-73.02397716248251</v>
          </cell>
          <cell r="AS111">
            <v>-94.934272741156832</v>
          </cell>
          <cell r="AT111">
            <v>-116.23489372407913</v>
          </cell>
          <cell r="AU111">
            <v>-136.95863004080283</v>
          </cell>
          <cell r="AV111">
            <v>-157.13596165942724</v>
          </cell>
          <cell r="AW111">
            <v>-169.0229141592109</v>
          </cell>
          <cell r="AX111">
            <v>-180.54388606358569</v>
          </cell>
          <cell r="AY111">
            <v>-191.71822907664816</v>
          </cell>
          <cell r="AZ111">
            <v>-202.56395420390589</v>
          </cell>
          <cell r="BA111">
            <v>-213.09784588113052</v>
          </cell>
        </row>
        <row r="119">
          <cell r="A119" t="str">
            <v>Code</v>
          </cell>
          <cell r="B119" t="str">
            <v>Sector</v>
          </cell>
          <cell r="C119">
            <v>2010</v>
          </cell>
          <cell r="D119">
            <v>2011</v>
          </cell>
          <cell r="E119">
            <v>2012</v>
          </cell>
          <cell r="F119">
            <v>2013</v>
          </cell>
          <cell r="G119">
            <v>2014</v>
          </cell>
          <cell r="H119">
            <v>2015</v>
          </cell>
          <cell r="I119">
            <v>2016</v>
          </cell>
          <cell r="J119">
            <v>2017</v>
          </cell>
          <cell r="K119">
            <v>2018</v>
          </cell>
          <cell r="L119">
            <v>2019</v>
          </cell>
          <cell r="M119">
            <v>2020</v>
          </cell>
          <cell r="N119">
            <v>2021</v>
          </cell>
          <cell r="O119">
            <v>2022</v>
          </cell>
          <cell r="P119">
            <v>2023</v>
          </cell>
          <cell r="Q119">
            <v>2024</v>
          </cell>
          <cell r="R119">
            <v>2025</v>
          </cell>
          <cell r="S119">
            <v>2026</v>
          </cell>
          <cell r="T119">
            <v>2027</v>
          </cell>
          <cell r="U119">
            <v>2028</v>
          </cell>
          <cell r="V119">
            <v>2029</v>
          </cell>
          <cell r="W119">
            <v>2030</v>
          </cell>
          <cell r="X119">
            <v>2031</v>
          </cell>
          <cell r="Y119">
            <v>2032</v>
          </cell>
          <cell r="Z119">
            <v>2033</v>
          </cell>
          <cell r="AA119">
            <v>2034</v>
          </cell>
          <cell r="AB119">
            <v>2035</v>
          </cell>
          <cell r="AC119">
            <v>2036</v>
          </cell>
          <cell r="AD119">
            <v>2037</v>
          </cell>
          <cell r="AE119">
            <v>2038</v>
          </cell>
          <cell r="AF119">
            <v>2039</v>
          </cell>
          <cell r="AG119">
            <v>2040</v>
          </cell>
          <cell r="AH119">
            <v>2041</v>
          </cell>
          <cell r="AI119">
            <v>2042</v>
          </cell>
          <cell r="AJ119">
            <v>2043</v>
          </cell>
          <cell r="AK119">
            <v>2044</v>
          </cell>
          <cell r="AL119">
            <v>2045</v>
          </cell>
          <cell r="AM119">
            <v>2046</v>
          </cell>
          <cell r="AN119">
            <v>2047</v>
          </cell>
          <cell r="AO119">
            <v>2048</v>
          </cell>
          <cell r="AP119">
            <v>2049</v>
          </cell>
          <cell r="AQ119">
            <v>2050</v>
          </cell>
          <cell r="AR119">
            <v>2051</v>
          </cell>
          <cell r="AS119">
            <v>2052</v>
          </cell>
          <cell r="AT119">
            <v>2053</v>
          </cell>
          <cell r="AU119">
            <v>2054</v>
          </cell>
          <cell r="AV119">
            <v>2055</v>
          </cell>
          <cell r="AW119">
            <v>2056</v>
          </cell>
          <cell r="AX119">
            <v>2057</v>
          </cell>
          <cell r="AY119">
            <v>2058</v>
          </cell>
          <cell r="AZ119">
            <v>2059</v>
          </cell>
          <cell r="BA119">
            <v>2060</v>
          </cell>
        </row>
        <row r="120">
          <cell r="A120">
            <v>1</v>
          </cell>
          <cell r="B120" t="str">
            <v>Power Generation</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row>
        <row r="121">
          <cell r="A121">
            <v>2</v>
          </cell>
          <cell r="B121" t="str">
            <v>Iron &amp; Steel Industry</v>
          </cell>
          <cell r="C121">
            <v>0.42433175254349448</v>
          </cell>
          <cell r="D121">
            <v>0.42611526212028755</v>
          </cell>
          <cell r="E121">
            <v>0.40177691714527131</v>
          </cell>
          <cell r="F121">
            <v>0.41669425710766733</v>
          </cell>
          <cell r="G121">
            <v>0.40747106967540841</v>
          </cell>
          <cell r="H121">
            <v>0.39006262590963298</v>
          </cell>
          <cell r="I121">
            <v>0.37318553435819846</v>
          </cell>
          <cell r="J121">
            <v>0.35681348281096109</v>
          </cell>
          <cell r="K121">
            <v>0.34092187083231951</v>
          </cell>
          <cell r="L121">
            <v>0.32548767278333429</v>
          </cell>
          <cell r="M121">
            <v>0.31048931378998501</v>
          </cell>
          <cell r="N121">
            <v>0.29590655725220188</v>
          </cell>
          <cell r="O121">
            <v>0.28172040265999698</v>
          </cell>
          <cell r="P121">
            <v>0.26791299263146784</v>
          </cell>
          <cell r="Q121">
            <v>0.25446752821610075</v>
          </cell>
          <cell r="R121">
            <v>0.24136819161854087</v>
          </cell>
          <cell r="S121">
            <v>0.22773355263489092</v>
          </cell>
          <cell r="T121">
            <v>0.21435724108956208</v>
          </cell>
          <cell r="U121">
            <v>0.20122493113211989</v>
          </cell>
          <cell r="V121">
            <v>0.18832326363740251</v>
          </cell>
          <cell r="W121">
            <v>0.17563976552774996</v>
          </cell>
          <cell r="X121">
            <v>0.16125197273368755</v>
          </cell>
          <cell r="Y121">
            <v>0.14735963980180208</v>
          </cell>
          <cell r="Z121">
            <v>0.13393698562721279</v>
          </cell>
          <cell r="AA121">
            <v>0.12096000050981598</v>
          </cell>
          <cell r="AB121">
            <v>0.10840629624220907</v>
          </cell>
          <cell r="AC121">
            <v>9.7480977889189649E-2</v>
          </cell>
          <cell r="AD121">
            <v>8.6860166327146202E-2</v>
          </cell>
          <cell r="AE121">
            <v>7.6529478329916162E-2</v>
          </cell>
          <cell r="AF121">
            <v>6.6475486818549021E-2</v>
          </cell>
          <cell r="AG121">
            <v>5.6685640260202862E-2</v>
          </cell>
          <cell r="AH121">
            <v>4.8222604732123017E-2</v>
          </cell>
          <cell r="AI121">
            <v>3.9981487167139659E-2</v>
          </cell>
          <cell r="AJ121">
            <v>3.1950743733942528E-2</v>
          </cell>
          <cell r="AK121">
            <v>2.4119633990830436E-2</v>
          </cell>
          <cell r="AL121">
            <v>1.6478152105938927E-2</v>
          </cell>
          <cell r="AM121">
            <v>1.1564370208680537E-2</v>
          </cell>
          <cell r="AN121">
            <v>6.8112452705386406E-3</v>
          </cell>
          <cell r="AO121">
            <v>2.2104143997344608E-3</v>
          </cell>
          <cell r="AP121">
            <v>-2.2459012883058096E-3</v>
          </cell>
          <cell r="AQ121">
            <v>-6.5649471177059247E-3</v>
          </cell>
          <cell r="AR121">
            <v>-9.5265822799941915E-3</v>
          </cell>
          <cell r="AS121">
            <v>-1.2420745826217782E-2</v>
          </cell>
          <cell r="AT121">
            <v>-1.5251232725049059E-2</v>
          </cell>
          <cell r="AU121">
            <v>-1.8021566119439291E-2</v>
          </cell>
          <cell r="AV121">
            <v>-2.0735021264569976E-2</v>
          </cell>
          <cell r="AW121">
            <v>-2.2531994617124556E-2</v>
          </cell>
          <cell r="AX121">
            <v>-2.4313322181782768E-2</v>
          </cell>
          <cell r="AY121">
            <v>-2.6080457308876898E-2</v>
          </cell>
          <cell r="AZ121">
            <v>-2.7834763410976709E-2</v>
          </cell>
          <cell r="BA121">
            <v>-2.9577521850839755E-2</v>
          </cell>
        </row>
        <row r="122">
          <cell r="A122">
            <v>3</v>
          </cell>
          <cell r="B122" t="str">
            <v>Cement</v>
          </cell>
          <cell r="C122">
            <v>6.2223249137585666E-2</v>
          </cell>
          <cell r="D122">
            <v>5.8157761373177762E-2</v>
          </cell>
          <cell r="E122">
            <v>5.6752772806940945E-2</v>
          </cell>
          <cell r="F122">
            <v>5.238901704175368E-2</v>
          </cell>
          <cell r="G122">
            <v>4.8528163906531793E-2</v>
          </cell>
          <cell r="H122">
            <v>4.6775278906465816E-2</v>
          </cell>
          <cell r="I122">
            <v>4.5050539577791843E-2</v>
          </cell>
          <cell r="J122">
            <v>4.3353208289228146E-2</v>
          </cell>
          <cell r="K122">
            <v>4.1682576757000045E-2</v>
          </cell>
          <cell r="L122">
            <v>4.0037964351623163E-2</v>
          </cell>
          <cell r="M122">
            <v>3.8418716537271511E-2</v>
          </cell>
          <cell r="N122">
            <v>3.6824203430669666E-2</v>
          </cell>
          <cell r="O122">
            <v>3.5253818467970842E-2</v>
          </cell>
          <cell r="P122">
            <v>3.370697716940306E-2</v>
          </cell>
          <cell r="Q122">
            <v>3.2183115992614343E-2</v>
          </cell>
          <cell r="R122">
            <v>3.0681691266649457E-2</v>
          </cell>
          <cell r="S122">
            <v>2.8862741819633407E-2</v>
          </cell>
          <cell r="T122">
            <v>2.7086213438243516E-2</v>
          </cell>
          <cell r="U122">
            <v>2.535012922196796E-2</v>
          </cell>
          <cell r="V122">
            <v>2.365264344645256E-2</v>
          </cell>
          <cell r="W122">
            <v>2.1992030672096041E-2</v>
          </cell>
          <cell r="X122">
            <v>2.0316922808413622E-2</v>
          </cell>
          <cell r="Y122">
            <v>1.8681299377202493E-2</v>
          </cell>
          <cell r="Z122">
            <v>1.7083255788513448E-2</v>
          </cell>
          <cell r="AA122">
            <v>1.5521016803100609E-2</v>
          </cell>
          <cell r="AB122">
            <v>1.3992925601831872E-2</v>
          </cell>
          <cell r="AC122">
            <v>1.2711974607982637E-2</v>
          </cell>
          <cell r="AD122">
            <v>1.1438731862911012E-2</v>
          </cell>
          <cell r="AE122">
            <v>1.0173840436429901E-2</v>
          </cell>
          <cell r="AF122">
            <v>8.9178603612830674E-3</v>
          </cell>
          <cell r="AG122">
            <v>7.6712774774033944E-3</v>
          </cell>
          <cell r="AH122">
            <v>6.5052625388157415E-3</v>
          </cell>
          <cell r="AI122">
            <v>5.3764715714867744E-3</v>
          </cell>
          <cell r="AJ122">
            <v>4.2830029409281498E-3</v>
          </cell>
          <cell r="AK122">
            <v>3.2230858600487099E-3</v>
          </cell>
          <cell r="AL122">
            <v>2.1950692306081446E-3</v>
          </cell>
          <cell r="AM122">
            <v>1.5668305646448577E-3</v>
          </cell>
          <cell r="AN122">
            <v>9.3820114451625589E-4</v>
          </cell>
          <cell r="AO122">
            <v>3.0940693440136225E-4</v>
          </cell>
          <cell r="AP122">
            <v>-3.1934442874630961E-4</v>
          </cell>
          <cell r="AQ122">
            <v>-9.4786201275938366E-4</v>
          </cell>
          <cell r="AR122">
            <v>-1.3897752548587263E-3</v>
          </cell>
          <cell r="AS122">
            <v>-1.8305256251251163E-3</v>
          </cell>
          <cell r="AT122">
            <v>-2.2703006236392941E-3</v>
          </cell>
          <cell r="AU122">
            <v>-2.7092756474508244E-3</v>
          </cell>
          <cell r="AV122">
            <v>-3.1476150746156959E-3</v>
          </cell>
          <cell r="AW122">
            <v>-3.4441505842999938E-3</v>
          </cell>
          <cell r="AX122">
            <v>-3.7416003135904629E-3</v>
          </cell>
          <cell r="AY122">
            <v>-4.0400494031454732E-3</v>
          </cell>
          <cell r="AZ122">
            <v>-4.3395791597064717E-3</v>
          </cell>
          <cell r="BA122">
            <v>-4.6402674225558549E-3</v>
          </cell>
        </row>
        <row r="123">
          <cell r="A123">
            <v>4</v>
          </cell>
          <cell r="B123" t="str">
            <v>Chemical and Petrochemical Industry</v>
          </cell>
          <cell r="C123">
            <v>0.95223222939854091</v>
          </cell>
          <cell r="D123">
            <v>0.93628319190604825</v>
          </cell>
          <cell r="E123">
            <v>0.82859352502343897</v>
          </cell>
          <cell r="F123">
            <v>0.86061963507048655</v>
          </cell>
          <cell r="G123" t="e">
            <v>#DIV/0!</v>
          </cell>
          <cell r="H123" t="e">
            <v>#DIV/0!</v>
          </cell>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t="e">
            <v>#DIV/0!</v>
          </cell>
          <cell r="AL123" t="e">
            <v>#DIV/0!</v>
          </cell>
          <cell r="AM123" t="e">
            <v>#DIV/0!</v>
          </cell>
          <cell r="AN123" t="e">
            <v>#DIV/0!</v>
          </cell>
          <cell r="AO123" t="e">
            <v>#DIV/0!</v>
          </cell>
          <cell r="AP123" t="e">
            <v>#DIV/0!</v>
          </cell>
          <cell r="AQ123" t="e">
            <v>#DIV/0!</v>
          </cell>
          <cell r="AR123" t="e">
            <v>#DIV/0!</v>
          </cell>
          <cell r="AS123" t="e">
            <v>#DIV/0!</v>
          </cell>
          <cell r="AT123" t="e">
            <v>#DIV/0!</v>
          </cell>
          <cell r="AU123" t="e">
            <v>#DIV/0!</v>
          </cell>
          <cell r="AV123" t="e">
            <v>#DIV/0!</v>
          </cell>
          <cell r="AW123" t="e">
            <v>#DIV/0!</v>
          </cell>
          <cell r="AX123" t="e">
            <v>#DIV/0!</v>
          </cell>
          <cell r="AY123" t="e">
            <v>#DIV/0!</v>
          </cell>
          <cell r="AZ123" t="e">
            <v>#DIV/0!</v>
          </cell>
          <cell r="BA123" t="e">
            <v>#DIV/0!</v>
          </cell>
        </row>
        <row r="124">
          <cell r="A124">
            <v>5</v>
          </cell>
          <cell r="B124" t="str">
            <v>Aluminium</v>
          </cell>
          <cell r="C124">
            <v>4.3185369867795647</v>
          </cell>
          <cell r="D124">
            <v>4.313271919958936</v>
          </cell>
          <cell r="E124">
            <v>4.4172652793891043</v>
          </cell>
          <cell r="F124">
            <v>4.3413772816014369</v>
          </cell>
          <cell r="G124">
            <v>4.1984812526178166</v>
          </cell>
          <cell r="H124">
            <v>3.9441112258866333</v>
          </cell>
          <cell r="I124">
            <v>3.7047533448628132</v>
          </cell>
          <cell r="J124">
            <v>3.4792594666653613</v>
          </cell>
          <cell r="K124">
            <v>3.2665890691140751</v>
          </cell>
          <cell r="L124">
            <v>3.0657973482118823</v>
          </cell>
          <cell r="M124">
            <v>2.8760248274537252</v>
          </cell>
          <cell r="N124">
            <v>2.696488262799777</v>
          </cell>
          <cell r="O124">
            <v>2.5264726614093251</v>
          </cell>
          <cell r="P124">
            <v>2.3653242605451279</v>
          </cell>
          <cell r="Q124">
            <v>2.212444336544976</v>
          </cell>
          <cell r="R124">
            <v>2.0672837333097425</v>
          </cell>
          <cell r="S124">
            <v>1.9009163995855798</v>
          </cell>
          <cell r="T124">
            <v>1.7443238101258167</v>
          </cell>
          <cell r="U124">
            <v>1.5968234386222746</v>
          </cell>
          <cell r="V124">
            <v>1.457789479115045</v>
          </cell>
          <cell r="W124">
            <v>1.3266473592485422</v>
          </cell>
          <cell r="X124">
            <v>1.1992835073798953</v>
          </cell>
          <cell r="Y124">
            <v>1.0792345481723045</v>
          </cell>
          <cell r="Z124">
            <v>0.96603658021484873</v>
          </cell>
          <cell r="AA124">
            <v>0.8592606659364761</v>
          </cell>
          <cell r="AB124">
            <v>0.75850973027635515</v>
          </cell>
          <cell r="AC124">
            <v>0.66620650665604531</v>
          </cell>
          <cell r="AD124">
            <v>0.57963466538254438</v>
          </cell>
          <cell r="AE124">
            <v>0.49849529414988725</v>
          </cell>
          <cell r="AF124">
            <v>0.42251049058911644</v>
          </cell>
          <cell r="AG124">
            <v>0.35142155153584065</v>
          </cell>
          <cell r="AH124">
            <v>0.29226317185971568</v>
          </cell>
          <cell r="AI124">
            <v>0.23683326503515523</v>
          </cell>
          <cell r="AJ124">
            <v>0.18493225316658005</v>
          </cell>
          <cell r="AK124">
            <v>0.13637446794948696</v>
          </cell>
          <cell r="AL124">
            <v>9.0986959743899407E-2</v>
          </cell>
          <cell r="AM124">
            <v>6.2857534149526939E-2</v>
          </cell>
          <cell r="AN124">
            <v>3.6434160206206143E-2</v>
          </cell>
          <cell r="AO124">
            <v>1.1632684678436553E-2</v>
          </cell>
          <cell r="AP124">
            <v>-1.1624993558316792E-2</v>
          </cell>
          <cell r="AQ124">
            <v>-3.3411445560591765E-2</v>
          </cell>
          <cell r="AR124">
            <v>-4.7714201893813153E-2</v>
          </cell>
          <cell r="AS124">
            <v>-6.1215161695245719E-2</v>
          </cell>
          <cell r="AT124">
            <v>-7.395531654603775E-2</v>
          </cell>
          <cell r="AU124">
            <v>-8.5972676267702969E-2</v>
          </cell>
          <cell r="AV124">
            <v>-9.7302530725771927E-2</v>
          </cell>
          <cell r="AW124">
            <v>-0.10372316057181198</v>
          </cell>
          <cell r="AX124">
            <v>-0.10978698168535615</v>
          </cell>
          <cell r="AY124">
            <v>-0.11551131429037624</v>
          </cell>
          <cell r="AZ124">
            <v>-0.12091225331581693</v>
          </cell>
          <cell r="BA124">
            <v>-0.12600477217927766</v>
          </cell>
        </row>
        <row r="125">
          <cell r="A125">
            <v>6</v>
          </cell>
          <cell r="B125" t="str">
            <v>Pulp &amp; Paper</v>
          </cell>
          <cell r="C125">
            <v>0.74664376859168757</v>
          </cell>
          <cell r="D125">
            <v>0.74064942068156403</v>
          </cell>
          <cell r="E125">
            <v>0.72403468828664974</v>
          </cell>
          <cell r="F125">
            <v>0.72317416982420524</v>
          </cell>
          <cell r="G125">
            <v>0.40720129158029694</v>
          </cell>
          <cell r="H125">
            <v>0.38807867552145653</v>
          </cell>
          <cell r="I125">
            <v>0.36965869726113937</v>
          </cell>
          <cell r="J125">
            <v>0.35190490094728316</v>
          </cell>
          <cell r="K125">
            <v>0.33478325950722021</v>
          </cell>
          <cell r="L125">
            <v>0.31826197778266507</v>
          </cell>
          <cell r="M125">
            <v>0.30231131440251247</v>
          </cell>
          <cell r="N125">
            <v>0.28690342035139299</v>
          </cell>
          <cell r="O125">
            <v>0.27201219244195501</v>
          </cell>
          <cell r="P125">
            <v>0.25761314011497599</v>
          </cell>
          <cell r="Q125">
            <v>0.24368326417867531</v>
          </cell>
          <cell r="R125">
            <v>0.23020094626122833</v>
          </cell>
          <cell r="S125">
            <v>0.21434361216505587</v>
          </cell>
          <cell r="T125">
            <v>0.19912587379420682</v>
          </cell>
          <cell r="U125">
            <v>0.18451257377539462</v>
          </cell>
          <cell r="V125">
            <v>0.17047100735628837</v>
          </cell>
          <cell r="W125">
            <v>0.15697071511864968</v>
          </cell>
          <cell r="X125">
            <v>0.14364148459094783</v>
          </cell>
          <cell r="Y125">
            <v>0.13084129666674127</v>
          </cell>
          <cell r="Z125">
            <v>0.11854151074418628</v>
          </cell>
          <cell r="AA125">
            <v>0.1067154769623966</v>
          </cell>
          <cell r="AB125">
            <v>9.5338367146782857E-2</v>
          </cell>
          <cell r="AC125">
            <v>8.5043111083748929E-2</v>
          </cell>
          <cell r="AD125">
            <v>7.5178387058282545E-2</v>
          </cell>
          <cell r="AE125">
            <v>6.5720374809004348E-2</v>
          </cell>
          <cell r="AF125">
            <v>5.6646939050033741E-2</v>
          </cell>
          <cell r="AG125">
            <v>4.7937483931216947E-2</v>
          </cell>
          <cell r="AH125">
            <v>4.0407755664815477E-2</v>
          </cell>
          <cell r="AI125">
            <v>3.3197638760909393E-2</v>
          </cell>
          <cell r="AJ125">
            <v>2.6289688672874133E-2</v>
          </cell>
          <cell r="AK125">
            <v>1.9667682010846153E-2</v>
          </cell>
          <cell r="AL125">
            <v>1.3316511903359684E-2</v>
          </cell>
          <cell r="AM125">
            <v>9.2843361828423201E-3</v>
          </cell>
          <cell r="AN125">
            <v>5.4326955995811109E-3</v>
          </cell>
          <cell r="AO125">
            <v>1.7516018225146388E-3</v>
          </cell>
          <cell r="AP125">
            <v>-1.7682261803966808E-3</v>
          </cell>
          <cell r="AQ125">
            <v>-5.1354234527158406E-3</v>
          </cell>
          <cell r="AR125">
            <v>-7.4269438388594507E-3</v>
          </cell>
          <cell r="AS125">
            <v>-9.6505356475732641E-3</v>
          </cell>
          <cell r="AT125">
            <v>-1.1809789069927964E-2</v>
          </cell>
          <cell r="AU125">
            <v>-1.3908038141589585E-2</v>
          </cell>
          <cell r="AV125">
            <v>-1.5948383283455343E-2</v>
          </cell>
          <cell r="AW125">
            <v>-1.7179039756140928E-2</v>
          </cell>
          <cell r="AX125">
            <v>-1.8375445086340408E-2</v>
          </cell>
          <cell r="AY125">
            <v>-1.9539344088994434E-2</v>
          </cell>
          <cell r="AZ125">
            <v>-2.067236128673159E-2</v>
          </cell>
          <cell r="BA125">
            <v>-2.1776011143375452E-2</v>
          </cell>
        </row>
        <row r="126">
          <cell r="A126">
            <v>7</v>
          </cell>
          <cell r="B126" t="str">
            <v>Manufacture of light-road automotor vehicles</v>
          </cell>
          <cell r="C126">
            <v>1</v>
          </cell>
          <cell r="D126">
            <v>0.95141480373298271</v>
          </cell>
          <cell r="E126">
            <v>0.97926810838785772</v>
          </cell>
          <cell r="F126">
            <v>0.91796339706892915</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row>
        <row r="127">
          <cell r="A127">
            <v>8</v>
          </cell>
          <cell r="B127" t="str">
            <v>Other Industry</v>
          </cell>
        </row>
        <row r="128">
          <cell r="A128">
            <v>9</v>
          </cell>
          <cell r="B128" t="str">
            <v>Passenger transport - Air</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t="e">
            <v>#DIV/0!</v>
          </cell>
          <cell r="AS128" t="e">
            <v>#DIV/0!</v>
          </cell>
          <cell r="AT128" t="e">
            <v>#DIV/0!</v>
          </cell>
          <cell r="AU128" t="e">
            <v>#DIV/0!</v>
          </cell>
          <cell r="AV128" t="e">
            <v>#DIV/0!</v>
          </cell>
          <cell r="AW128" t="e">
            <v>#DIV/0!</v>
          </cell>
          <cell r="AX128" t="e">
            <v>#DIV/0!</v>
          </cell>
          <cell r="AY128" t="e">
            <v>#DIV/0!</v>
          </cell>
          <cell r="AZ128" t="e">
            <v>#DIV/0!</v>
          </cell>
          <cell r="BA128" t="e">
            <v>#DIV/0!</v>
          </cell>
        </row>
        <row r="129">
          <cell r="A129">
            <v>10</v>
          </cell>
          <cell r="B129" t="str">
            <v>Passenger transport - Light Road</v>
          </cell>
          <cell r="C129">
            <v>0.56756325863015644</v>
          </cell>
          <cell r="D129">
            <v>0.60902758707133597</v>
          </cell>
          <cell r="E129">
            <v>0.64791099974166855</v>
          </cell>
          <cell r="F129">
            <v>0.68142912181359749</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t="e">
            <v>#DIV/0!</v>
          </cell>
          <cell r="AS129" t="e">
            <v>#DIV/0!</v>
          </cell>
          <cell r="AT129" t="e">
            <v>#DIV/0!</v>
          </cell>
          <cell r="AU129" t="e">
            <v>#DIV/0!</v>
          </cell>
          <cell r="AV129" t="e">
            <v>#DIV/0!</v>
          </cell>
          <cell r="AW129" t="e">
            <v>#DIV/0!</v>
          </cell>
          <cell r="AX129" t="e">
            <v>#DIV/0!</v>
          </cell>
          <cell r="AY129" t="e">
            <v>#DIV/0!</v>
          </cell>
          <cell r="AZ129" t="e">
            <v>#DIV/0!</v>
          </cell>
          <cell r="BA129" t="e">
            <v>#DIV/0!</v>
          </cell>
        </row>
        <row r="130">
          <cell r="A130">
            <v>11</v>
          </cell>
          <cell r="B130" t="str">
            <v>Passenger transport - Heavy Road</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t="e">
            <v>#DIV/0!</v>
          </cell>
          <cell r="AS130" t="e">
            <v>#DIV/0!</v>
          </cell>
          <cell r="AT130" t="e">
            <v>#DIV/0!</v>
          </cell>
          <cell r="AU130" t="e">
            <v>#DIV/0!</v>
          </cell>
          <cell r="AV130" t="e">
            <v>#DIV/0!</v>
          </cell>
          <cell r="AW130" t="e">
            <v>#DIV/0!</v>
          </cell>
          <cell r="AX130" t="e">
            <v>#DIV/0!</v>
          </cell>
          <cell r="AY130" t="e">
            <v>#DIV/0!</v>
          </cell>
          <cell r="AZ130" t="e">
            <v>#DIV/0!</v>
          </cell>
          <cell r="BA130" t="e">
            <v>#DIV/0!</v>
          </cell>
        </row>
        <row r="131">
          <cell r="A131">
            <v>12</v>
          </cell>
          <cell r="B131" t="str">
            <v>Passenger transport - Rail</v>
          </cell>
          <cell r="C131">
            <v>19.572880662474667</v>
          </cell>
          <cell r="D131">
            <v>19.01357267144709</v>
          </cell>
          <cell r="E131">
            <v>15.782993029856527</v>
          </cell>
          <cell r="F131">
            <v>16.7827553184575</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t="e">
            <v>#DIV/0!</v>
          </cell>
          <cell r="AS131" t="e">
            <v>#DIV/0!</v>
          </cell>
          <cell r="AT131" t="e">
            <v>#DIV/0!</v>
          </cell>
          <cell r="AU131" t="e">
            <v>#DIV/0!</v>
          </cell>
          <cell r="AV131" t="e">
            <v>#DIV/0!</v>
          </cell>
          <cell r="AW131" t="e">
            <v>#DIV/0!</v>
          </cell>
          <cell r="AX131" t="e">
            <v>#DIV/0!</v>
          </cell>
          <cell r="AY131" t="e">
            <v>#DIV/0!</v>
          </cell>
          <cell r="AZ131" t="e">
            <v>#DIV/0!</v>
          </cell>
          <cell r="BA131" t="e">
            <v>#DIV/0!</v>
          </cell>
        </row>
        <row r="132">
          <cell r="A132">
            <v>13</v>
          </cell>
          <cell r="B132" t="str">
            <v>Other transport</v>
          </cell>
          <cell r="C132">
            <v>1</v>
          </cell>
          <cell r="D132">
            <v>0.99511406815153292</v>
          </cell>
          <cell r="E132">
            <v>0.93923327543745139</v>
          </cell>
          <cell r="F132">
            <v>0.98064322207120902</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row>
        <row r="133">
          <cell r="A133">
            <v>14</v>
          </cell>
          <cell r="B133" t="str">
            <v>Services / Commercial Buildings</v>
          </cell>
          <cell r="C133">
            <v>1</v>
          </cell>
          <cell r="D133">
            <v>1.0832121266019874</v>
          </cell>
          <cell r="E133">
            <v>1.0963841829078065</v>
          </cell>
          <cell r="F133">
            <v>1.2064667491034458</v>
          </cell>
          <cell r="G133">
            <v>1.162544524567811</v>
          </cell>
          <cell r="H133">
            <v>1.1044181883408268</v>
          </cell>
          <cell r="I133">
            <v>1.048756303875036</v>
          </cell>
          <cell r="J133">
            <v>0.99541301810331362</v>
          </cell>
          <cell r="K133">
            <v>0.94425340253390788</v>
          </cell>
          <cell r="L133">
            <v>0.89515247158860323</v>
          </cell>
          <cell r="M133">
            <v>0.84799430323130776</v>
          </cell>
          <cell r="N133">
            <v>0.80267124981517191</v>
          </cell>
          <cell r="O133">
            <v>0.75908322866209055</v>
          </cell>
          <cell r="P133">
            <v>0.71713708324539016</v>
          </cell>
          <cell r="Q133">
            <v>0.67674600701057164</v>
          </cell>
          <cell r="R133">
            <v>0.63782902286994259</v>
          </cell>
          <cell r="S133">
            <v>0.5913619538647169</v>
          </cell>
          <cell r="T133">
            <v>0.54709369821150622</v>
          </cell>
          <cell r="U133">
            <v>0.50488805109261803</v>
          </cell>
          <cell r="V133">
            <v>0.46461921200522271</v>
          </cell>
          <cell r="W133">
            <v>0.42617084250062487</v>
          </cell>
          <cell r="X133">
            <v>0.38941204560218673</v>
          </cell>
          <cell r="Y133">
            <v>0.35421254900420446</v>
          </cell>
          <cell r="Z133">
            <v>0.32048188460582439</v>
          </cell>
          <cell r="AA133">
            <v>0.28813620060148787</v>
          </cell>
          <cell r="AB133">
            <v>0.25709767987052218</v>
          </cell>
          <cell r="AC133">
            <v>0.22879859684607468</v>
          </cell>
          <cell r="AD133">
            <v>0.20180102803534819</v>
          </cell>
          <cell r="AE133">
            <v>0.17602646753508028</v>
          </cell>
          <cell r="AF133">
            <v>0.15140229194073604</v>
          </cell>
          <cell r="AG133">
            <v>0.12786123361581203</v>
          </cell>
          <cell r="AH133">
            <v>0.10741423986216048</v>
          </cell>
          <cell r="AI133">
            <v>8.7958286158123844E-2</v>
          </cell>
          <cell r="AJ133">
            <v>6.9432923005445943E-2</v>
          </cell>
          <cell r="AK133">
            <v>5.1782225723722132E-2</v>
          </cell>
          <cell r="AL133">
            <v>3.4954391441988107E-2</v>
          </cell>
          <cell r="AM133">
            <v>2.4278897329932301E-2</v>
          </cell>
          <cell r="AN133">
            <v>1.4154705534743371E-2</v>
          </cell>
          <cell r="AO133">
            <v>4.5474497364525537E-3</v>
          </cell>
          <cell r="AP133">
            <v>-4.5746329498359368E-3</v>
          </cell>
          <cell r="AQ133">
            <v>-1.3240936050615385E-2</v>
          </cell>
          <cell r="AR133">
            <v>-1.8974943247177283E-2</v>
          </cell>
          <cell r="AS133">
            <v>-2.4434092145297473E-2</v>
          </cell>
          <cell r="AT133">
            <v>-2.9635141572907343E-2</v>
          </cell>
          <cell r="AU133">
            <v>-3.4593586141066474E-2</v>
          </cell>
          <cell r="AV133">
            <v>-3.9323770400133976E-2</v>
          </cell>
          <cell r="AW133">
            <v>-4.1911723620405107E-2</v>
          </cell>
          <cell r="AX133">
            <v>-4.4362847269485285E-2</v>
          </cell>
          <cell r="AY133">
            <v>-4.6685539956489046E-2</v>
          </cell>
          <cell r="AZ133">
            <v>-4.8887577722907943E-2</v>
          </cell>
          <cell r="BA133">
            <v>-5.0976168804493432E-2</v>
          </cell>
        </row>
        <row r="137">
          <cell r="C137">
            <v>2010</v>
          </cell>
          <cell r="D137">
            <v>2011</v>
          </cell>
          <cell r="E137">
            <v>2012</v>
          </cell>
          <cell r="F137">
            <v>2013</v>
          </cell>
          <cell r="G137">
            <v>2014</v>
          </cell>
          <cell r="H137">
            <v>2015</v>
          </cell>
          <cell r="I137">
            <v>2016</v>
          </cell>
          <cell r="J137">
            <v>2017</v>
          </cell>
          <cell r="K137">
            <v>2018</v>
          </cell>
          <cell r="L137">
            <v>2019</v>
          </cell>
          <cell r="M137">
            <v>2020</v>
          </cell>
          <cell r="N137">
            <v>2021</v>
          </cell>
          <cell r="O137">
            <v>2022</v>
          </cell>
          <cell r="P137">
            <v>2023</v>
          </cell>
          <cell r="Q137">
            <v>2024</v>
          </cell>
          <cell r="R137">
            <v>2025</v>
          </cell>
          <cell r="S137">
            <v>2026</v>
          </cell>
          <cell r="T137">
            <v>2027</v>
          </cell>
          <cell r="U137">
            <v>2028</v>
          </cell>
          <cell r="V137">
            <v>2029</v>
          </cell>
          <cell r="W137">
            <v>2030</v>
          </cell>
          <cell r="X137">
            <v>2031</v>
          </cell>
          <cell r="Y137">
            <v>2032</v>
          </cell>
          <cell r="Z137">
            <v>2033</v>
          </cell>
          <cell r="AA137">
            <v>2034</v>
          </cell>
          <cell r="AB137">
            <v>2035</v>
          </cell>
          <cell r="AC137">
            <v>2036</v>
          </cell>
          <cell r="AD137">
            <v>2037</v>
          </cell>
          <cell r="AE137">
            <v>2038</v>
          </cell>
          <cell r="AF137">
            <v>2039</v>
          </cell>
          <cell r="AG137">
            <v>2040</v>
          </cell>
          <cell r="AH137">
            <v>2041</v>
          </cell>
          <cell r="AI137">
            <v>2042</v>
          </cell>
          <cell r="AJ137">
            <v>2043</v>
          </cell>
          <cell r="AK137">
            <v>2044</v>
          </cell>
          <cell r="AL137">
            <v>2045</v>
          </cell>
          <cell r="AM137">
            <v>2046</v>
          </cell>
          <cell r="AN137">
            <v>2047</v>
          </cell>
          <cell r="AO137">
            <v>2048</v>
          </cell>
          <cell r="AP137">
            <v>2049</v>
          </cell>
          <cell r="AQ137">
            <v>2050</v>
          </cell>
          <cell r="AR137">
            <v>2051</v>
          </cell>
          <cell r="AS137">
            <v>2052</v>
          </cell>
          <cell r="AT137">
            <v>2053</v>
          </cell>
          <cell r="AU137">
            <v>2054</v>
          </cell>
          <cell r="AV137">
            <v>2055</v>
          </cell>
          <cell r="AW137">
            <v>2056</v>
          </cell>
          <cell r="AX137">
            <v>2057</v>
          </cell>
          <cell r="AY137">
            <v>2058</v>
          </cell>
          <cell r="AZ137">
            <v>2059</v>
          </cell>
          <cell r="BA137">
            <v>2060</v>
          </cell>
        </row>
        <row r="138">
          <cell r="C138">
            <v>113.8818897268258</v>
          </cell>
          <cell r="D138">
            <v>110.36402509061722</v>
          </cell>
          <cell r="E138">
            <v>106.95588147031521</v>
          </cell>
          <cell r="F138">
            <v>103.65240414863612</v>
          </cell>
          <cell r="G138">
            <v>100.44884421640702</v>
          </cell>
          <cell r="H138">
            <v>97.340735789313442</v>
          </cell>
          <cell r="I138">
            <v>94.323875231722042</v>
          </cell>
          <cell r="J138">
            <v>91.394302184272178</v>
          </cell>
          <cell r="K138">
            <v>88.176194727028644</v>
          </cell>
          <cell r="L138">
            <v>84.651627577694455</v>
          </cell>
          <cell r="M138">
            <v>81.176061259770961</v>
          </cell>
          <cell r="N138">
            <v>77.748480953152608</v>
          </cell>
          <cell r="O138">
            <v>74.367899668854875</v>
          </cell>
          <cell r="P138">
            <v>70.916581592616964</v>
          </cell>
          <cell r="Q138">
            <v>67.377703440984618</v>
          </cell>
          <cell r="R138">
            <v>63.851656133450035</v>
          </cell>
          <cell r="S138">
            <v>60.338370015402823</v>
          </cell>
          <cell r="T138">
            <v>56.83777593549955</v>
          </cell>
          <cell r="U138">
            <v>53.424707483533098</v>
          </cell>
          <cell r="V138">
            <v>50.108144933664633</v>
          </cell>
          <cell r="W138">
            <v>46.821990461654877</v>
          </cell>
          <cell r="X138">
            <v>43.565827776631778</v>
          </cell>
          <cell r="Y138">
            <v>40.339248152018001</v>
          </cell>
          <cell r="Z138">
            <v>37.427474535234751</v>
          </cell>
          <cell r="AA138">
            <v>34.843343154203986</v>
          </cell>
          <cell r="AB138">
            <v>32.313403496703174</v>
          </cell>
          <cell r="AC138">
            <v>29.835968527298995</v>
          </cell>
          <cell r="AD138">
            <v>27.409420518370961</v>
          </cell>
          <cell r="AE138">
            <v>25.114301050747464</v>
          </cell>
          <cell r="AF138">
            <v>22.952414935440714</v>
          </cell>
          <cell r="AG138">
            <v>20.84325708626757</v>
          </cell>
          <cell r="AH138">
            <v>18.784921616853154</v>
          </cell>
          <cell r="AI138">
            <v>16.775593402667333</v>
          </cell>
          <cell r="AJ138">
            <v>14.981192881802359</v>
          </cell>
          <cell r="AK138">
            <v>13.378730324143415</v>
          </cell>
          <cell r="AL138">
            <v>11.947675094923454</v>
          </cell>
          <cell r="AM138">
            <v>10.669692617710618</v>
          </cell>
          <cell r="AN138">
            <v>9.5284094731367333</v>
          </cell>
          <cell r="AO138">
            <v>8.5092036238287303</v>
          </cell>
          <cell r="AP138">
            <v>7.5990170779199202</v>
          </cell>
          <cell r="AQ138">
            <v>6.7861885909995561</v>
          </cell>
          <cell r="AR138">
            <v>6.0603042630900958</v>
          </cell>
          <cell r="AS138">
            <v>5.4120641165114352</v>
          </cell>
          <cell r="AT138">
            <v>4.8331629452373015</v>
          </cell>
          <cell r="AU138">
            <v>4.316183909194371</v>
          </cell>
          <cell r="AV138">
            <v>3.8545035102419298</v>
          </cell>
          <cell r="AW138">
            <v>3.4422067323911829</v>
          </cell>
          <cell r="AX138">
            <v>3.0740112590468209</v>
          </cell>
          <cell r="AY138">
            <v>2.745199796347602</v>
          </cell>
          <cell r="AZ138">
            <v>2.4515596355374742</v>
          </cell>
          <cell r="BA138">
            <v>2.1893286800446847</v>
          </cell>
        </row>
      </sheetData>
      <sheetData sheetId="10">
        <row r="1">
          <cell r="E1" t="str">
            <v>Code</v>
          </cell>
          <cell r="F1" t="str">
            <v>Sector</v>
          </cell>
          <cell r="G1" t="str">
            <v>Activity indicator</v>
          </cell>
          <cell r="H1" t="str">
            <v>Type of Sector</v>
          </cell>
          <cell r="I1" t="str">
            <v>Intensity Indicator</v>
          </cell>
        </row>
        <row r="2">
          <cell r="E2">
            <v>1</v>
          </cell>
          <cell r="F2" t="str">
            <v>Power Generation</v>
          </cell>
          <cell r="G2" t="str">
            <v>MWh</v>
          </cell>
          <cell r="H2" t="str">
            <v>Homogeneous</v>
          </cell>
          <cell r="I2" t="str">
            <v>tCO2/MWh</v>
          </cell>
        </row>
        <row r="3">
          <cell r="E3">
            <v>2</v>
          </cell>
          <cell r="F3" t="str">
            <v>Iron &amp; Steel Industry</v>
          </cell>
          <cell r="G3" t="str">
            <v>tonnes crude steel</v>
          </cell>
          <cell r="H3" t="str">
            <v>Homogeneous</v>
          </cell>
          <cell r="I3" t="str">
            <v>tCO2/ton crude steel</v>
          </cell>
        </row>
        <row r="4">
          <cell r="E4">
            <v>3</v>
          </cell>
          <cell r="F4" t="str">
            <v>Cement</v>
          </cell>
          <cell r="G4" t="str">
            <v>tonnes cement</v>
          </cell>
          <cell r="H4" t="str">
            <v>Homogeneous</v>
          </cell>
          <cell r="I4" t="str">
            <v>tCO2/tons cement</v>
          </cell>
        </row>
        <row r="5">
          <cell r="E5">
            <v>4</v>
          </cell>
          <cell r="F5" t="str">
            <v>Chemical and Petrochemical Industry</v>
          </cell>
          <cell r="G5" t="str">
            <v>$ value added</v>
          </cell>
          <cell r="H5" t="str">
            <v>Heterogeneous</v>
          </cell>
          <cell r="I5" t="str">
            <v>Index</v>
          </cell>
        </row>
        <row r="6">
          <cell r="E6">
            <v>5</v>
          </cell>
          <cell r="F6" t="str">
            <v>Aluminium</v>
          </cell>
          <cell r="G6" t="str">
            <v>tonnes aluminium</v>
          </cell>
          <cell r="H6" t="str">
            <v>Homogeneous</v>
          </cell>
          <cell r="I6" t="str">
            <v>tCO2/ton aluminium</v>
          </cell>
        </row>
        <row r="7">
          <cell r="E7">
            <v>6</v>
          </cell>
          <cell r="F7" t="str">
            <v>Pulp &amp; Paper</v>
          </cell>
          <cell r="G7" t="str">
            <v>tonnes paper and cardboard</v>
          </cell>
          <cell r="H7" t="str">
            <v>Homogeneous</v>
          </cell>
          <cell r="I7" t="str">
            <v>tCO2/ton paper and cardboard</v>
          </cell>
        </row>
        <row r="8">
          <cell r="E8">
            <v>7</v>
          </cell>
          <cell r="F8" t="str">
            <v>Manufacture of light-road automotor vehicles</v>
          </cell>
          <cell r="G8" t="str">
            <v>$ value added</v>
          </cell>
          <cell r="H8" t="str">
            <v>Heterogeneous</v>
          </cell>
          <cell r="I8" t="str">
            <v>Index</v>
          </cell>
        </row>
        <row r="9">
          <cell r="E9">
            <v>8</v>
          </cell>
          <cell r="F9" t="str">
            <v>Other Industry</v>
          </cell>
          <cell r="G9" t="str">
            <v>-</v>
          </cell>
          <cell r="H9" t="str">
            <v>Heterogeneous</v>
          </cell>
          <cell r="I9" t="str">
            <v>Index</v>
          </cell>
        </row>
        <row r="10">
          <cell r="E10">
            <v>9</v>
          </cell>
          <cell r="F10" t="str">
            <v>Passenger transport - Air</v>
          </cell>
          <cell r="G10" t="str">
            <v>revenue passenger kilometres</v>
          </cell>
          <cell r="H10" t="str">
            <v>Homogeneous</v>
          </cell>
          <cell r="I10" t="str">
            <v>gCO2/passenger-km</v>
          </cell>
        </row>
        <row r="11">
          <cell r="E11">
            <v>10</v>
          </cell>
          <cell r="F11" t="str">
            <v>Passenger transport - Light Road</v>
          </cell>
          <cell r="G11" t="str">
            <v>revenue passenger kilometres</v>
          </cell>
          <cell r="H11" t="str">
            <v>Homogeneous</v>
          </cell>
          <cell r="I11" t="str">
            <v>gCO2/passenger-km</v>
          </cell>
        </row>
        <row r="12">
          <cell r="E12">
            <v>11</v>
          </cell>
          <cell r="F12" t="str">
            <v>Passenger transport - Heavy Road</v>
          </cell>
          <cell r="G12" t="str">
            <v>revenue passenger kilometres</v>
          </cell>
          <cell r="H12" t="str">
            <v>Homogeneous</v>
          </cell>
          <cell r="I12" t="str">
            <v>gCO2/passenger-km</v>
          </cell>
        </row>
        <row r="13">
          <cell r="E13">
            <v>12</v>
          </cell>
          <cell r="F13" t="str">
            <v>Passenger transport - Rail</v>
          </cell>
          <cell r="G13" t="str">
            <v>revenue passenger kilometres</v>
          </cell>
          <cell r="H13" t="str">
            <v>Homogeneous</v>
          </cell>
          <cell r="I13" t="str">
            <v>gCO2/passenger-km</v>
          </cell>
        </row>
        <row r="14">
          <cell r="E14">
            <v>13</v>
          </cell>
          <cell r="F14" t="str">
            <v>Other transport</v>
          </cell>
          <cell r="G14" t="str">
            <v>$ value added</v>
          </cell>
          <cell r="H14" t="str">
            <v>Heterogeneous</v>
          </cell>
          <cell r="I14" t="str">
            <v>Index</v>
          </cell>
        </row>
        <row r="15">
          <cell r="E15">
            <v>14</v>
          </cell>
          <cell r="F15" t="str">
            <v>Services / Commercial Buildings</v>
          </cell>
          <cell r="G15" t="str">
            <v>m2</v>
          </cell>
          <cell r="H15" t="str">
            <v>Heterogeneous</v>
          </cell>
          <cell r="I15" t="str">
            <v>kgCO2/m2 (Index)</v>
          </cell>
        </row>
      </sheetData>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B337"/>
  <sheetViews>
    <sheetView topLeftCell="A125" zoomScale="115" zoomScaleNormal="115" workbookViewId="0">
      <selection activeCell="B171" sqref="B171"/>
    </sheetView>
  </sheetViews>
  <sheetFormatPr defaultColWidth="11.42578125" defaultRowHeight="11.25" x14ac:dyDescent="0.2"/>
  <cols>
    <col min="1" max="1" width="5" style="9" customWidth="1"/>
    <col min="2" max="2" width="30.42578125" style="2" bestFit="1" customWidth="1"/>
    <col min="3" max="3" width="10.5703125" style="2" bestFit="1" customWidth="1"/>
    <col min="4" max="53" width="10.42578125" style="2" bestFit="1" customWidth="1"/>
    <col min="54" max="54" width="11.42578125" style="4"/>
    <col min="55" max="16384" width="11.42578125" style="2"/>
  </cols>
  <sheetData>
    <row r="1" spans="1:80" ht="21" thickBot="1" x14ac:dyDescent="0.25">
      <c r="B1" s="23" t="s">
        <v>93</v>
      </c>
      <c r="C1" s="24"/>
      <c r="D1" s="25"/>
      <c r="E1" s="26"/>
      <c r="F1" s="25"/>
      <c r="G1" s="25"/>
      <c r="H1" s="25"/>
      <c r="I1" s="25"/>
    </row>
    <row r="2" spans="1:80" x14ac:dyDescent="0.2">
      <c r="A2" s="1"/>
      <c r="B2" s="1" t="s">
        <v>0</v>
      </c>
      <c r="D2" s="3"/>
      <c r="E2" s="3"/>
      <c r="F2" s="3"/>
    </row>
    <row r="3" spans="1:80" x14ac:dyDescent="0.2">
      <c r="A3" s="3"/>
      <c r="B3" s="5" t="s">
        <v>1</v>
      </c>
      <c r="C3" s="6">
        <v>2010</v>
      </c>
      <c r="D3" s="3">
        <v>2011</v>
      </c>
      <c r="E3" s="3">
        <v>2012</v>
      </c>
      <c r="F3" s="3">
        <v>2013</v>
      </c>
      <c r="G3" s="3">
        <v>2014</v>
      </c>
      <c r="H3" s="6">
        <v>2015</v>
      </c>
      <c r="I3" s="3">
        <v>2016</v>
      </c>
      <c r="J3" s="3">
        <v>2017</v>
      </c>
      <c r="K3" s="3">
        <v>2018</v>
      </c>
      <c r="L3" s="3">
        <v>2019</v>
      </c>
      <c r="M3" s="6">
        <v>2020</v>
      </c>
      <c r="N3" s="3">
        <v>2021</v>
      </c>
      <c r="O3" s="3">
        <v>2022</v>
      </c>
      <c r="P3" s="3">
        <v>2023</v>
      </c>
      <c r="Q3" s="3">
        <v>2024</v>
      </c>
      <c r="R3" s="6">
        <v>2025</v>
      </c>
      <c r="S3" s="3">
        <v>2026</v>
      </c>
      <c r="T3" s="3">
        <v>2027</v>
      </c>
      <c r="U3" s="3">
        <v>2028</v>
      </c>
      <c r="V3" s="3">
        <v>2029</v>
      </c>
      <c r="W3" s="6">
        <v>2030</v>
      </c>
      <c r="X3" s="3">
        <v>2031</v>
      </c>
      <c r="Y3" s="3">
        <v>2032</v>
      </c>
      <c r="Z3" s="3">
        <v>2033</v>
      </c>
      <c r="AA3" s="3">
        <v>2034</v>
      </c>
      <c r="AB3" s="6">
        <v>2035</v>
      </c>
      <c r="AC3" s="3">
        <v>2036</v>
      </c>
      <c r="AD3" s="3">
        <v>2037</v>
      </c>
      <c r="AE3" s="3">
        <v>2038</v>
      </c>
      <c r="AF3" s="3">
        <v>2039</v>
      </c>
      <c r="AG3" s="6">
        <v>2040</v>
      </c>
      <c r="AH3" s="3">
        <v>2041</v>
      </c>
      <c r="AI3" s="3">
        <v>2042</v>
      </c>
      <c r="AJ3" s="3">
        <v>2043</v>
      </c>
      <c r="AK3" s="3">
        <v>2044</v>
      </c>
      <c r="AL3" s="6">
        <v>2045</v>
      </c>
      <c r="AM3" s="3">
        <v>2046</v>
      </c>
      <c r="AN3" s="3">
        <v>2047</v>
      </c>
      <c r="AO3" s="3">
        <v>2048</v>
      </c>
      <c r="AP3" s="3">
        <v>2049</v>
      </c>
      <c r="AQ3" s="6">
        <v>2050</v>
      </c>
      <c r="AR3" s="3">
        <v>2051</v>
      </c>
      <c r="AS3" s="3">
        <v>2052</v>
      </c>
      <c r="AT3" s="3">
        <v>2053</v>
      </c>
      <c r="AU3" s="3">
        <v>2054</v>
      </c>
      <c r="AV3" s="6">
        <v>2055</v>
      </c>
      <c r="AW3" s="3">
        <v>2056</v>
      </c>
      <c r="AX3" s="3">
        <v>2057</v>
      </c>
      <c r="AY3" s="3">
        <v>2058</v>
      </c>
      <c r="AZ3" s="3">
        <v>2059</v>
      </c>
      <c r="BA3" s="6">
        <v>2060</v>
      </c>
    </row>
    <row r="4" spans="1:80" x14ac:dyDescent="0.2">
      <c r="A4" s="7"/>
      <c r="B4" s="101" t="s">
        <v>2</v>
      </c>
      <c r="C4" s="8">
        <v>4898.5083573630181</v>
      </c>
      <c r="D4" s="8">
        <v>5027.4662829778863</v>
      </c>
      <c r="E4" s="8">
        <v>5156.4242085927544</v>
      </c>
      <c r="F4" s="8">
        <v>5285.3821342076226</v>
      </c>
      <c r="G4" s="8">
        <v>5414.3400598224907</v>
      </c>
      <c r="H4" s="8">
        <v>5543.2979854373589</v>
      </c>
      <c r="I4" s="8">
        <v>5465.0937983100521</v>
      </c>
      <c r="J4" s="8">
        <v>5386.8896111827462</v>
      </c>
      <c r="K4" s="8">
        <v>5308.6854240554394</v>
      </c>
      <c r="L4" s="8">
        <v>5230.4812369281335</v>
      </c>
      <c r="M4" s="8">
        <v>5152.2770498008267</v>
      </c>
      <c r="N4" s="8">
        <v>5069.0714403826478</v>
      </c>
      <c r="O4" s="8">
        <v>4985.8658309644688</v>
      </c>
      <c r="P4" s="8">
        <v>4902.6602215462899</v>
      </c>
      <c r="Q4" s="8">
        <v>4819.454612128111</v>
      </c>
      <c r="R4" s="8">
        <v>4736.249002709932</v>
      </c>
      <c r="S4" s="8">
        <v>4593.589919097989</v>
      </c>
      <c r="T4" s="8">
        <v>4450.9308354860468</v>
      </c>
      <c r="U4" s="8">
        <v>4308.2717518741038</v>
      </c>
      <c r="V4" s="8">
        <v>4165.6126682621616</v>
      </c>
      <c r="W4" s="8">
        <v>4022.9535846502185</v>
      </c>
      <c r="X4" s="8">
        <v>3855.3663111455849</v>
      </c>
      <c r="Y4" s="8">
        <v>3687.7790376409512</v>
      </c>
      <c r="Z4" s="8">
        <v>3520.191764136317</v>
      </c>
      <c r="AA4" s="8">
        <v>3352.6044906316833</v>
      </c>
      <c r="AB4" s="8">
        <v>3185.0172171270497</v>
      </c>
      <c r="AC4" s="8">
        <v>3024.5602486984171</v>
      </c>
      <c r="AD4" s="8">
        <v>2864.1032802697841</v>
      </c>
      <c r="AE4" s="8">
        <v>2703.6463118411516</v>
      </c>
      <c r="AF4" s="8">
        <v>2543.1893434125186</v>
      </c>
      <c r="AG4" s="8">
        <v>2382.7323749838861</v>
      </c>
      <c r="AH4" s="8">
        <v>2248.3763714802922</v>
      </c>
      <c r="AI4" s="8">
        <v>2114.0203679766987</v>
      </c>
      <c r="AJ4" s="8">
        <v>1979.6643644731048</v>
      </c>
      <c r="AK4" s="8">
        <v>1845.3083609695111</v>
      </c>
      <c r="AL4" s="8">
        <v>1710.9523574659174</v>
      </c>
      <c r="AM4" s="8">
        <v>1588.392040051981</v>
      </c>
      <c r="AN4" s="8">
        <v>1465.8317226380445</v>
      </c>
      <c r="AO4" s="8">
        <v>1343.2714052241081</v>
      </c>
      <c r="AP4" s="8">
        <v>1220.7110878101716</v>
      </c>
      <c r="AQ4" s="8">
        <v>1098.1507703962352</v>
      </c>
      <c r="AR4" s="8">
        <v>1009.5547131117922</v>
      </c>
      <c r="AS4" s="8">
        <v>920.95865582734939</v>
      </c>
      <c r="AT4" s="8">
        <v>832.36259854290643</v>
      </c>
      <c r="AU4" s="8">
        <v>743.76654125846358</v>
      </c>
      <c r="AV4" s="8">
        <v>655.17048397402061</v>
      </c>
      <c r="AW4" s="8">
        <v>609.33053434911301</v>
      </c>
      <c r="AX4" s="8">
        <v>563.49058472420541</v>
      </c>
      <c r="AY4" s="8">
        <v>517.6506350992978</v>
      </c>
      <c r="AZ4" s="8">
        <v>471.8106854743902</v>
      </c>
      <c r="BA4" s="8">
        <v>425.97073584948259</v>
      </c>
      <c r="BB4" s="102" t="s">
        <v>3</v>
      </c>
      <c r="BC4" s="8"/>
      <c r="BD4" s="8"/>
      <c r="BE4" s="8"/>
      <c r="BF4" s="8"/>
      <c r="BG4" s="8"/>
      <c r="BH4" s="8"/>
      <c r="BI4" s="8"/>
      <c r="BJ4" s="8"/>
      <c r="BK4" s="8"/>
      <c r="BL4" s="8"/>
      <c r="BM4" s="8"/>
      <c r="BN4" s="8"/>
      <c r="BO4" s="8"/>
      <c r="BP4" s="8"/>
      <c r="BQ4" s="8"/>
      <c r="BR4" s="8"/>
      <c r="BS4" s="8"/>
      <c r="BT4" s="8"/>
      <c r="BU4" s="8"/>
      <c r="BV4" s="8"/>
      <c r="BW4" s="8"/>
      <c r="BX4" s="8"/>
      <c r="BY4" s="8"/>
      <c r="BZ4" s="8"/>
      <c r="CA4" s="8"/>
      <c r="CB4" s="8"/>
    </row>
    <row r="5" spans="1:80" x14ac:dyDescent="0.2">
      <c r="A5" s="7"/>
      <c r="B5" s="101" t="s">
        <v>182</v>
      </c>
      <c r="C5" s="8">
        <v>376.14445827887778</v>
      </c>
      <c r="D5" s="8">
        <v>404.55933630916405</v>
      </c>
      <c r="E5" s="8">
        <v>432.97421433945033</v>
      </c>
      <c r="F5" s="8">
        <v>461.38909236973666</v>
      </c>
      <c r="G5" s="8">
        <v>489.80397040002293</v>
      </c>
      <c r="H5" s="8">
        <v>518.21884843030921</v>
      </c>
      <c r="I5" s="8">
        <v>489.45925926166393</v>
      </c>
      <c r="J5" s="8">
        <v>460.69967009301865</v>
      </c>
      <c r="K5" s="8">
        <v>431.94008092437332</v>
      </c>
      <c r="L5" s="8">
        <v>403.18049175572804</v>
      </c>
      <c r="M5" s="8">
        <v>374.42090258708276</v>
      </c>
      <c r="N5" s="8">
        <v>368.72573914094187</v>
      </c>
      <c r="O5" s="8">
        <v>363.03057569480092</v>
      </c>
      <c r="P5" s="8">
        <v>357.33541224866002</v>
      </c>
      <c r="Q5" s="8">
        <v>351.64024880251907</v>
      </c>
      <c r="R5" s="8">
        <v>345.94508535637817</v>
      </c>
      <c r="S5" s="8">
        <v>336.9152480696028</v>
      </c>
      <c r="T5" s="8">
        <v>327.88541078282748</v>
      </c>
      <c r="U5" s="8">
        <v>318.8555734960521</v>
      </c>
      <c r="V5" s="8">
        <v>309.82573620927678</v>
      </c>
      <c r="W5" s="8">
        <v>300.79589892250141</v>
      </c>
      <c r="X5" s="8">
        <v>280.0780746784074</v>
      </c>
      <c r="Y5" s="8">
        <v>259.36025043431334</v>
      </c>
      <c r="Z5" s="8">
        <v>238.64242619021934</v>
      </c>
      <c r="AA5" s="8">
        <v>217.92460194612534</v>
      </c>
      <c r="AB5" s="8">
        <v>197.2067777020313</v>
      </c>
      <c r="AC5" s="8">
        <v>164.96357569263512</v>
      </c>
      <c r="AD5" s="8">
        <v>132.72037368323896</v>
      </c>
      <c r="AE5" s="8">
        <v>100.47717167384279</v>
      </c>
      <c r="AF5" s="8">
        <v>68.233969664446619</v>
      </c>
      <c r="AG5" s="8">
        <v>35.990767655050448</v>
      </c>
      <c r="AH5" s="8">
        <v>31.102277809703391</v>
      </c>
      <c r="AI5" s="8">
        <v>26.213787964356335</v>
      </c>
      <c r="AJ5" s="8">
        <v>21.325298119009275</v>
      </c>
      <c r="AK5" s="8">
        <v>16.436808273662219</v>
      </c>
      <c r="AL5" s="8">
        <v>11.548318428315163</v>
      </c>
      <c r="AM5" s="8">
        <v>8.982730860552314</v>
      </c>
      <c r="AN5" s="8">
        <v>6.417143292789464</v>
      </c>
      <c r="AO5" s="8">
        <v>3.8515557250266141</v>
      </c>
      <c r="AP5" s="8">
        <v>1.2859681572637651</v>
      </c>
      <c r="AQ5" s="8">
        <v>-1.2796194104990839</v>
      </c>
      <c r="AR5" s="8">
        <v>-2.4074736141806001</v>
      </c>
      <c r="AS5" s="8">
        <v>-3.5353278178621168</v>
      </c>
      <c r="AT5" s="8">
        <v>-4.6631820215436335</v>
      </c>
      <c r="AU5" s="8">
        <v>-5.7910362252251497</v>
      </c>
      <c r="AV5" s="8">
        <v>-6.9188904289066659</v>
      </c>
      <c r="AW5" s="8">
        <v>-7.013526107249886</v>
      </c>
      <c r="AX5" s="8">
        <v>-7.1081617855931061</v>
      </c>
      <c r="AY5" s="8">
        <v>-7.2027974639363261</v>
      </c>
      <c r="AZ5" s="8">
        <v>-7.2974331422795462</v>
      </c>
      <c r="BA5" s="8">
        <v>-7.3920688206227663</v>
      </c>
      <c r="BB5" s="102" t="s">
        <v>3</v>
      </c>
      <c r="BC5" s="8"/>
      <c r="BD5" s="8"/>
      <c r="BE5" s="8"/>
      <c r="BF5" s="8"/>
      <c r="BG5" s="8"/>
      <c r="BH5" s="8"/>
      <c r="BI5" s="8"/>
      <c r="BJ5" s="8"/>
      <c r="BK5" s="8"/>
      <c r="BL5" s="8"/>
      <c r="BM5" s="8"/>
      <c r="BN5" s="8"/>
      <c r="BO5" s="8"/>
      <c r="BP5" s="8"/>
      <c r="BQ5" s="8"/>
      <c r="BR5" s="8"/>
      <c r="BS5" s="8"/>
      <c r="BT5" s="8"/>
      <c r="BU5" s="8"/>
      <c r="BV5" s="8"/>
      <c r="BW5" s="8"/>
      <c r="BX5" s="8"/>
      <c r="BY5" s="8"/>
      <c r="BZ5" s="8"/>
      <c r="CA5" s="8"/>
      <c r="CB5" s="8"/>
    </row>
    <row r="6" spans="1:80" x14ac:dyDescent="0.2">
      <c r="A6" s="7"/>
      <c r="B6" s="101" t="s">
        <v>165</v>
      </c>
      <c r="C6" s="8">
        <v>3099.7542550998419</v>
      </c>
      <c r="D6" s="8">
        <v>3170.857822222727</v>
      </c>
      <c r="E6" s="8">
        <v>3241.9613893456121</v>
      </c>
      <c r="F6" s="8">
        <v>3313.0649564684977</v>
      </c>
      <c r="G6" s="8">
        <v>3384.1685235913828</v>
      </c>
      <c r="H6" s="8">
        <v>3455.272090714268</v>
      </c>
      <c r="I6" s="8">
        <v>3419.0185736922695</v>
      </c>
      <c r="J6" s="8">
        <v>3382.765056670271</v>
      </c>
      <c r="K6" s="8">
        <v>3346.511539648272</v>
      </c>
      <c r="L6" s="8">
        <v>3310.2580226262735</v>
      </c>
      <c r="M6" s="8">
        <v>3274.004505604275</v>
      </c>
      <c r="N6" s="8">
        <v>3214.0925944090241</v>
      </c>
      <c r="O6" s="8">
        <v>3154.1806832137727</v>
      </c>
      <c r="P6" s="8">
        <v>3094.2687720185218</v>
      </c>
      <c r="Q6" s="8">
        <v>3034.3568608232704</v>
      </c>
      <c r="R6" s="8">
        <v>2974.4449496280195</v>
      </c>
      <c r="S6" s="8">
        <v>2868.0721916383695</v>
      </c>
      <c r="T6" s="8">
        <v>2761.6994336487196</v>
      </c>
      <c r="U6" s="8">
        <v>2655.3266756590701</v>
      </c>
      <c r="V6" s="8">
        <v>2548.9539176694202</v>
      </c>
      <c r="W6" s="8">
        <v>2442.5811596797703</v>
      </c>
      <c r="X6" s="8">
        <v>2322.5455252549809</v>
      </c>
      <c r="Y6" s="8">
        <v>2202.5098908301916</v>
      </c>
      <c r="Z6" s="8">
        <v>2082.4742564054022</v>
      </c>
      <c r="AA6" s="8">
        <v>1962.4386219806127</v>
      </c>
      <c r="AB6" s="8">
        <v>1842.4029875558233</v>
      </c>
      <c r="AC6" s="8">
        <v>1747.7351866699369</v>
      </c>
      <c r="AD6" s="8">
        <v>1653.0673857840504</v>
      </c>
      <c r="AE6" s="8">
        <v>1558.399584898164</v>
      </c>
      <c r="AF6" s="8">
        <v>1463.7317840122776</v>
      </c>
      <c r="AG6" s="8">
        <v>1369.0639831263911</v>
      </c>
      <c r="AH6" s="8">
        <v>1281.6806993142627</v>
      </c>
      <c r="AI6" s="8">
        <v>1194.2974155021343</v>
      </c>
      <c r="AJ6" s="8">
        <v>1106.9141316900059</v>
      </c>
      <c r="AK6" s="8">
        <v>1019.5308478778774</v>
      </c>
      <c r="AL6" s="8">
        <v>932.14756406574895</v>
      </c>
      <c r="AM6" s="8">
        <v>851.86400244759261</v>
      </c>
      <c r="AN6" s="8">
        <v>771.58044082943627</v>
      </c>
      <c r="AO6" s="8">
        <v>691.29687921127993</v>
      </c>
      <c r="AP6" s="8">
        <v>611.01331759312359</v>
      </c>
      <c r="AQ6" s="8">
        <v>530.72975597496725</v>
      </c>
      <c r="AR6" s="8">
        <v>476.74740340590813</v>
      </c>
      <c r="AS6" s="8">
        <v>422.76505083684907</v>
      </c>
      <c r="AT6" s="8">
        <v>368.78269826778995</v>
      </c>
      <c r="AU6" s="8">
        <v>314.80034569873089</v>
      </c>
      <c r="AV6" s="8">
        <v>260.81799312967178</v>
      </c>
      <c r="AW6" s="8">
        <v>233.8515269686508</v>
      </c>
      <c r="AX6" s="8">
        <v>206.8850608076298</v>
      </c>
      <c r="AY6" s="8">
        <v>179.91859464660882</v>
      </c>
      <c r="AZ6" s="8">
        <v>152.95212848558782</v>
      </c>
      <c r="BA6" s="8">
        <v>125.98566232456685</v>
      </c>
      <c r="BB6" s="102" t="s">
        <v>3</v>
      </c>
      <c r="BC6" s="8"/>
      <c r="BD6" s="8"/>
      <c r="BE6" s="8"/>
      <c r="BF6" s="8"/>
      <c r="BG6" s="8"/>
      <c r="BH6" s="8"/>
      <c r="BI6" s="8"/>
      <c r="BJ6" s="8"/>
      <c r="BK6" s="8"/>
      <c r="BL6" s="8"/>
      <c r="BM6" s="8"/>
      <c r="BN6" s="8"/>
      <c r="BO6" s="8"/>
      <c r="BP6" s="8"/>
      <c r="BQ6" s="8"/>
      <c r="BR6" s="8"/>
      <c r="BS6" s="8"/>
      <c r="BT6" s="8"/>
      <c r="BU6" s="8"/>
      <c r="BV6" s="8"/>
      <c r="BW6" s="8"/>
      <c r="BX6" s="8"/>
      <c r="BY6" s="8"/>
      <c r="BZ6" s="8"/>
      <c r="CA6" s="8"/>
      <c r="CB6" s="8"/>
    </row>
    <row r="7" spans="1:80" x14ac:dyDescent="0.2">
      <c r="A7" s="7"/>
      <c r="B7" s="101" t="s">
        <v>167</v>
      </c>
      <c r="C7" s="8">
        <v>257.31312732876137</v>
      </c>
      <c r="D7" s="8">
        <v>264.30705947201182</v>
      </c>
      <c r="E7" s="8">
        <v>271.30099161526221</v>
      </c>
      <c r="F7" s="8">
        <v>278.29492375851265</v>
      </c>
      <c r="G7" s="8">
        <v>285.28885590176304</v>
      </c>
      <c r="H7" s="8">
        <v>292.28278804501349</v>
      </c>
      <c r="I7" s="8">
        <v>286.32887722014385</v>
      </c>
      <c r="J7" s="8">
        <v>280.37496639527416</v>
      </c>
      <c r="K7" s="8">
        <v>274.42105557040452</v>
      </c>
      <c r="L7" s="8">
        <v>268.46714474553482</v>
      </c>
      <c r="M7" s="8">
        <v>262.51323392066519</v>
      </c>
      <c r="N7" s="8">
        <v>258.20226295017574</v>
      </c>
      <c r="O7" s="8">
        <v>253.89129197968626</v>
      </c>
      <c r="P7" s="8">
        <v>249.58032100919678</v>
      </c>
      <c r="Q7" s="8">
        <v>245.26935003870733</v>
      </c>
      <c r="R7" s="8">
        <v>240.95837906821785</v>
      </c>
      <c r="S7" s="8">
        <v>238.00557067813335</v>
      </c>
      <c r="T7" s="8">
        <v>235.05276228804885</v>
      </c>
      <c r="U7" s="8">
        <v>232.09995389796433</v>
      </c>
      <c r="V7" s="8">
        <v>229.14714550787983</v>
      </c>
      <c r="W7" s="8">
        <v>226.19433711779533</v>
      </c>
      <c r="X7" s="8">
        <v>222.17008329891755</v>
      </c>
      <c r="Y7" s="8">
        <v>218.14582948003977</v>
      </c>
      <c r="Z7" s="8">
        <v>214.12157566116201</v>
      </c>
      <c r="AA7" s="8">
        <v>210.09732184228423</v>
      </c>
      <c r="AB7" s="8">
        <v>206.07306802340645</v>
      </c>
      <c r="AC7" s="8">
        <v>198.48470843758696</v>
      </c>
      <c r="AD7" s="8">
        <v>190.89634885176747</v>
      </c>
      <c r="AE7" s="8">
        <v>183.30798926594798</v>
      </c>
      <c r="AF7" s="8">
        <v>175.71962968012849</v>
      </c>
      <c r="AG7" s="8">
        <v>168.131270094309</v>
      </c>
      <c r="AH7" s="8">
        <v>158.15780680836804</v>
      </c>
      <c r="AI7" s="8">
        <v>148.18434352242707</v>
      </c>
      <c r="AJ7" s="8">
        <v>138.2108802364861</v>
      </c>
      <c r="AK7" s="8">
        <v>128.23741695054511</v>
      </c>
      <c r="AL7" s="8">
        <v>118.26395366460414</v>
      </c>
      <c r="AM7" s="8">
        <v>109.47009949541368</v>
      </c>
      <c r="AN7" s="8">
        <v>100.6762453262232</v>
      </c>
      <c r="AO7" s="8">
        <v>91.882391157032728</v>
      </c>
      <c r="AP7" s="8">
        <v>83.088536987842247</v>
      </c>
      <c r="AQ7" s="8">
        <v>74.294682818651779</v>
      </c>
      <c r="AR7" s="8">
        <v>66.602682696759373</v>
      </c>
      <c r="AS7" s="8">
        <v>58.910682574866975</v>
      </c>
      <c r="AT7" s="8">
        <v>51.218682452974569</v>
      </c>
      <c r="AU7" s="8">
        <v>43.526682331082171</v>
      </c>
      <c r="AV7" s="8">
        <v>35.834682209189765</v>
      </c>
      <c r="AW7" s="8">
        <v>30.755143059032005</v>
      </c>
      <c r="AX7" s="8">
        <v>25.675603908874244</v>
      </c>
      <c r="AY7" s="8">
        <v>20.59606475871648</v>
      </c>
      <c r="AZ7" s="8">
        <v>15.51652560855872</v>
      </c>
      <c r="BA7" s="8">
        <v>10.436986458400959</v>
      </c>
      <c r="BB7" s="102" t="s">
        <v>3</v>
      </c>
      <c r="BC7" s="8"/>
      <c r="BD7" s="8"/>
      <c r="BE7" s="8"/>
      <c r="BF7" s="8"/>
      <c r="BG7" s="8"/>
      <c r="BH7" s="8"/>
      <c r="BI7" s="8"/>
      <c r="BJ7" s="8"/>
      <c r="BK7" s="8"/>
      <c r="BL7" s="8"/>
      <c r="BM7" s="8"/>
      <c r="BN7" s="8"/>
      <c r="BO7" s="8"/>
      <c r="BP7" s="8"/>
      <c r="BQ7" s="8"/>
      <c r="BR7" s="8"/>
      <c r="BS7" s="8"/>
      <c r="BT7" s="8"/>
      <c r="BU7" s="8"/>
      <c r="BV7" s="8"/>
      <c r="BW7" s="8"/>
      <c r="BX7" s="8"/>
      <c r="BY7" s="8"/>
      <c r="BZ7" s="8"/>
      <c r="CA7" s="8"/>
      <c r="CB7" s="8"/>
    </row>
    <row r="8" spans="1:80" x14ac:dyDescent="0.2">
      <c r="A8" s="7"/>
      <c r="B8" s="101" t="s">
        <v>166</v>
      </c>
      <c r="C8" s="8">
        <v>189.78558507303075</v>
      </c>
      <c r="D8" s="8">
        <v>193.11240798231495</v>
      </c>
      <c r="E8" s="8">
        <v>196.43923089159915</v>
      </c>
      <c r="F8" s="8">
        <v>199.76605380088338</v>
      </c>
      <c r="G8" s="8">
        <v>203.09287671016759</v>
      </c>
      <c r="H8" s="8">
        <v>206.41969961945179</v>
      </c>
      <c r="I8" s="8">
        <v>202.96655907726</v>
      </c>
      <c r="J8" s="8">
        <v>199.51341853506821</v>
      </c>
      <c r="K8" s="8">
        <v>196.06027799287642</v>
      </c>
      <c r="L8" s="8">
        <v>192.60713745068463</v>
      </c>
      <c r="M8" s="8">
        <v>189.15399690849284</v>
      </c>
      <c r="N8" s="8">
        <v>188.61338003437629</v>
      </c>
      <c r="O8" s="8">
        <v>188.07276316025977</v>
      </c>
      <c r="P8" s="8">
        <v>187.53214628614322</v>
      </c>
      <c r="Q8" s="8">
        <v>186.99152941202669</v>
      </c>
      <c r="R8" s="8">
        <v>186.45091253791014</v>
      </c>
      <c r="S8" s="8">
        <v>185.2544499459633</v>
      </c>
      <c r="T8" s="8">
        <v>184.05798735401646</v>
      </c>
      <c r="U8" s="8">
        <v>182.86152476206962</v>
      </c>
      <c r="V8" s="8">
        <v>181.66506217012278</v>
      </c>
      <c r="W8" s="8">
        <v>180.46859957817594</v>
      </c>
      <c r="X8" s="8">
        <v>177.97933113080532</v>
      </c>
      <c r="Y8" s="8">
        <v>175.4900626834347</v>
      </c>
      <c r="Z8" s="8">
        <v>173.00079423606405</v>
      </c>
      <c r="AA8" s="8">
        <v>170.51152578869343</v>
      </c>
      <c r="AB8" s="8">
        <v>168.02225734132281</v>
      </c>
      <c r="AC8" s="8">
        <v>162.94776380765532</v>
      </c>
      <c r="AD8" s="8">
        <v>157.87327027398786</v>
      </c>
      <c r="AE8" s="8">
        <v>152.79877674032036</v>
      </c>
      <c r="AF8" s="8">
        <v>147.7242832066529</v>
      </c>
      <c r="AG8" s="8">
        <v>142.64978967298541</v>
      </c>
      <c r="AH8" s="8">
        <v>135.44488426702617</v>
      </c>
      <c r="AI8" s="8">
        <v>128.23997886106693</v>
      </c>
      <c r="AJ8" s="8">
        <v>121.03507345510771</v>
      </c>
      <c r="AK8" s="8">
        <v>113.83016804914848</v>
      </c>
      <c r="AL8" s="8">
        <v>106.62526264318925</v>
      </c>
      <c r="AM8" s="8">
        <v>99.101320242106553</v>
      </c>
      <c r="AN8" s="8">
        <v>91.577377841023861</v>
      </c>
      <c r="AO8" s="8">
        <v>84.053435439941182</v>
      </c>
      <c r="AP8" s="8">
        <v>76.52949303885849</v>
      </c>
      <c r="AQ8" s="8">
        <v>69.005550637775798</v>
      </c>
      <c r="AR8" s="8">
        <v>63.395252671367885</v>
      </c>
      <c r="AS8" s="8">
        <v>57.784954704959972</v>
      </c>
      <c r="AT8" s="8">
        <v>52.174656738552059</v>
      </c>
      <c r="AU8" s="8">
        <v>46.564358772144146</v>
      </c>
      <c r="AV8" s="8">
        <v>40.954060805736233</v>
      </c>
      <c r="AW8" s="8">
        <v>37.194578236386981</v>
      </c>
      <c r="AX8" s="8">
        <v>33.435095667037736</v>
      </c>
      <c r="AY8" s="8">
        <v>29.675613097688483</v>
      </c>
      <c r="AZ8" s="8">
        <v>25.916130528339234</v>
      </c>
      <c r="BA8" s="8">
        <v>22.156647958989986</v>
      </c>
      <c r="BB8" s="102" t="s">
        <v>3</v>
      </c>
      <c r="BC8" s="8"/>
      <c r="BD8" s="8"/>
      <c r="BE8" s="8"/>
      <c r="BF8" s="8"/>
      <c r="BG8" s="8"/>
      <c r="BH8" s="8"/>
      <c r="BI8" s="8"/>
      <c r="BJ8" s="8"/>
      <c r="BK8" s="8"/>
      <c r="BL8" s="8"/>
      <c r="BM8" s="8"/>
      <c r="BN8" s="8"/>
      <c r="BO8" s="8"/>
      <c r="BP8" s="8"/>
      <c r="BQ8" s="8"/>
      <c r="BR8" s="8"/>
      <c r="BS8" s="8"/>
      <c r="BT8" s="8"/>
      <c r="BU8" s="8"/>
      <c r="BV8" s="8"/>
      <c r="BW8" s="8"/>
      <c r="BX8" s="8"/>
      <c r="BY8" s="8"/>
      <c r="BZ8" s="8"/>
      <c r="CA8" s="8"/>
      <c r="CB8" s="8"/>
    </row>
    <row r="9" spans="1:80" x14ac:dyDescent="0.2">
      <c r="A9" s="7"/>
      <c r="B9" s="101" t="s">
        <v>168</v>
      </c>
      <c r="C9" s="8">
        <v>447.09871240179211</v>
      </c>
      <c r="D9" s="8">
        <v>457.4194686285569</v>
      </c>
      <c r="E9" s="8">
        <v>467.74022485532163</v>
      </c>
      <c r="F9" s="8">
        <v>478.06098108208641</v>
      </c>
      <c r="G9" s="8">
        <v>488.38173730885114</v>
      </c>
      <c r="H9" s="8">
        <v>498.70249353561593</v>
      </c>
      <c r="I9" s="8">
        <v>489.30039974459055</v>
      </c>
      <c r="J9" s="8">
        <v>479.89830595356517</v>
      </c>
      <c r="K9" s="8">
        <v>470.49621216253973</v>
      </c>
      <c r="L9" s="8">
        <v>461.09411837151436</v>
      </c>
      <c r="M9" s="8">
        <v>451.69202458048898</v>
      </c>
      <c r="N9" s="8">
        <v>446.88588027379916</v>
      </c>
      <c r="O9" s="8">
        <v>442.07973596710929</v>
      </c>
      <c r="P9" s="8">
        <v>437.27359166041947</v>
      </c>
      <c r="Q9" s="8">
        <v>432.4674473537296</v>
      </c>
      <c r="R9" s="8">
        <v>427.66130304703978</v>
      </c>
      <c r="S9" s="8">
        <v>423.56348532079051</v>
      </c>
      <c r="T9" s="8">
        <v>419.46566759454123</v>
      </c>
      <c r="U9" s="8">
        <v>415.36784986829201</v>
      </c>
      <c r="V9" s="8">
        <v>411.27003214204274</v>
      </c>
      <c r="W9" s="8">
        <v>407.17221441579346</v>
      </c>
      <c r="X9" s="8">
        <v>400.6130069308357</v>
      </c>
      <c r="Y9" s="8">
        <v>394.05379944587787</v>
      </c>
      <c r="Z9" s="8">
        <v>387.4945919609201</v>
      </c>
      <c r="AA9" s="8">
        <v>380.93538447596228</v>
      </c>
      <c r="AB9" s="8">
        <v>374.37617699100451</v>
      </c>
      <c r="AC9" s="8">
        <v>361.69109747280106</v>
      </c>
      <c r="AD9" s="8">
        <v>349.00601795459761</v>
      </c>
      <c r="AE9" s="8">
        <v>336.32093843639416</v>
      </c>
      <c r="AF9" s="8">
        <v>323.63585891819071</v>
      </c>
      <c r="AG9" s="8">
        <v>310.95077939998725</v>
      </c>
      <c r="AH9" s="8">
        <v>293.45444466482979</v>
      </c>
      <c r="AI9" s="8">
        <v>275.95810992967239</v>
      </c>
      <c r="AJ9" s="8">
        <v>258.46177519451493</v>
      </c>
      <c r="AK9" s="8">
        <v>240.96544045935747</v>
      </c>
      <c r="AL9" s="8">
        <v>223.46910572420003</v>
      </c>
      <c r="AM9" s="8">
        <v>206.87336198693728</v>
      </c>
      <c r="AN9" s="8">
        <v>190.2776182496745</v>
      </c>
      <c r="AO9" s="8">
        <v>173.68187451241175</v>
      </c>
      <c r="AP9" s="8">
        <v>157.086130775149</v>
      </c>
      <c r="AQ9" s="8">
        <v>140.49038703788625</v>
      </c>
      <c r="AR9" s="8">
        <v>127.07249862004375</v>
      </c>
      <c r="AS9" s="8">
        <v>113.65461020220125</v>
      </c>
      <c r="AT9" s="8">
        <v>100.23672178435875</v>
      </c>
      <c r="AU9" s="8">
        <v>86.818833366516259</v>
      </c>
      <c r="AV9" s="8">
        <v>73.400944948673754</v>
      </c>
      <c r="AW9" s="8">
        <v>64.88429430742373</v>
      </c>
      <c r="AX9" s="8">
        <v>56.367643666173713</v>
      </c>
      <c r="AY9" s="8">
        <v>47.850993024923696</v>
      </c>
      <c r="AZ9" s="8">
        <v>39.334342383673672</v>
      </c>
      <c r="BA9" s="8">
        <v>30.817691742423648</v>
      </c>
      <c r="BB9" s="102" t="s">
        <v>3</v>
      </c>
      <c r="BC9" s="8"/>
      <c r="BD9" s="8"/>
      <c r="BE9" s="8"/>
      <c r="BF9" s="8"/>
      <c r="BG9" s="8"/>
      <c r="BH9" s="8"/>
      <c r="BI9" s="8"/>
      <c r="BJ9" s="8"/>
      <c r="BK9" s="8"/>
      <c r="BL9" s="8"/>
      <c r="BM9" s="8"/>
      <c r="BN9" s="8"/>
      <c r="BO9" s="8"/>
      <c r="BP9" s="8"/>
      <c r="BQ9" s="8"/>
      <c r="BR9" s="8"/>
      <c r="BS9" s="8"/>
      <c r="BT9" s="8"/>
      <c r="BU9" s="8"/>
      <c r="BV9" s="8"/>
      <c r="BW9" s="8"/>
      <c r="BX9" s="8"/>
      <c r="BY9" s="8"/>
      <c r="BZ9" s="8"/>
      <c r="CA9" s="8"/>
      <c r="CB9" s="8"/>
    </row>
    <row r="10" spans="1:80" x14ac:dyDescent="0.2">
      <c r="A10" s="7"/>
      <c r="B10" s="101" t="s">
        <v>169</v>
      </c>
      <c r="C10" s="8">
        <v>83.215372354664638</v>
      </c>
      <c r="D10" s="8">
        <v>83.874287082347323</v>
      </c>
      <c r="E10" s="8">
        <v>84.533201810029993</v>
      </c>
      <c r="F10" s="8">
        <v>85.192116537712678</v>
      </c>
      <c r="G10" s="8">
        <v>85.851031265395349</v>
      </c>
      <c r="H10" s="8">
        <v>86.509945993078034</v>
      </c>
      <c r="I10" s="8">
        <v>85.835730555446418</v>
      </c>
      <c r="J10" s="8">
        <v>85.161515117814815</v>
      </c>
      <c r="K10" s="8">
        <v>84.487299680183199</v>
      </c>
      <c r="L10" s="8">
        <v>83.813084242551597</v>
      </c>
      <c r="M10" s="8">
        <v>83.13886880491998</v>
      </c>
      <c r="N10" s="8">
        <v>82.655639968075448</v>
      </c>
      <c r="O10" s="8">
        <v>82.172411131230902</v>
      </c>
      <c r="P10" s="8">
        <v>81.68918229438637</v>
      </c>
      <c r="Q10" s="8">
        <v>81.205953457541824</v>
      </c>
      <c r="R10" s="8">
        <v>80.722724620697292</v>
      </c>
      <c r="S10" s="8">
        <v>79.172631807602173</v>
      </c>
      <c r="T10" s="8">
        <v>77.622538994507053</v>
      </c>
      <c r="U10" s="8">
        <v>76.072446181411948</v>
      </c>
      <c r="V10" s="8">
        <v>74.522353368316828</v>
      </c>
      <c r="W10" s="8">
        <v>72.972260555221709</v>
      </c>
      <c r="X10" s="8">
        <v>70.143264174122976</v>
      </c>
      <c r="Y10" s="8">
        <v>67.314267793024229</v>
      </c>
      <c r="Z10" s="8">
        <v>64.485271411925495</v>
      </c>
      <c r="AA10" s="8">
        <v>61.656275030826762</v>
      </c>
      <c r="AB10" s="8">
        <v>58.827278649728022</v>
      </c>
      <c r="AC10" s="8">
        <v>54.857124515687588</v>
      </c>
      <c r="AD10" s="8">
        <v>50.886970381647146</v>
      </c>
      <c r="AE10" s="8">
        <v>46.916816247606711</v>
      </c>
      <c r="AF10" s="8">
        <v>42.946662113566276</v>
      </c>
      <c r="AG10" s="8">
        <v>38.976507979525834</v>
      </c>
      <c r="AH10" s="8">
        <v>34.836595108032625</v>
      </c>
      <c r="AI10" s="8">
        <v>30.696682236539413</v>
      </c>
      <c r="AJ10" s="8">
        <v>26.5567693650462</v>
      </c>
      <c r="AK10" s="8">
        <v>22.416856493552991</v>
      </c>
      <c r="AL10" s="8">
        <v>18.276943622059783</v>
      </c>
      <c r="AM10" s="8">
        <v>11.639904486374755</v>
      </c>
      <c r="AN10" s="8">
        <v>5.0028653506897278</v>
      </c>
      <c r="AO10" s="8">
        <v>-1.6341737849952978</v>
      </c>
      <c r="AP10" s="8">
        <v>-8.2712129206803269</v>
      </c>
      <c r="AQ10" s="8">
        <v>-14.908252056365354</v>
      </c>
      <c r="AR10" s="8">
        <v>-19.119554438793649</v>
      </c>
      <c r="AS10" s="8">
        <v>-23.330856821221943</v>
      </c>
      <c r="AT10" s="8">
        <v>-27.54215920365024</v>
      </c>
      <c r="AU10" s="8">
        <v>-31.753461586078537</v>
      </c>
      <c r="AV10" s="8">
        <v>-35.96476396850683</v>
      </c>
      <c r="AW10" s="8">
        <v>-36.295446765176116</v>
      </c>
      <c r="AX10" s="8">
        <v>-36.626129561845396</v>
      </c>
      <c r="AY10" s="8">
        <v>-36.956812358514682</v>
      </c>
      <c r="AZ10" s="8">
        <v>-37.287495155183962</v>
      </c>
      <c r="BA10" s="8">
        <v>-37.618177951853248</v>
      </c>
      <c r="BB10" s="102" t="s">
        <v>3</v>
      </c>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row>
    <row r="11" spans="1:80" x14ac:dyDescent="0.2">
      <c r="A11" s="7"/>
      <c r="B11" s="101" t="s">
        <v>170</v>
      </c>
      <c r="C11" s="8">
        <v>19.679233400000001</v>
      </c>
      <c r="D11" s="8">
        <v>19.729991200000001</v>
      </c>
      <c r="E11" s="8">
        <v>19.780749</v>
      </c>
      <c r="F11" s="8">
        <v>19.8315068</v>
      </c>
      <c r="G11" s="8">
        <v>19.882264599999999</v>
      </c>
      <c r="H11" s="8">
        <v>19.933022399999999</v>
      </c>
      <c r="I11" s="8">
        <v>20.462316339999997</v>
      </c>
      <c r="J11" s="8">
        <v>20.99161028</v>
      </c>
      <c r="K11" s="8">
        <v>21.520904219999998</v>
      </c>
      <c r="L11" s="8">
        <v>22.050198160000001</v>
      </c>
      <c r="M11" s="8">
        <v>22.5794921</v>
      </c>
      <c r="N11" s="8">
        <v>22.473805299999999</v>
      </c>
      <c r="O11" s="8">
        <v>22.368118499999998</v>
      </c>
      <c r="P11" s="8">
        <v>22.2624317</v>
      </c>
      <c r="Q11" s="8">
        <v>22.1567449</v>
      </c>
      <c r="R11" s="8">
        <v>22.051058099999999</v>
      </c>
      <c r="S11" s="8">
        <v>21.842801179999999</v>
      </c>
      <c r="T11" s="8">
        <v>21.634544259999998</v>
      </c>
      <c r="U11" s="8">
        <v>21.426287340000002</v>
      </c>
      <c r="V11" s="8">
        <v>21.218030420000002</v>
      </c>
      <c r="W11" s="8">
        <v>21.009773500000001</v>
      </c>
      <c r="X11" s="8">
        <v>20.30665226</v>
      </c>
      <c r="Y11" s="8">
        <v>19.603531020000002</v>
      </c>
      <c r="Z11" s="8">
        <v>18.90040978</v>
      </c>
      <c r="AA11" s="8">
        <v>18.197288540000002</v>
      </c>
      <c r="AB11" s="8">
        <v>17.494167300000001</v>
      </c>
      <c r="AC11" s="8">
        <v>16.450506539999999</v>
      </c>
      <c r="AD11" s="8">
        <v>15.406845780000001</v>
      </c>
      <c r="AE11" s="8">
        <v>14.36318502</v>
      </c>
      <c r="AF11" s="8">
        <v>13.31952426</v>
      </c>
      <c r="AG11" s="8">
        <v>12.2758635</v>
      </c>
      <c r="AH11" s="8">
        <v>11.184321934</v>
      </c>
      <c r="AI11" s="8">
        <v>10.092780368</v>
      </c>
      <c r="AJ11" s="8">
        <v>9.0012388019999996</v>
      </c>
      <c r="AK11" s="8">
        <v>7.9096972360000004</v>
      </c>
      <c r="AL11" s="8">
        <v>6.8181556700000003</v>
      </c>
      <c r="AM11" s="8">
        <v>5.1140635440000004</v>
      </c>
      <c r="AN11" s="8">
        <v>3.409971418</v>
      </c>
      <c r="AO11" s="8">
        <v>1.7058792919999997</v>
      </c>
      <c r="AP11" s="8">
        <v>1.7871659999997291E-3</v>
      </c>
      <c r="AQ11" s="8">
        <v>-1.70230496</v>
      </c>
      <c r="AR11" s="8">
        <v>-2.8027490039999998</v>
      </c>
      <c r="AS11" s="8">
        <v>-3.9031930480000003</v>
      </c>
      <c r="AT11" s="8">
        <v>-5.003637092</v>
      </c>
      <c r="AU11" s="8">
        <v>-6.1040811360000005</v>
      </c>
      <c r="AV11" s="8">
        <v>-7.2045251800000001</v>
      </c>
      <c r="AW11" s="8">
        <v>-7.547664084</v>
      </c>
      <c r="AX11" s="8">
        <v>-7.8908029879999999</v>
      </c>
      <c r="AY11" s="8">
        <v>-8.2339418920000007</v>
      </c>
      <c r="AZ11" s="8">
        <v>-8.5770807960000006</v>
      </c>
      <c r="BA11" s="8">
        <v>-8.9202197000000005</v>
      </c>
      <c r="BB11" s="102" t="s">
        <v>3</v>
      </c>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row>
    <row r="12" spans="1:80" x14ac:dyDescent="0.2">
      <c r="A12" s="7"/>
      <c r="B12" s="101" t="s">
        <v>171</v>
      </c>
      <c r="C12" s="8">
        <v>63.536138999999999</v>
      </c>
      <c r="D12" s="8">
        <v>64.146387799999999</v>
      </c>
      <c r="E12" s="8">
        <v>64.756636600000007</v>
      </c>
      <c r="F12" s="8">
        <v>65.366885400000001</v>
      </c>
      <c r="G12" s="8">
        <v>65.977134199999995</v>
      </c>
      <c r="H12" s="8">
        <v>66.587383000000003</v>
      </c>
      <c r="I12" s="8">
        <v>65.454266140000001</v>
      </c>
      <c r="J12" s="8">
        <v>64.32114928</v>
      </c>
      <c r="K12" s="8">
        <v>63.188032419999999</v>
      </c>
      <c r="L12" s="8">
        <v>62.054915559999998</v>
      </c>
      <c r="M12" s="8">
        <v>60.921798699999997</v>
      </c>
      <c r="N12" s="8">
        <v>60.190014379999994</v>
      </c>
      <c r="O12" s="8">
        <v>59.458230059999998</v>
      </c>
      <c r="P12" s="8">
        <v>58.726445739999996</v>
      </c>
      <c r="Q12" s="8">
        <v>57.99466142</v>
      </c>
      <c r="R12" s="8">
        <v>57.262877099999997</v>
      </c>
      <c r="S12" s="8">
        <v>55.750016079999995</v>
      </c>
      <c r="T12" s="8">
        <v>54.237155059999999</v>
      </c>
      <c r="U12" s="8">
        <v>52.724294039999997</v>
      </c>
      <c r="V12" s="8">
        <v>51.211433020000001</v>
      </c>
      <c r="W12" s="8">
        <v>49.698571999999999</v>
      </c>
      <c r="X12" s="8">
        <v>47.599120939999999</v>
      </c>
      <c r="Y12" s="8">
        <v>45.499669879999999</v>
      </c>
      <c r="Z12" s="8">
        <v>43.400218819999999</v>
      </c>
      <c r="AA12" s="8">
        <v>41.300767759999999</v>
      </c>
      <c r="AB12" s="8">
        <v>39.2013167</v>
      </c>
      <c r="AC12" s="8">
        <v>36.348490640000001</v>
      </c>
      <c r="AD12" s="8">
        <v>33.495664580000003</v>
      </c>
      <c r="AE12" s="8">
        <v>30.642838520000002</v>
      </c>
      <c r="AF12" s="8">
        <v>27.79001246</v>
      </c>
      <c r="AG12" s="8">
        <v>24.937186400000002</v>
      </c>
      <c r="AH12" s="8">
        <v>22.4551102</v>
      </c>
      <c r="AI12" s="8">
        <v>19.973034000000002</v>
      </c>
      <c r="AJ12" s="8">
        <v>17.4909578</v>
      </c>
      <c r="AK12" s="8">
        <v>15.0088816</v>
      </c>
      <c r="AL12" s="8">
        <v>12.526805400000001</v>
      </c>
      <c r="AM12" s="8">
        <v>8.5128277200000007</v>
      </c>
      <c r="AN12" s="8">
        <v>4.4988500400000007</v>
      </c>
      <c r="AO12" s="8">
        <v>0.48487236000000067</v>
      </c>
      <c r="AP12" s="8">
        <v>-3.5291053199999993</v>
      </c>
      <c r="AQ12" s="8">
        <v>-7.5430830000000002</v>
      </c>
      <c r="AR12" s="8">
        <v>-10.8048862</v>
      </c>
      <c r="AS12" s="8">
        <v>-14.066689400000001</v>
      </c>
      <c r="AT12" s="8">
        <v>-17.328492600000001</v>
      </c>
      <c r="AU12" s="8">
        <v>-20.5902958</v>
      </c>
      <c r="AV12" s="8">
        <v>-23.852098999999999</v>
      </c>
      <c r="AW12" s="8">
        <v>-25.298028179999999</v>
      </c>
      <c r="AX12" s="8">
        <v>-26.74395736</v>
      </c>
      <c r="AY12" s="8">
        <v>-28.18988654</v>
      </c>
      <c r="AZ12" s="8">
        <v>-29.63581572</v>
      </c>
      <c r="BA12" s="8">
        <v>-31.0817449</v>
      </c>
      <c r="BB12" s="102" t="s">
        <v>3</v>
      </c>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row>
    <row r="13" spans="1:80" x14ac:dyDescent="0.2">
      <c r="A13" s="7"/>
      <c r="B13" s="101" t="s">
        <v>107</v>
      </c>
      <c r="C13" s="8">
        <v>892.29555922784198</v>
      </c>
      <c r="D13" s="8">
        <v>910.75536873509122</v>
      </c>
      <c r="E13" s="8">
        <v>929.21517824234036</v>
      </c>
      <c r="F13" s="8">
        <v>947.6749877495896</v>
      </c>
      <c r="G13" s="8">
        <v>966.13479725683874</v>
      </c>
      <c r="H13" s="8">
        <v>984.59460676408798</v>
      </c>
      <c r="I13" s="8">
        <v>981.47927965009683</v>
      </c>
      <c r="J13" s="8">
        <v>978.36395253610567</v>
      </c>
      <c r="K13" s="8">
        <v>975.24862542211463</v>
      </c>
      <c r="L13" s="8">
        <v>972.13329830812347</v>
      </c>
      <c r="M13" s="8">
        <v>969.01797119413231</v>
      </c>
      <c r="N13" s="8">
        <v>956.7060655676496</v>
      </c>
      <c r="O13" s="8">
        <v>944.39415994116689</v>
      </c>
      <c r="P13" s="8">
        <v>932.08225431468418</v>
      </c>
      <c r="Q13" s="8">
        <v>919.77034868820147</v>
      </c>
      <c r="R13" s="8">
        <v>907.45844306171875</v>
      </c>
      <c r="S13" s="8">
        <v>885.84013104270525</v>
      </c>
      <c r="T13" s="8">
        <v>864.22181902369186</v>
      </c>
      <c r="U13" s="8">
        <v>842.60350700467836</v>
      </c>
      <c r="V13" s="8">
        <v>820.98519498566498</v>
      </c>
      <c r="W13" s="8">
        <v>799.36688296665147</v>
      </c>
      <c r="X13" s="8">
        <v>781.85903783807737</v>
      </c>
      <c r="Y13" s="8">
        <v>764.35119270950338</v>
      </c>
      <c r="Z13" s="8">
        <v>746.84334758092928</v>
      </c>
      <c r="AA13" s="8">
        <v>729.33550245235529</v>
      </c>
      <c r="AB13" s="8">
        <v>711.82765732378118</v>
      </c>
      <c r="AC13" s="8">
        <v>694.78511141185095</v>
      </c>
      <c r="AD13" s="8">
        <v>677.74256549992072</v>
      </c>
      <c r="AE13" s="8">
        <v>660.70001958799037</v>
      </c>
      <c r="AF13" s="8">
        <v>643.65747367606014</v>
      </c>
      <c r="AG13" s="8">
        <v>626.6149277641299</v>
      </c>
      <c r="AH13" s="8">
        <v>605.88943322138721</v>
      </c>
      <c r="AI13" s="8">
        <v>585.16393867864451</v>
      </c>
      <c r="AJ13" s="8">
        <v>564.43844413590193</v>
      </c>
      <c r="AK13" s="8">
        <v>543.71294959315924</v>
      </c>
      <c r="AL13" s="8">
        <v>522.98745505041654</v>
      </c>
      <c r="AM13" s="8">
        <v>506.04270668391308</v>
      </c>
      <c r="AN13" s="8">
        <v>489.09795831740962</v>
      </c>
      <c r="AO13" s="8">
        <v>472.15320995090622</v>
      </c>
      <c r="AP13" s="8">
        <v>455.20846158440276</v>
      </c>
      <c r="AQ13" s="8">
        <v>438.26371321789929</v>
      </c>
      <c r="AR13" s="8">
        <v>422.12769736091292</v>
      </c>
      <c r="AS13" s="8">
        <v>405.99168150392654</v>
      </c>
      <c r="AT13" s="8">
        <v>389.85566564694017</v>
      </c>
      <c r="AU13" s="8">
        <v>373.71964978995379</v>
      </c>
      <c r="AV13" s="8">
        <v>357.58363393296742</v>
      </c>
      <c r="AW13" s="8">
        <v>347.51736058005156</v>
      </c>
      <c r="AX13" s="8">
        <v>337.4510872271357</v>
      </c>
      <c r="AY13" s="8">
        <v>327.38481387421984</v>
      </c>
      <c r="AZ13" s="8">
        <v>317.31854052130399</v>
      </c>
      <c r="BA13" s="8">
        <v>307.25226716838813</v>
      </c>
      <c r="BB13" s="102" t="s">
        <v>3</v>
      </c>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row>
    <row r="14" spans="1:80" x14ac:dyDescent="0.2">
      <c r="A14" s="7"/>
      <c r="B14" s="101" t="s">
        <v>8</v>
      </c>
      <c r="C14" s="8">
        <v>3448.2944786092767</v>
      </c>
      <c r="D14" s="8">
        <v>3548.6760339856446</v>
      </c>
      <c r="E14" s="8">
        <v>3649.0575893620125</v>
      </c>
      <c r="F14" s="8">
        <v>3749.4391447383805</v>
      </c>
      <c r="G14" s="8">
        <v>3849.820700114748</v>
      </c>
      <c r="H14" s="8">
        <v>3950.2022554911159</v>
      </c>
      <c r="I14" s="8">
        <v>3973.3521335714058</v>
      </c>
      <c r="J14" s="8">
        <v>3996.5020116516957</v>
      </c>
      <c r="K14" s="8">
        <v>4019.6518897319856</v>
      </c>
      <c r="L14" s="8">
        <v>4042.8017678122756</v>
      </c>
      <c r="M14" s="8">
        <v>4065.9516458925655</v>
      </c>
      <c r="N14" s="8">
        <v>4064.0614999190993</v>
      </c>
      <c r="O14" s="8">
        <v>4062.1713539456327</v>
      </c>
      <c r="P14" s="8">
        <v>4060.2812079721666</v>
      </c>
      <c r="Q14" s="8">
        <v>4058.3910619987</v>
      </c>
      <c r="R14" s="8">
        <v>4056.5009160252339</v>
      </c>
      <c r="S14" s="8">
        <v>4028.966664122393</v>
      </c>
      <c r="T14" s="8">
        <v>4001.4324122195526</v>
      </c>
      <c r="U14" s="8">
        <v>3973.8981603167117</v>
      </c>
      <c r="V14" s="8">
        <v>3946.3639084138713</v>
      </c>
      <c r="W14" s="8">
        <v>3918.8296565110304</v>
      </c>
      <c r="X14" s="8">
        <v>3852.2979376446156</v>
      </c>
      <c r="Y14" s="8">
        <v>3785.7662187782007</v>
      </c>
      <c r="Z14" s="8">
        <v>3719.2344999117859</v>
      </c>
      <c r="AA14" s="8">
        <v>3652.702781045371</v>
      </c>
      <c r="AB14" s="8">
        <v>3586.1710621789562</v>
      </c>
      <c r="AC14" s="8">
        <v>3482.5686658029877</v>
      </c>
      <c r="AD14" s="8">
        <v>3378.9662694270196</v>
      </c>
      <c r="AE14" s="8">
        <v>3275.3638730510511</v>
      </c>
      <c r="AF14" s="8">
        <v>3171.761476675083</v>
      </c>
      <c r="AG14" s="8">
        <v>3068.1590802991145</v>
      </c>
      <c r="AH14" s="8">
        <v>2962.8258635728894</v>
      </c>
      <c r="AI14" s="8">
        <v>2857.4926468466642</v>
      </c>
      <c r="AJ14" s="8">
        <v>2752.1594301204391</v>
      </c>
      <c r="AK14" s="8">
        <v>2646.8262133942139</v>
      </c>
      <c r="AL14" s="8">
        <v>2541.4929966679888</v>
      </c>
      <c r="AM14" s="8">
        <v>2439.465191148759</v>
      </c>
      <c r="AN14" s="8">
        <v>2337.4373856295292</v>
      </c>
      <c r="AO14" s="8">
        <v>2235.4095801102994</v>
      </c>
      <c r="AP14" s="8">
        <v>2133.3817745910696</v>
      </c>
      <c r="AQ14" s="8">
        <v>2031.3539690718401</v>
      </c>
      <c r="AR14" s="8">
        <v>1920.8534943329234</v>
      </c>
      <c r="AS14" s="8">
        <v>1810.3530195940068</v>
      </c>
      <c r="AT14" s="8">
        <v>1699.8525448550899</v>
      </c>
      <c r="AU14" s="8">
        <v>1589.3520701161733</v>
      </c>
      <c r="AV14" s="8">
        <v>1478.8515953772567</v>
      </c>
      <c r="AW14" s="8">
        <v>1412.796308589164</v>
      </c>
      <c r="AX14" s="8">
        <v>1346.7410218010714</v>
      </c>
      <c r="AY14" s="8">
        <v>1280.685735012979</v>
      </c>
      <c r="AZ14" s="8">
        <v>1214.6304482248863</v>
      </c>
      <c r="BA14" s="8">
        <v>1148.5751614367937</v>
      </c>
      <c r="BB14" s="102" t="s">
        <v>3</v>
      </c>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row>
    <row r="15" spans="1:80" x14ac:dyDescent="0.2">
      <c r="A15" s="7"/>
      <c r="B15" s="101" t="s">
        <v>181</v>
      </c>
      <c r="C15" s="8">
        <v>1.1674112120437488</v>
      </c>
      <c r="D15" s="8">
        <v>1.2545842986933355</v>
      </c>
      <c r="E15" s="8">
        <v>1.3417573853429221</v>
      </c>
      <c r="F15" s="8">
        <v>1.4289304719925089</v>
      </c>
      <c r="G15" s="8">
        <v>1.5161035586420955</v>
      </c>
      <c r="H15" s="8">
        <v>1.6032766452916822</v>
      </c>
      <c r="I15" s="8">
        <v>1.5464017887414732</v>
      </c>
      <c r="J15" s="8">
        <v>1.4895269321912641</v>
      </c>
      <c r="K15" s="8">
        <v>1.4326520756410548</v>
      </c>
      <c r="L15" s="8">
        <v>1.3757772190908457</v>
      </c>
      <c r="M15" s="8">
        <v>1.3189023625406366</v>
      </c>
      <c r="N15" s="8">
        <v>1.2735667670009685</v>
      </c>
      <c r="O15" s="8">
        <v>1.2282311714613006</v>
      </c>
      <c r="P15" s="8">
        <v>1.1828955759216324</v>
      </c>
      <c r="Q15" s="8">
        <v>1.1375599803819645</v>
      </c>
      <c r="R15" s="8">
        <v>1.0922243848422963</v>
      </c>
      <c r="S15" s="8">
        <v>1.0464856556585953</v>
      </c>
      <c r="T15" s="8">
        <v>1.0007469264748945</v>
      </c>
      <c r="U15" s="8">
        <v>0.95500819729119346</v>
      </c>
      <c r="V15" s="8">
        <v>0.90926946810749254</v>
      </c>
      <c r="W15" s="8">
        <v>0.86353073892379162</v>
      </c>
      <c r="X15" s="8">
        <v>0.80227241445139585</v>
      </c>
      <c r="Y15" s="8">
        <v>0.74101408997900009</v>
      </c>
      <c r="Z15" s="8">
        <v>0.67975576550660421</v>
      </c>
      <c r="AA15" s="8">
        <v>0.61849744103420845</v>
      </c>
      <c r="AB15" s="8">
        <v>0.55723911656181269</v>
      </c>
      <c r="AC15" s="8">
        <v>0.44828286671577877</v>
      </c>
      <c r="AD15" s="8">
        <v>0.3393266168697448</v>
      </c>
      <c r="AE15" s="8">
        <v>0.23037036702371083</v>
      </c>
      <c r="AF15" s="8">
        <v>0.12141411717767692</v>
      </c>
      <c r="AG15" s="8">
        <v>1.245786733164298E-2</v>
      </c>
      <c r="AH15" s="8">
        <v>1.0075118416965803E-2</v>
      </c>
      <c r="AI15" s="8">
        <v>7.6923695022886266E-3</v>
      </c>
      <c r="AJ15" s="8">
        <v>5.3096205876114501E-3</v>
      </c>
      <c r="AK15" s="8">
        <v>2.9268716729342736E-3</v>
      </c>
      <c r="AL15" s="8">
        <v>5.441227582570964E-4</v>
      </c>
      <c r="AM15" s="8">
        <v>5.2301898694125505E-4</v>
      </c>
      <c r="AN15" s="8">
        <v>5.0191521562541381E-4</v>
      </c>
      <c r="AO15" s="8">
        <v>4.8081144430957247E-4</v>
      </c>
      <c r="AP15" s="8">
        <v>4.5970767299373112E-4</v>
      </c>
      <c r="AQ15" s="8">
        <v>4.3860390167788983E-4</v>
      </c>
      <c r="AR15" s="8">
        <v>4.163778041794922E-4</v>
      </c>
      <c r="AS15" s="8">
        <v>3.9415170668109458E-4</v>
      </c>
      <c r="AT15" s="8">
        <v>3.7192560918269696E-4</v>
      </c>
      <c r="AU15" s="8">
        <v>3.4969951168429934E-4</v>
      </c>
      <c r="AV15" s="8">
        <v>3.2747341418590172E-4</v>
      </c>
      <c r="AW15" s="8">
        <v>3.1357772024235772E-4</v>
      </c>
      <c r="AX15" s="8">
        <v>2.9968202629881378E-4</v>
      </c>
      <c r="AY15" s="8">
        <v>2.8578633235526977E-4</v>
      </c>
      <c r="AZ15" s="8">
        <v>2.7189063841172583E-4</v>
      </c>
      <c r="BA15" s="8">
        <v>2.5799494446818183E-4</v>
      </c>
      <c r="BB15" s="102" t="s">
        <v>3</v>
      </c>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row>
    <row r="16" spans="1:80" x14ac:dyDescent="0.2">
      <c r="A16" s="7"/>
      <c r="B16" s="101" t="s">
        <v>172</v>
      </c>
      <c r="C16" s="8">
        <v>592.91338891081159</v>
      </c>
      <c r="D16" s="8">
        <v>598.88853739411547</v>
      </c>
      <c r="E16" s="8">
        <v>604.86368587741936</v>
      </c>
      <c r="F16" s="8">
        <v>610.83883436072335</v>
      </c>
      <c r="G16" s="8">
        <v>616.81398284402724</v>
      </c>
      <c r="H16" s="8">
        <v>622.78913132733112</v>
      </c>
      <c r="I16" s="8">
        <v>612.37187828866763</v>
      </c>
      <c r="J16" s="8">
        <v>601.95462525000414</v>
      </c>
      <c r="K16" s="8">
        <v>591.53737221134065</v>
      </c>
      <c r="L16" s="8">
        <v>581.12011917267716</v>
      </c>
      <c r="M16" s="8">
        <v>570.70286613401368</v>
      </c>
      <c r="N16" s="8">
        <v>565.73720931075707</v>
      </c>
      <c r="O16" s="8">
        <v>560.77155248750034</v>
      </c>
      <c r="P16" s="8">
        <v>555.80589566424374</v>
      </c>
      <c r="Q16" s="8">
        <v>550.84023884098701</v>
      </c>
      <c r="R16" s="8">
        <v>545.8745820177304</v>
      </c>
      <c r="S16" s="8">
        <v>542.94163890355139</v>
      </c>
      <c r="T16" s="8">
        <v>540.00869578937238</v>
      </c>
      <c r="U16" s="8">
        <v>537.07575267519337</v>
      </c>
      <c r="V16" s="8">
        <v>534.14280956101436</v>
      </c>
      <c r="W16" s="8">
        <v>531.20986644683535</v>
      </c>
      <c r="X16" s="8">
        <v>522.93508942409017</v>
      </c>
      <c r="Y16" s="8">
        <v>514.66031240134498</v>
      </c>
      <c r="Z16" s="8">
        <v>506.38553537859985</v>
      </c>
      <c r="AA16" s="8">
        <v>498.11075835585473</v>
      </c>
      <c r="AB16" s="8">
        <v>489.83598133310954</v>
      </c>
      <c r="AC16" s="8">
        <v>478.61559913062479</v>
      </c>
      <c r="AD16" s="8">
        <v>467.39521692813997</v>
      </c>
      <c r="AE16" s="8">
        <v>456.17483472565522</v>
      </c>
      <c r="AF16" s="8">
        <v>444.9544525231704</v>
      </c>
      <c r="AG16" s="8">
        <v>433.73407032068565</v>
      </c>
      <c r="AH16" s="8">
        <v>422.38188335861781</v>
      </c>
      <c r="AI16" s="8">
        <v>411.02969639654998</v>
      </c>
      <c r="AJ16" s="8">
        <v>399.67750943448215</v>
      </c>
      <c r="AK16" s="8">
        <v>388.32532247241431</v>
      </c>
      <c r="AL16" s="8">
        <v>376.97313551034648</v>
      </c>
      <c r="AM16" s="8">
        <v>366.40679672833966</v>
      </c>
      <c r="AN16" s="8">
        <v>355.84045794633283</v>
      </c>
      <c r="AO16" s="8">
        <v>345.27411916432601</v>
      </c>
      <c r="AP16" s="8">
        <v>334.70778038231919</v>
      </c>
      <c r="AQ16" s="8">
        <v>324.14144160031236</v>
      </c>
      <c r="AR16" s="8">
        <v>311.1684765190879</v>
      </c>
      <c r="AS16" s="8">
        <v>298.1955114378635</v>
      </c>
      <c r="AT16" s="8">
        <v>285.22254635663904</v>
      </c>
      <c r="AU16" s="8">
        <v>272.24958127541464</v>
      </c>
      <c r="AV16" s="8">
        <v>259.27661619419018</v>
      </c>
      <c r="AW16" s="8">
        <v>250.19856646957646</v>
      </c>
      <c r="AX16" s="8">
        <v>241.12051674496274</v>
      </c>
      <c r="AY16" s="8">
        <v>232.04246702034902</v>
      </c>
      <c r="AZ16" s="8">
        <v>222.9644172957353</v>
      </c>
      <c r="BA16" s="8">
        <v>213.88636757112158</v>
      </c>
      <c r="BB16" s="102" t="s">
        <v>3</v>
      </c>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row>
    <row r="17" spans="1:80" x14ac:dyDescent="0.2">
      <c r="A17" s="7"/>
      <c r="B17" s="101" t="s">
        <v>180</v>
      </c>
      <c r="C17" s="8">
        <v>687.90351643618999</v>
      </c>
      <c r="D17" s="8">
        <v>725.97625486528796</v>
      </c>
      <c r="E17" s="8">
        <v>764.04899329438592</v>
      </c>
      <c r="F17" s="8">
        <v>802.12173172348389</v>
      </c>
      <c r="G17" s="8">
        <v>840.19447015258174</v>
      </c>
      <c r="H17" s="8">
        <v>878.26720858167971</v>
      </c>
      <c r="I17" s="8">
        <v>868.02960548302246</v>
      </c>
      <c r="J17" s="8">
        <v>857.79200238436522</v>
      </c>
      <c r="K17" s="8">
        <v>847.55439928570797</v>
      </c>
      <c r="L17" s="8">
        <v>837.31679618705073</v>
      </c>
      <c r="M17" s="8">
        <v>827.07919308839348</v>
      </c>
      <c r="N17" s="8">
        <v>818.15540659288956</v>
      </c>
      <c r="O17" s="8">
        <v>809.23162009738564</v>
      </c>
      <c r="P17" s="8">
        <v>800.30783360188184</v>
      </c>
      <c r="Q17" s="8">
        <v>791.38404710637792</v>
      </c>
      <c r="R17" s="8">
        <v>782.460260610874</v>
      </c>
      <c r="S17" s="8">
        <v>778.98030728875017</v>
      </c>
      <c r="T17" s="8">
        <v>775.50035396662622</v>
      </c>
      <c r="U17" s="8">
        <v>772.02040064450239</v>
      </c>
      <c r="V17" s="8">
        <v>768.54044732237844</v>
      </c>
      <c r="W17" s="8">
        <v>765.06049400025461</v>
      </c>
      <c r="X17" s="8">
        <v>750.65768261101539</v>
      </c>
      <c r="Y17" s="8">
        <v>736.25487122177606</v>
      </c>
      <c r="Z17" s="8">
        <v>721.85205983253684</v>
      </c>
      <c r="AA17" s="8">
        <v>707.44924844329751</v>
      </c>
      <c r="AB17" s="8">
        <v>693.04643705405829</v>
      </c>
      <c r="AC17" s="8">
        <v>670.69780545845458</v>
      </c>
      <c r="AD17" s="8">
        <v>648.34917386285088</v>
      </c>
      <c r="AE17" s="8">
        <v>626.00054226724728</v>
      </c>
      <c r="AF17" s="8">
        <v>603.65191067164358</v>
      </c>
      <c r="AG17" s="8">
        <v>581.30327907603987</v>
      </c>
      <c r="AH17" s="8">
        <v>557.69514180571673</v>
      </c>
      <c r="AI17" s="8">
        <v>534.08700453539359</v>
      </c>
      <c r="AJ17" s="8">
        <v>510.47886726507045</v>
      </c>
      <c r="AK17" s="8">
        <v>486.87072999474725</v>
      </c>
      <c r="AL17" s="8">
        <v>463.26259272442411</v>
      </c>
      <c r="AM17" s="8">
        <v>442.05308268764895</v>
      </c>
      <c r="AN17" s="8">
        <v>420.84357265087385</v>
      </c>
      <c r="AO17" s="8">
        <v>399.6340626140987</v>
      </c>
      <c r="AP17" s="8">
        <v>378.42455257732354</v>
      </c>
      <c r="AQ17" s="8">
        <v>357.21504254054844</v>
      </c>
      <c r="AR17" s="8">
        <v>336.14090130159343</v>
      </c>
      <c r="AS17" s="8">
        <v>315.06676006263837</v>
      </c>
      <c r="AT17" s="8">
        <v>293.99261882368336</v>
      </c>
      <c r="AU17" s="8">
        <v>272.91847758472829</v>
      </c>
      <c r="AV17" s="8">
        <v>251.84433634577329</v>
      </c>
      <c r="AW17" s="8">
        <v>238.45096548812927</v>
      </c>
      <c r="AX17" s="8">
        <v>225.05759463048526</v>
      </c>
      <c r="AY17" s="8">
        <v>211.66422377284124</v>
      </c>
      <c r="AZ17" s="8">
        <v>198.27085291519725</v>
      </c>
      <c r="BA17" s="8">
        <v>184.87748205755324</v>
      </c>
      <c r="BB17" s="102" t="s">
        <v>3</v>
      </c>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row>
    <row r="18" spans="1:80" x14ac:dyDescent="0.2">
      <c r="B18" s="101" t="s">
        <v>179</v>
      </c>
      <c r="C18" s="8">
        <v>1080.3947938245033</v>
      </c>
      <c r="D18" s="8">
        <v>1135.5705214193304</v>
      </c>
      <c r="E18" s="8">
        <v>1190.7462490141572</v>
      </c>
      <c r="F18" s="8">
        <v>1245.9219766089843</v>
      </c>
      <c r="G18" s="8">
        <v>1301.0977042038112</v>
      </c>
      <c r="H18" s="8">
        <v>1356.2734317986383</v>
      </c>
      <c r="I18" s="8">
        <v>1390.0961834626403</v>
      </c>
      <c r="J18" s="8">
        <v>1423.9189351266423</v>
      </c>
      <c r="K18" s="8">
        <v>1457.7416867906445</v>
      </c>
      <c r="L18" s="8">
        <v>1491.5644384546465</v>
      </c>
      <c r="M18" s="8">
        <v>1525.3871901186485</v>
      </c>
      <c r="N18" s="8">
        <v>1539.2132918031775</v>
      </c>
      <c r="O18" s="8">
        <v>1553.0393934877068</v>
      </c>
      <c r="P18" s="8">
        <v>1566.8654951722358</v>
      </c>
      <c r="Q18" s="8">
        <v>1580.691596856765</v>
      </c>
      <c r="R18" s="8">
        <v>1594.5176985412941</v>
      </c>
      <c r="S18" s="8">
        <v>1585.6877585875584</v>
      </c>
      <c r="T18" s="8">
        <v>1576.8578186338227</v>
      </c>
      <c r="U18" s="8">
        <v>1568.0278786800873</v>
      </c>
      <c r="V18" s="8">
        <v>1559.1979387263516</v>
      </c>
      <c r="W18" s="8">
        <v>1550.3679987726159</v>
      </c>
      <c r="X18" s="8">
        <v>1520.7371037418065</v>
      </c>
      <c r="Y18" s="8">
        <v>1491.1062087109972</v>
      </c>
      <c r="Z18" s="8">
        <v>1461.475313680188</v>
      </c>
      <c r="AA18" s="8">
        <v>1431.8444186493787</v>
      </c>
      <c r="AB18" s="8">
        <v>1402.2135236185693</v>
      </c>
      <c r="AC18" s="8">
        <v>1359.0119811342042</v>
      </c>
      <c r="AD18" s="8">
        <v>1315.8104386498392</v>
      </c>
      <c r="AE18" s="8">
        <v>1272.6088961654741</v>
      </c>
      <c r="AF18" s="8">
        <v>1229.4073536811088</v>
      </c>
      <c r="AG18" s="8">
        <v>1186.2058111967438</v>
      </c>
      <c r="AH18" s="8">
        <v>1137.5810962800267</v>
      </c>
      <c r="AI18" s="8">
        <v>1088.9563813633097</v>
      </c>
      <c r="AJ18" s="8">
        <v>1040.3316664465926</v>
      </c>
      <c r="AK18" s="8">
        <v>991.7069515298756</v>
      </c>
      <c r="AL18" s="8">
        <v>943.08223661315856</v>
      </c>
      <c r="AM18" s="8">
        <v>891.84346903143285</v>
      </c>
      <c r="AN18" s="8">
        <v>840.60470144970714</v>
      </c>
      <c r="AO18" s="8">
        <v>789.36593386798131</v>
      </c>
      <c r="AP18" s="8">
        <v>738.1271662862556</v>
      </c>
      <c r="AQ18" s="8">
        <v>686.88839870452989</v>
      </c>
      <c r="AR18" s="8">
        <v>632.10748954947519</v>
      </c>
      <c r="AS18" s="8">
        <v>577.32658039442038</v>
      </c>
      <c r="AT18" s="8">
        <v>522.54567123936567</v>
      </c>
      <c r="AU18" s="8">
        <v>467.76476208431092</v>
      </c>
      <c r="AV18" s="8">
        <v>412.98385292925616</v>
      </c>
      <c r="AW18" s="8">
        <v>374.94096220529502</v>
      </c>
      <c r="AX18" s="8">
        <v>336.89807148133389</v>
      </c>
      <c r="AY18" s="8">
        <v>298.85518075737269</v>
      </c>
      <c r="AZ18" s="8">
        <v>260.81229003341156</v>
      </c>
      <c r="BA18" s="8">
        <v>222.76939930945042</v>
      </c>
      <c r="BB18" s="102" t="s">
        <v>3</v>
      </c>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row>
    <row r="19" spans="1:80" x14ac:dyDescent="0.2">
      <c r="B19" s="101" t="s">
        <v>137</v>
      </c>
      <c r="C19" s="8">
        <v>1768.2983102606934</v>
      </c>
      <c r="D19" s="8">
        <v>1861.5467762846183</v>
      </c>
      <c r="E19" s="8">
        <v>1954.795242308543</v>
      </c>
      <c r="F19" s="8">
        <v>2048.0437083324678</v>
      </c>
      <c r="G19" s="8">
        <v>2141.2921743563929</v>
      </c>
      <c r="H19" s="8">
        <v>2234.5406403803177</v>
      </c>
      <c r="I19" s="8">
        <v>2258.1257889456624</v>
      </c>
      <c r="J19" s="8">
        <v>2281.7109375110072</v>
      </c>
      <c r="K19" s="8">
        <v>2305.2960860763524</v>
      </c>
      <c r="L19" s="8">
        <v>2328.8812346416971</v>
      </c>
      <c r="M19" s="8">
        <v>2352.4663832070419</v>
      </c>
      <c r="N19" s="8">
        <v>2357.368698396067</v>
      </c>
      <c r="O19" s="8">
        <v>2362.2710135850921</v>
      </c>
      <c r="P19" s="8">
        <v>2367.1733287741176</v>
      </c>
      <c r="Q19" s="8">
        <v>2372.0756439631427</v>
      </c>
      <c r="R19" s="8">
        <v>2376.9779591521678</v>
      </c>
      <c r="S19" s="8">
        <v>2364.6680658763084</v>
      </c>
      <c r="T19" s="8">
        <v>2352.3581726004491</v>
      </c>
      <c r="U19" s="8">
        <v>2340.0482793245892</v>
      </c>
      <c r="V19" s="8">
        <v>2327.7383860487298</v>
      </c>
      <c r="W19" s="8">
        <v>2315.4284927728704</v>
      </c>
      <c r="X19" s="8">
        <v>2271.3947863528219</v>
      </c>
      <c r="Y19" s="8">
        <v>2227.3610799327735</v>
      </c>
      <c r="Z19" s="8">
        <v>2183.3273735127245</v>
      </c>
      <c r="AA19" s="8">
        <v>2139.2936670926761</v>
      </c>
      <c r="AB19" s="8">
        <v>2095.2599606726276</v>
      </c>
      <c r="AC19" s="8">
        <v>2029.7097865926587</v>
      </c>
      <c r="AD19" s="8">
        <v>1964.15961251269</v>
      </c>
      <c r="AE19" s="8">
        <v>1898.6094384327212</v>
      </c>
      <c r="AF19" s="8">
        <v>1833.0592643527525</v>
      </c>
      <c r="AG19" s="8">
        <v>1767.5090902727836</v>
      </c>
      <c r="AH19" s="8">
        <v>1695.2762380857434</v>
      </c>
      <c r="AI19" s="8">
        <v>1623.0433858987033</v>
      </c>
      <c r="AJ19" s="8">
        <v>1550.8105337116631</v>
      </c>
      <c r="AK19" s="8">
        <v>1478.5776815246227</v>
      </c>
      <c r="AL19" s="8">
        <v>1406.3448293375825</v>
      </c>
      <c r="AM19" s="8">
        <v>1333.8965517190818</v>
      </c>
      <c r="AN19" s="8">
        <v>1261.4482741005809</v>
      </c>
      <c r="AO19" s="8">
        <v>1188.9999964820802</v>
      </c>
      <c r="AP19" s="8">
        <v>1116.5517188635795</v>
      </c>
      <c r="AQ19" s="8">
        <v>1044.1034412450786</v>
      </c>
      <c r="AR19" s="8">
        <v>968.24839085106873</v>
      </c>
      <c r="AS19" s="8">
        <v>892.39334045705891</v>
      </c>
      <c r="AT19" s="8">
        <v>816.53829006304909</v>
      </c>
      <c r="AU19" s="8">
        <v>740.68323966903927</v>
      </c>
      <c r="AV19" s="8">
        <v>664.82818927502944</v>
      </c>
      <c r="AW19" s="8">
        <v>613.39192769342424</v>
      </c>
      <c r="AX19" s="8">
        <v>561.95566611181914</v>
      </c>
      <c r="AY19" s="8">
        <v>510.51940453021393</v>
      </c>
      <c r="AZ19" s="8">
        <v>459.08314294860878</v>
      </c>
      <c r="BA19" s="8">
        <v>407.64688136700363</v>
      </c>
      <c r="BB19" s="102" t="s">
        <v>3</v>
      </c>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row>
    <row r="20" spans="1:80" x14ac:dyDescent="0.2">
      <c r="B20" s="101" t="s">
        <v>173</v>
      </c>
      <c r="C20" s="8">
        <v>149.51127622810026</v>
      </c>
      <c r="D20" s="8">
        <v>150.11338293584348</v>
      </c>
      <c r="E20" s="8">
        <v>150.71548964358669</v>
      </c>
      <c r="F20" s="8">
        <v>151.31759635132994</v>
      </c>
      <c r="G20" s="8">
        <v>151.91970305907316</v>
      </c>
      <c r="H20" s="8">
        <v>152.52180976681638</v>
      </c>
      <c r="I20" s="8">
        <v>155.35872412770831</v>
      </c>
      <c r="J20" s="8">
        <v>158.19563848860028</v>
      </c>
      <c r="K20" s="8">
        <v>161.03255284949222</v>
      </c>
      <c r="L20" s="8">
        <v>163.86946721038419</v>
      </c>
      <c r="M20" s="8">
        <v>166.70638157127613</v>
      </c>
      <c r="N20" s="8">
        <v>165.27029475512924</v>
      </c>
      <c r="O20" s="8">
        <v>163.83420793898239</v>
      </c>
      <c r="P20" s="8">
        <v>162.39812112283551</v>
      </c>
      <c r="Q20" s="8">
        <v>160.96203430668865</v>
      </c>
      <c r="R20" s="8">
        <v>159.52594749054177</v>
      </c>
      <c r="S20" s="8">
        <v>155.15211271798012</v>
      </c>
      <c r="T20" s="8">
        <v>150.77827794541847</v>
      </c>
      <c r="U20" s="8">
        <v>146.40444317285682</v>
      </c>
      <c r="V20" s="8">
        <v>142.03060840029516</v>
      </c>
      <c r="W20" s="8">
        <v>137.65677362773351</v>
      </c>
      <c r="X20" s="8">
        <v>131.14146717433763</v>
      </c>
      <c r="Y20" s="8">
        <v>124.62616072094177</v>
      </c>
      <c r="Z20" s="8">
        <v>118.1108542675459</v>
      </c>
      <c r="AA20" s="8">
        <v>111.59554781415002</v>
      </c>
      <c r="AB20" s="8">
        <v>105.08024136075416</v>
      </c>
      <c r="AC20" s="8">
        <v>97.401078593175995</v>
      </c>
      <c r="AD20" s="8">
        <v>89.721915825597833</v>
      </c>
      <c r="AE20" s="8">
        <v>82.042753058019656</v>
      </c>
      <c r="AF20" s="8">
        <v>74.363590290441493</v>
      </c>
      <c r="AG20" s="8">
        <v>66.684427522863331</v>
      </c>
      <c r="AH20" s="8">
        <v>59.617038065616121</v>
      </c>
      <c r="AI20" s="8">
        <v>52.549648608368912</v>
      </c>
      <c r="AJ20" s="8">
        <v>45.482259151121703</v>
      </c>
      <c r="AK20" s="8">
        <v>38.414869693874493</v>
      </c>
      <c r="AL20" s="8">
        <v>31.347480236627284</v>
      </c>
      <c r="AM20" s="8">
        <v>24.896637954279282</v>
      </c>
      <c r="AN20" s="8">
        <v>18.445795671931279</v>
      </c>
      <c r="AO20" s="8">
        <v>11.99495338958328</v>
      </c>
      <c r="AP20" s="8">
        <v>5.5441111072352776</v>
      </c>
      <c r="AQ20" s="8">
        <v>-0.90673117511272494</v>
      </c>
      <c r="AR20" s="8">
        <v>-6.6083215569108216</v>
      </c>
      <c r="AS20" s="8">
        <v>-12.309911938708918</v>
      </c>
      <c r="AT20" s="8">
        <v>-18.011502320507013</v>
      </c>
      <c r="AU20" s="8">
        <v>-23.713092702305111</v>
      </c>
      <c r="AV20" s="8">
        <v>-29.414683084103206</v>
      </c>
      <c r="AW20" s="8">
        <v>-31.815631651134797</v>
      </c>
      <c r="AX20" s="8">
        <v>-34.216580218166392</v>
      </c>
      <c r="AY20" s="8">
        <v>-36.617528785197983</v>
      </c>
      <c r="AZ20" s="8">
        <v>-39.018477352229574</v>
      </c>
      <c r="BA20" s="8">
        <v>-41.419425919261165</v>
      </c>
      <c r="BB20" s="102" t="s">
        <v>3</v>
      </c>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row>
    <row r="21" spans="1:80" x14ac:dyDescent="0.2">
      <c r="B21" s="101" t="s">
        <v>174</v>
      </c>
      <c r="C21" s="8">
        <v>936.4040919976278</v>
      </c>
      <c r="D21" s="8">
        <v>936.87275307237417</v>
      </c>
      <c r="E21" s="8">
        <v>937.34141414712053</v>
      </c>
      <c r="F21" s="8">
        <v>937.81007522186678</v>
      </c>
      <c r="G21" s="8">
        <v>938.27873629661315</v>
      </c>
      <c r="H21" s="8">
        <v>938.74739737135951</v>
      </c>
      <c r="I21" s="8">
        <v>945.9493404206263</v>
      </c>
      <c r="J21" s="8">
        <v>953.15128346989297</v>
      </c>
      <c r="K21" s="8">
        <v>960.35322651915976</v>
      </c>
      <c r="L21" s="8">
        <v>967.55516956842644</v>
      </c>
      <c r="M21" s="8">
        <v>974.75711261769322</v>
      </c>
      <c r="N21" s="8">
        <v>974.41173069014485</v>
      </c>
      <c r="O21" s="8">
        <v>974.06634876259659</v>
      </c>
      <c r="P21" s="8">
        <v>973.72096683504822</v>
      </c>
      <c r="Q21" s="8">
        <v>973.37558490749996</v>
      </c>
      <c r="R21" s="8">
        <v>973.03020297995158</v>
      </c>
      <c r="S21" s="8">
        <v>965.15836096889484</v>
      </c>
      <c r="T21" s="8">
        <v>957.2865189578381</v>
      </c>
      <c r="U21" s="8">
        <v>949.41467694678124</v>
      </c>
      <c r="V21" s="8">
        <v>941.5428349357245</v>
      </c>
      <c r="W21" s="8">
        <v>933.67099292466776</v>
      </c>
      <c r="X21" s="8">
        <v>926.02432227891472</v>
      </c>
      <c r="Y21" s="8">
        <v>918.3776516331618</v>
      </c>
      <c r="Z21" s="8">
        <v>910.73098098740877</v>
      </c>
      <c r="AA21" s="8">
        <v>903.08431034165585</v>
      </c>
      <c r="AB21" s="8">
        <v>895.43763969590282</v>
      </c>
      <c r="AC21" s="8">
        <v>876.39391861981233</v>
      </c>
      <c r="AD21" s="8">
        <v>857.35019754372183</v>
      </c>
      <c r="AE21" s="8">
        <v>838.30647646763134</v>
      </c>
      <c r="AF21" s="8">
        <v>819.26275539154085</v>
      </c>
      <c r="AG21" s="8">
        <v>800.21903431545036</v>
      </c>
      <c r="AH21" s="8">
        <v>785.5406289444951</v>
      </c>
      <c r="AI21" s="8">
        <v>770.86222357353995</v>
      </c>
      <c r="AJ21" s="8">
        <v>756.18381820258469</v>
      </c>
      <c r="AK21" s="8">
        <v>741.50541283162954</v>
      </c>
      <c r="AL21" s="8">
        <v>726.82700746067428</v>
      </c>
      <c r="AM21" s="8">
        <v>714.26468172807154</v>
      </c>
      <c r="AN21" s="8">
        <v>701.70235599546868</v>
      </c>
      <c r="AO21" s="8">
        <v>689.14003026286593</v>
      </c>
      <c r="AP21" s="8">
        <v>676.57770453026308</v>
      </c>
      <c r="AQ21" s="8">
        <v>664.01537879766033</v>
      </c>
      <c r="AR21" s="8">
        <v>648.04453214187345</v>
      </c>
      <c r="AS21" s="8">
        <v>632.07368548608656</v>
      </c>
      <c r="AT21" s="8">
        <v>616.10283883029979</v>
      </c>
      <c r="AU21" s="8">
        <v>600.1319921745129</v>
      </c>
      <c r="AV21" s="8">
        <v>584.16114551872602</v>
      </c>
      <c r="AW21" s="8">
        <v>581.02113249957779</v>
      </c>
      <c r="AX21" s="8">
        <v>577.88111948042967</v>
      </c>
      <c r="AY21" s="8">
        <v>574.74110646128145</v>
      </c>
      <c r="AZ21" s="8">
        <v>571.60109344213333</v>
      </c>
      <c r="BA21" s="8">
        <v>568.46108042298511</v>
      </c>
      <c r="BB21" s="102" t="s">
        <v>3</v>
      </c>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row>
    <row r="22" spans="1:80" x14ac:dyDescent="0.2">
      <c r="B22" s="101" t="s">
        <v>175</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4"/>
      <c r="BC22" s="105"/>
      <c r="BD22" s="8"/>
      <c r="BE22" s="8"/>
      <c r="BF22" s="8"/>
      <c r="BG22" s="8"/>
      <c r="BH22" s="8"/>
      <c r="BI22" s="8"/>
      <c r="BJ22" s="8"/>
      <c r="BK22" s="8"/>
      <c r="BL22" s="8"/>
      <c r="BM22" s="8"/>
      <c r="BN22" s="8"/>
      <c r="BO22" s="8"/>
      <c r="BP22" s="8"/>
      <c r="BQ22" s="8"/>
      <c r="BR22" s="8"/>
      <c r="BS22" s="8"/>
      <c r="BT22" s="8"/>
      <c r="BU22" s="8"/>
      <c r="BV22" s="8"/>
      <c r="BW22" s="8"/>
      <c r="BX22" s="8"/>
      <c r="BY22" s="8"/>
      <c r="BZ22" s="8"/>
      <c r="CA22" s="8"/>
      <c r="CB22" s="8"/>
    </row>
    <row r="23" spans="1:80" x14ac:dyDescent="0.2">
      <c r="A23" s="1"/>
      <c r="B23" s="101" t="s">
        <v>176</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4"/>
      <c r="BC23" s="105"/>
      <c r="BD23" s="8"/>
      <c r="BE23" s="8"/>
      <c r="BF23" s="8"/>
      <c r="BG23" s="8"/>
      <c r="BH23" s="8"/>
      <c r="BI23" s="8"/>
      <c r="BJ23" s="8"/>
      <c r="BK23" s="8"/>
      <c r="BL23" s="8"/>
      <c r="BM23" s="8"/>
      <c r="BN23" s="8"/>
      <c r="BO23" s="8"/>
      <c r="BP23" s="8"/>
      <c r="BQ23" s="8"/>
      <c r="BR23" s="8"/>
      <c r="BS23" s="8"/>
      <c r="BT23" s="8"/>
      <c r="BU23" s="8"/>
      <c r="BV23" s="8"/>
      <c r="BW23" s="8"/>
      <c r="BX23" s="8"/>
      <c r="BY23" s="8"/>
      <c r="BZ23" s="8"/>
      <c r="CA23" s="8"/>
      <c r="CB23" s="8"/>
    </row>
    <row r="24" spans="1:80" x14ac:dyDescent="0.2">
      <c r="A24" s="3"/>
      <c r="B24" s="101" t="s">
        <v>177</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4"/>
      <c r="BC24" s="105"/>
    </row>
    <row r="25" spans="1:80" x14ac:dyDescent="0.2">
      <c r="A25" s="7"/>
      <c r="B25" s="101" t="s">
        <v>178</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4"/>
      <c r="BC25" s="105"/>
      <c r="BD25" s="8"/>
      <c r="BE25" s="8"/>
      <c r="BF25" s="8"/>
      <c r="BG25" s="8"/>
      <c r="BH25" s="8"/>
      <c r="BI25" s="8"/>
      <c r="BJ25" s="8"/>
      <c r="BK25" s="8"/>
      <c r="BL25" s="8"/>
      <c r="BM25" s="8"/>
      <c r="BN25" s="8"/>
      <c r="BO25" s="8"/>
      <c r="BP25" s="8"/>
      <c r="BQ25" s="8"/>
      <c r="BR25" s="8"/>
      <c r="BS25" s="8"/>
      <c r="BT25" s="8"/>
      <c r="BU25" s="8"/>
      <c r="BV25" s="8"/>
      <c r="BW25" s="8"/>
      <c r="BX25" s="8"/>
      <c r="BY25" s="8"/>
      <c r="BZ25" s="8"/>
      <c r="CA25" s="8"/>
      <c r="CB25" s="8"/>
    </row>
    <row r="26" spans="1:80" x14ac:dyDescent="0.2">
      <c r="A26" s="7"/>
      <c r="B26" s="102"/>
      <c r="C26" s="8"/>
      <c r="D26" s="105"/>
      <c r="E26" s="105"/>
      <c r="F26" s="105"/>
      <c r="G26" s="105"/>
      <c r="H26" s="8"/>
      <c r="I26" s="105"/>
      <c r="J26" s="105"/>
      <c r="K26" s="105"/>
      <c r="L26" s="105"/>
      <c r="M26" s="8"/>
      <c r="N26" s="105"/>
      <c r="O26" s="105"/>
      <c r="P26" s="105"/>
      <c r="Q26" s="105"/>
      <c r="R26" s="8"/>
      <c r="S26" s="105"/>
      <c r="T26" s="105"/>
      <c r="U26" s="105"/>
      <c r="V26" s="105"/>
      <c r="W26" s="8"/>
      <c r="X26" s="105"/>
      <c r="Y26" s="105"/>
      <c r="Z26" s="105"/>
      <c r="AA26" s="105"/>
      <c r="AB26" s="8"/>
      <c r="AC26" s="105"/>
      <c r="AD26" s="105"/>
      <c r="AE26" s="105"/>
      <c r="AF26" s="105"/>
      <c r="AG26" s="8"/>
      <c r="AH26" s="105"/>
      <c r="AI26" s="105"/>
      <c r="AJ26" s="105"/>
      <c r="AK26" s="105"/>
      <c r="AL26" s="8"/>
      <c r="AM26" s="105"/>
      <c r="AN26" s="105"/>
      <c r="AO26" s="105"/>
      <c r="AP26" s="105"/>
      <c r="AQ26" s="8"/>
      <c r="AR26" s="105"/>
      <c r="AS26" s="105"/>
      <c r="AT26" s="105"/>
      <c r="AU26" s="105"/>
      <c r="AV26" s="8"/>
      <c r="AW26" s="105"/>
      <c r="AX26" s="105"/>
      <c r="AY26" s="105"/>
      <c r="AZ26" s="105"/>
      <c r="BA26" s="8"/>
      <c r="BB26" s="104"/>
      <c r="BC26" s="105"/>
      <c r="BD26" s="8"/>
      <c r="BE26" s="8"/>
      <c r="BF26" s="8"/>
      <c r="BG26" s="8"/>
      <c r="BH26" s="8"/>
      <c r="BI26" s="8"/>
      <c r="BJ26" s="8"/>
      <c r="BK26" s="8"/>
      <c r="BL26" s="8"/>
      <c r="BM26" s="8"/>
      <c r="BN26" s="8"/>
      <c r="BO26" s="8"/>
      <c r="BP26" s="8"/>
      <c r="BQ26" s="8"/>
      <c r="BR26" s="8"/>
      <c r="BS26" s="8"/>
      <c r="BT26" s="8"/>
      <c r="BU26" s="8"/>
      <c r="BV26" s="8"/>
      <c r="BW26" s="8"/>
      <c r="BX26" s="8"/>
      <c r="BY26" s="8"/>
      <c r="BZ26" s="8"/>
      <c r="CA26" s="8"/>
      <c r="CB26" s="8"/>
    </row>
    <row r="27" spans="1:80" x14ac:dyDescent="0.2">
      <c r="A27" s="7"/>
      <c r="B27" s="1" t="s">
        <v>15</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10"/>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row>
    <row r="28" spans="1:80" x14ac:dyDescent="0.2">
      <c r="A28" s="7"/>
      <c r="B28" s="5" t="s">
        <v>1</v>
      </c>
      <c r="C28" s="6">
        <v>2010</v>
      </c>
      <c r="D28" s="3">
        <v>2011</v>
      </c>
      <c r="E28" s="3">
        <v>2012</v>
      </c>
      <c r="F28" s="3">
        <v>2013</v>
      </c>
      <c r="G28" s="3">
        <v>2014</v>
      </c>
      <c r="H28" s="6">
        <v>2015</v>
      </c>
      <c r="I28" s="3">
        <v>2016</v>
      </c>
      <c r="J28" s="3">
        <v>2017</v>
      </c>
      <c r="K28" s="3">
        <v>2018</v>
      </c>
      <c r="L28" s="3">
        <v>2019</v>
      </c>
      <c r="M28" s="6">
        <v>2020</v>
      </c>
      <c r="N28" s="3">
        <v>2021</v>
      </c>
      <c r="O28" s="3">
        <v>2022</v>
      </c>
      <c r="P28" s="3">
        <v>2023</v>
      </c>
      <c r="Q28" s="3">
        <v>2024</v>
      </c>
      <c r="R28" s="6">
        <v>2025</v>
      </c>
      <c r="S28" s="3">
        <v>2026</v>
      </c>
      <c r="T28" s="3">
        <v>2027</v>
      </c>
      <c r="U28" s="3">
        <v>2028</v>
      </c>
      <c r="V28" s="3">
        <v>2029</v>
      </c>
      <c r="W28" s="6">
        <v>2030</v>
      </c>
      <c r="X28" s="3">
        <v>2031</v>
      </c>
      <c r="Y28" s="3">
        <v>2032</v>
      </c>
      <c r="Z28" s="3">
        <v>2033</v>
      </c>
      <c r="AA28" s="3">
        <v>2034</v>
      </c>
      <c r="AB28" s="6">
        <v>2035</v>
      </c>
      <c r="AC28" s="3">
        <v>2036</v>
      </c>
      <c r="AD28" s="3">
        <v>2037</v>
      </c>
      <c r="AE28" s="3">
        <v>2038</v>
      </c>
      <c r="AF28" s="3">
        <v>2039</v>
      </c>
      <c r="AG28" s="6">
        <v>2040</v>
      </c>
      <c r="AH28" s="3">
        <v>2041</v>
      </c>
      <c r="AI28" s="3">
        <v>2042</v>
      </c>
      <c r="AJ28" s="3">
        <v>2043</v>
      </c>
      <c r="AK28" s="3">
        <v>2044</v>
      </c>
      <c r="AL28" s="6">
        <v>2045</v>
      </c>
      <c r="AM28" s="3">
        <v>2046</v>
      </c>
      <c r="AN28" s="3">
        <v>2047</v>
      </c>
      <c r="AO28" s="3">
        <v>2048</v>
      </c>
      <c r="AP28" s="3">
        <v>2049</v>
      </c>
      <c r="AQ28" s="6">
        <v>2050</v>
      </c>
      <c r="AR28" s="3">
        <v>2051</v>
      </c>
      <c r="AS28" s="3">
        <v>2052</v>
      </c>
      <c r="AT28" s="3">
        <v>2053</v>
      </c>
      <c r="AU28" s="3">
        <v>2054</v>
      </c>
      <c r="AV28" s="6">
        <v>2055</v>
      </c>
      <c r="AW28" s="3">
        <v>2056</v>
      </c>
      <c r="AX28" s="3">
        <v>2057</v>
      </c>
      <c r="AY28" s="3">
        <v>2058</v>
      </c>
      <c r="AZ28" s="3">
        <v>2059</v>
      </c>
      <c r="BA28" s="6">
        <v>2060</v>
      </c>
      <c r="BD28" s="8"/>
      <c r="BE28" s="8"/>
      <c r="BF28" s="8"/>
      <c r="BG28" s="8"/>
      <c r="BH28" s="8"/>
      <c r="BI28" s="8"/>
      <c r="BJ28" s="8"/>
      <c r="BK28" s="8"/>
      <c r="BL28" s="8"/>
      <c r="BM28" s="8"/>
      <c r="BN28" s="8"/>
      <c r="BO28" s="8"/>
      <c r="BP28" s="8"/>
      <c r="BQ28" s="8"/>
      <c r="BR28" s="8"/>
      <c r="BS28" s="8"/>
      <c r="BT28" s="8"/>
      <c r="BU28" s="8"/>
      <c r="BV28" s="8"/>
      <c r="BW28" s="8"/>
      <c r="BX28" s="8"/>
      <c r="BY28" s="8"/>
      <c r="BZ28" s="8"/>
      <c r="CA28" s="8"/>
      <c r="CB28" s="8"/>
    </row>
    <row r="29" spans="1:80" x14ac:dyDescent="0.2">
      <c r="A29" s="7"/>
      <c r="B29" s="101" t="s">
        <v>2</v>
      </c>
      <c r="C29" s="8">
        <v>40071.791858952871</v>
      </c>
      <c r="D29" s="8">
        <v>42213.770607484723</v>
      </c>
      <c r="E29" s="8">
        <v>44355.749356016568</v>
      </c>
      <c r="F29" s="8">
        <v>46497.72810454842</v>
      </c>
      <c r="G29" s="8">
        <v>48639.706853080264</v>
      </c>
      <c r="H29" s="8">
        <v>50781.685601612116</v>
      </c>
      <c r="I29" s="8">
        <v>51906.104659666205</v>
      </c>
      <c r="J29" s="8">
        <v>53030.523717720302</v>
      </c>
      <c r="K29" s="8">
        <v>54154.942775774391</v>
      </c>
      <c r="L29" s="8">
        <v>55279.361833828487</v>
      </c>
      <c r="M29" s="8">
        <v>56403.780891882576</v>
      </c>
      <c r="N29" s="8">
        <v>57526.707787080908</v>
      </c>
      <c r="O29" s="8">
        <v>58649.63468227924</v>
      </c>
      <c r="P29" s="8">
        <v>59772.56157747758</v>
      </c>
      <c r="Q29" s="8">
        <v>60895.488472675912</v>
      </c>
      <c r="R29" s="8">
        <v>62018.415367874244</v>
      </c>
      <c r="S29" s="8">
        <v>62978.111582471756</v>
      </c>
      <c r="T29" s="8">
        <v>63937.807797069268</v>
      </c>
      <c r="U29" s="8">
        <v>64897.504011666781</v>
      </c>
      <c r="V29" s="8">
        <v>65857.200226264293</v>
      </c>
      <c r="W29" s="8">
        <v>66816.896440861805</v>
      </c>
      <c r="X29" s="8">
        <v>67874.534559575011</v>
      </c>
      <c r="Y29" s="8">
        <v>68932.172678288218</v>
      </c>
      <c r="Z29" s="8">
        <v>69989.810797001439</v>
      </c>
      <c r="AA29" s="8">
        <v>71047.448915714645</v>
      </c>
      <c r="AB29" s="8">
        <v>72105.087034427852</v>
      </c>
      <c r="AC29" s="8">
        <v>73371.259767016571</v>
      </c>
      <c r="AD29" s="8">
        <v>74637.432499605289</v>
      </c>
      <c r="AE29" s="8">
        <v>75903.605232194008</v>
      </c>
      <c r="AF29" s="8">
        <v>77169.777964782726</v>
      </c>
      <c r="AG29" s="8">
        <v>78435.950697371445</v>
      </c>
      <c r="AH29" s="8">
        <v>80040.992234962629</v>
      </c>
      <c r="AI29" s="8">
        <v>81646.033772553812</v>
      </c>
      <c r="AJ29" s="8">
        <v>83251.075310144981</v>
      </c>
      <c r="AK29" s="8">
        <v>84856.116847736164</v>
      </c>
      <c r="AL29" s="8">
        <v>86461.158385327348</v>
      </c>
      <c r="AM29" s="8">
        <v>88130.573467431037</v>
      </c>
      <c r="AN29" s="8">
        <v>89799.988549534726</v>
      </c>
      <c r="AO29" s="8">
        <v>91469.403631638415</v>
      </c>
      <c r="AP29" s="8">
        <v>93138.818713742105</v>
      </c>
      <c r="AQ29" s="8">
        <v>94808.233795845794</v>
      </c>
      <c r="AR29" s="8">
        <v>96498.152558224014</v>
      </c>
      <c r="AS29" s="8">
        <v>98188.071320602248</v>
      </c>
      <c r="AT29" s="8">
        <v>99877.990082980468</v>
      </c>
      <c r="AU29" s="8">
        <v>101567.9088453587</v>
      </c>
      <c r="AV29" s="8">
        <v>103257.82760773692</v>
      </c>
      <c r="AW29" s="8">
        <v>104913.94102368988</v>
      </c>
      <c r="AX29" s="8">
        <v>106570.05443964284</v>
      </c>
      <c r="AY29" s="8">
        <v>108226.16785559579</v>
      </c>
      <c r="AZ29" s="8">
        <v>109882.28127154875</v>
      </c>
      <c r="BA29" s="8">
        <v>111538.39468750171</v>
      </c>
      <c r="BB29" s="2" t="s">
        <v>16</v>
      </c>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row>
    <row r="30" spans="1:80" x14ac:dyDescent="0.2">
      <c r="A30" s="7"/>
      <c r="B30" s="101" t="s">
        <v>182</v>
      </c>
      <c r="C30" s="8">
        <v>6090.3282540105502</v>
      </c>
      <c r="D30" s="8">
        <v>6577.0802223717419</v>
      </c>
      <c r="E30" s="8">
        <v>7063.8321907329337</v>
      </c>
      <c r="F30" s="8">
        <v>7550.5841590941254</v>
      </c>
      <c r="G30" s="8">
        <v>8037.3361274553172</v>
      </c>
      <c r="H30" s="8">
        <v>8524.0880958165089</v>
      </c>
      <c r="I30" s="8">
        <v>8702.762681824197</v>
      </c>
      <c r="J30" s="8">
        <v>8881.437267831885</v>
      </c>
      <c r="K30" s="8">
        <v>9060.1118538395749</v>
      </c>
      <c r="L30" s="8">
        <v>9238.786439847263</v>
      </c>
      <c r="M30" s="8">
        <v>9417.461025854951</v>
      </c>
      <c r="N30" s="8">
        <v>9523.9577561941751</v>
      </c>
      <c r="O30" s="8">
        <v>9630.4544865333974</v>
      </c>
      <c r="P30" s="8">
        <v>9736.9512168726214</v>
      </c>
      <c r="Q30" s="8">
        <v>9843.4479472118437</v>
      </c>
      <c r="R30" s="8">
        <v>9949.9446775510678</v>
      </c>
      <c r="S30" s="8">
        <v>10013.192942808984</v>
      </c>
      <c r="T30" s="8">
        <v>10076.441208066901</v>
      </c>
      <c r="U30" s="8">
        <v>10139.689473324815</v>
      </c>
      <c r="V30" s="8">
        <v>10202.937738582732</v>
      </c>
      <c r="W30" s="8">
        <v>10266.186003840648</v>
      </c>
      <c r="X30" s="8">
        <v>10251.371672762814</v>
      </c>
      <c r="Y30" s="8">
        <v>10236.55734168498</v>
      </c>
      <c r="Z30" s="8">
        <v>10221.743010607148</v>
      </c>
      <c r="AA30" s="8">
        <v>10206.928679529314</v>
      </c>
      <c r="AB30" s="8">
        <v>10192.11434845148</v>
      </c>
      <c r="AC30" s="8">
        <v>10178.143270138577</v>
      </c>
      <c r="AD30" s="8">
        <v>10164.172191825672</v>
      </c>
      <c r="AE30" s="8">
        <v>10150.201113512769</v>
      </c>
      <c r="AF30" s="8">
        <v>10136.230035199864</v>
      </c>
      <c r="AG30" s="8">
        <v>10122.258956886961</v>
      </c>
      <c r="AH30" s="8">
        <v>10119.642094835759</v>
      </c>
      <c r="AI30" s="8">
        <v>10117.025232784559</v>
      </c>
      <c r="AJ30" s="8">
        <v>10114.408370733358</v>
      </c>
      <c r="AK30" s="8">
        <v>10111.791508682158</v>
      </c>
      <c r="AL30" s="8">
        <v>10109.174646630956</v>
      </c>
      <c r="AM30" s="8">
        <v>10123.805255623505</v>
      </c>
      <c r="AN30" s="8">
        <v>10138.435864616053</v>
      </c>
      <c r="AO30" s="8">
        <v>10153.066473608602</v>
      </c>
      <c r="AP30" s="8">
        <v>10167.697082601149</v>
      </c>
      <c r="AQ30" s="8">
        <v>10182.327691593699</v>
      </c>
      <c r="AR30" s="8">
        <v>10224.72926732337</v>
      </c>
      <c r="AS30" s="8">
        <v>10267.130843053043</v>
      </c>
      <c r="AT30" s="8">
        <v>10309.532418782714</v>
      </c>
      <c r="AU30" s="8">
        <v>10351.933994512387</v>
      </c>
      <c r="AV30" s="8">
        <v>10394.335570242058</v>
      </c>
      <c r="AW30" s="8">
        <v>10446.231492246125</v>
      </c>
      <c r="AX30" s="8">
        <v>10498.12741425019</v>
      </c>
      <c r="AY30" s="8">
        <v>10550.023336254257</v>
      </c>
      <c r="AZ30" s="8">
        <v>10601.919258258322</v>
      </c>
      <c r="BA30" s="8">
        <v>10653.815180262389</v>
      </c>
      <c r="BB30" s="2" t="s">
        <v>16</v>
      </c>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row>
    <row r="31" spans="1:80" x14ac:dyDescent="0.2">
      <c r="A31" s="7"/>
      <c r="B31" s="101" t="s">
        <v>165</v>
      </c>
      <c r="C31" s="8">
        <v>17632.903683681092</v>
      </c>
      <c r="D31" s="8">
        <v>18433.222078883304</v>
      </c>
      <c r="E31" s="8">
        <v>19233.540474085516</v>
      </c>
      <c r="F31" s="8">
        <v>20033.858869287724</v>
      </c>
      <c r="G31" s="8">
        <v>20834.177264489936</v>
      </c>
      <c r="H31" s="8">
        <v>21634.495659692147</v>
      </c>
      <c r="I31" s="8">
        <v>22069.223679048762</v>
      </c>
      <c r="J31" s="8">
        <v>22503.951698405373</v>
      </c>
      <c r="K31" s="8">
        <v>22938.679717761988</v>
      </c>
      <c r="L31" s="8">
        <v>23373.407737118599</v>
      </c>
      <c r="M31" s="8">
        <v>23808.135756475214</v>
      </c>
      <c r="N31" s="8">
        <v>24208.827075034285</v>
      </c>
      <c r="O31" s="8">
        <v>24609.518393593353</v>
      </c>
      <c r="P31" s="8">
        <v>25010.209712152424</v>
      </c>
      <c r="Q31" s="8">
        <v>25410.901030711491</v>
      </c>
      <c r="R31" s="8">
        <v>25811.592349270562</v>
      </c>
      <c r="S31" s="8">
        <v>25931.005729764678</v>
      </c>
      <c r="T31" s="8">
        <v>26050.41911025879</v>
      </c>
      <c r="U31" s="8">
        <v>26169.832490752906</v>
      </c>
      <c r="V31" s="8">
        <v>26289.245871247018</v>
      </c>
      <c r="W31" s="8">
        <v>26408.659251741134</v>
      </c>
      <c r="X31" s="8">
        <v>26379.793440813646</v>
      </c>
      <c r="Y31" s="8">
        <v>26350.927629886159</v>
      </c>
      <c r="Z31" s="8">
        <v>26322.061818958675</v>
      </c>
      <c r="AA31" s="8">
        <v>26293.196008031187</v>
      </c>
      <c r="AB31" s="8">
        <v>26264.3301971037</v>
      </c>
      <c r="AC31" s="8">
        <v>26348.943590112769</v>
      </c>
      <c r="AD31" s="8">
        <v>26433.556983121842</v>
      </c>
      <c r="AE31" s="8">
        <v>26518.170376130911</v>
      </c>
      <c r="AF31" s="8">
        <v>26602.783769139984</v>
      </c>
      <c r="AG31" s="8">
        <v>26687.397162149053</v>
      </c>
      <c r="AH31" s="8">
        <v>27019.669320043449</v>
      </c>
      <c r="AI31" s="8">
        <v>27351.941477937846</v>
      </c>
      <c r="AJ31" s="8">
        <v>27684.213635832246</v>
      </c>
      <c r="AK31" s="8">
        <v>28016.485793726642</v>
      </c>
      <c r="AL31" s="8">
        <v>28348.757951621039</v>
      </c>
      <c r="AM31" s="8">
        <v>28766.599137399313</v>
      </c>
      <c r="AN31" s="8">
        <v>29184.440323177583</v>
      </c>
      <c r="AO31" s="8">
        <v>29602.281508955857</v>
      </c>
      <c r="AP31" s="8">
        <v>30020.122694734127</v>
      </c>
      <c r="AQ31" s="8">
        <v>30437.963880512401</v>
      </c>
      <c r="AR31" s="8">
        <v>30825.330097680162</v>
      </c>
      <c r="AS31" s="8">
        <v>31212.696314847926</v>
      </c>
      <c r="AT31" s="8">
        <v>31600.062532015687</v>
      </c>
      <c r="AU31" s="8">
        <v>31987.428749183451</v>
      </c>
      <c r="AV31" s="8">
        <v>32374.794966351212</v>
      </c>
      <c r="AW31" s="8">
        <v>32659.868894364135</v>
      </c>
      <c r="AX31" s="8">
        <v>32944.942822377059</v>
      </c>
      <c r="AY31" s="8">
        <v>33230.016750389979</v>
      </c>
      <c r="AZ31" s="8">
        <v>33515.090678402907</v>
      </c>
      <c r="BA31" s="8">
        <v>33800.164606415827</v>
      </c>
      <c r="BB31" s="2" t="s">
        <v>16</v>
      </c>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row>
    <row r="32" spans="1:80" x14ac:dyDescent="0.2">
      <c r="A32" s="7"/>
      <c r="B32" s="101" t="s">
        <v>167</v>
      </c>
      <c r="C32" s="8">
        <v>5746.877156069394</v>
      </c>
      <c r="D32" s="8">
        <v>6066.1701767878549</v>
      </c>
      <c r="E32" s="8">
        <v>6385.4631975063157</v>
      </c>
      <c r="F32" s="8">
        <v>6704.7562182247766</v>
      </c>
      <c r="G32" s="8">
        <v>7024.0492389432384</v>
      </c>
      <c r="H32" s="8">
        <v>7343.3422596616992</v>
      </c>
      <c r="I32" s="8">
        <v>7494.8052273299145</v>
      </c>
      <c r="J32" s="8">
        <v>7646.2681949981297</v>
      </c>
      <c r="K32" s="8">
        <v>7797.7311626663459</v>
      </c>
      <c r="L32" s="8">
        <v>7949.1941303345611</v>
      </c>
      <c r="M32" s="8">
        <v>8100.6570980027764</v>
      </c>
      <c r="N32" s="8">
        <v>8292.4900026225478</v>
      </c>
      <c r="O32" s="8">
        <v>8484.3229072423201</v>
      </c>
      <c r="P32" s="8">
        <v>8676.1558118620906</v>
      </c>
      <c r="Q32" s="8">
        <v>8867.988716481861</v>
      </c>
      <c r="R32" s="8">
        <v>9059.8216211016334</v>
      </c>
      <c r="S32" s="8">
        <v>9338.835986388016</v>
      </c>
      <c r="T32" s="8">
        <v>9617.8503516743967</v>
      </c>
      <c r="U32" s="8">
        <v>9896.8647169607793</v>
      </c>
      <c r="V32" s="8">
        <v>10175.87908224716</v>
      </c>
      <c r="W32" s="8">
        <v>10454.893447533543</v>
      </c>
      <c r="X32" s="8">
        <v>10797.228148358272</v>
      </c>
      <c r="Y32" s="8">
        <v>11139.562849183001</v>
      </c>
      <c r="Z32" s="8">
        <v>11481.897550007732</v>
      </c>
      <c r="AA32" s="8">
        <v>11824.232250832461</v>
      </c>
      <c r="AB32" s="8">
        <v>12166.566951657191</v>
      </c>
      <c r="AC32" s="8">
        <v>12500.39142369734</v>
      </c>
      <c r="AD32" s="8">
        <v>12834.21589573749</v>
      </c>
      <c r="AE32" s="8">
        <v>13168.040367777639</v>
      </c>
      <c r="AF32" s="8">
        <v>13501.86483981779</v>
      </c>
      <c r="AG32" s="8">
        <v>13835.689311857939</v>
      </c>
      <c r="AH32" s="8">
        <v>14158.478155275701</v>
      </c>
      <c r="AI32" s="8">
        <v>14481.266998693465</v>
      </c>
      <c r="AJ32" s="8">
        <v>14804.055842111227</v>
      </c>
      <c r="AK32" s="8">
        <v>15126.844685528991</v>
      </c>
      <c r="AL32" s="8">
        <v>15449.633528946753</v>
      </c>
      <c r="AM32" s="8">
        <v>15760.957778899554</v>
      </c>
      <c r="AN32" s="8">
        <v>16072.282028852354</v>
      </c>
      <c r="AO32" s="8">
        <v>16383.606278805157</v>
      </c>
      <c r="AP32" s="8">
        <v>16694.930528757955</v>
      </c>
      <c r="AQ32" s="8">
        <v>17006.254778710758</v>
      </c>
      <c r="AR32" s="8">
        <v>17312.96135926733</v>
      </c>
      <c r="AS32" s="8">
        <v>17619.667939823899</v>
      </c>
      <c r="AT32" s="8">
        <v>17926.374520380472</v>
      </c>
      <c r="AU32" s="8">
        <v>18233.081100937041</v>
      </c>
      <c r="AV32" s="8">
        <v>18539.787681493613</v>
      </c>
      <c r="AW32" s="8">
        <v>18834.67878167432</v>
      </c>
      <c r="AX32" s="8">
        <v>19129.569881855026</v>
      </c>
      <c r="AY32" s="8">
        <v>19424.460982035736</v>
      </c>
      <c r="AZ32" s="8">
        <v>19719.352082216443</v>
      </c>
      <c r="BA32" s="8">
        <v>20014.243182397149</v>
      </c>
      <c r="BB32" s="2" t="s">
        <v>16</v>
      </c>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row>
    <row r="33" spans="1:80" x14ac:dyDescent="0.2">
      <c r="A33" s="7"/>
      <c r="B33" s="101" t="s">
        <v>166</v>
      </c>
      <c r="C33" s="8">
        <v>2370.6840076595645</v>
      </c>
      <c r="D33" s="8">
        <v>2456.6839202719561</v>
      </c>
      <c r="E33" s="8">
        <v>2542.6838328843473</v>
      </c>
      <c r="F33" s="8">
        <v>2628.683745496739</v>
      </c>
      <c r="G33" s="8">
        <v>2714.6836581091302</v>
      </c>
      <c r="H33" s="8">
        <v>2800.6835707215218</v>
      </c>
      <c r="I33" s="8">
        <v>2846.5667723039505</v>
      </c>
      <c r="J33" s="8">
        <v>2892.4499738863792</v>
      </c>
      <c r="K33" s="8">
        <v>2938.3331754688079</v>
      </c>
      <c r="L33" s="8">
        <v>2984.2163770512366</v>
      </c>
      <c r="M33" s="8">
        <v>3030.0995786336653</v>
      </c>
      <c r="N33" s="8">
        <v>3100.2512757272357</v>
      </c>
      <c r="O33" s="8">
        <v>3170.4029728208061</v>
      </c>
      <c r="P33" s="8">
        <v>3240.5546699143765</v>
      </c>
      <c r="Q33" s="8">
        <v>3310.7063670079469</v>
      </c>
      <c r="R33" s="8">
        <v>3380.8580641015174</v>
      </c>
      <c r="S33" s="8">
        <v>3475.0898078985533</v>
      </c>
      <c r="T33" s="8">
        <v>3569.3215516955897</v>
      </c>
      <c r="U33" s="8">
        <v>3663.5532954926257</v>
      </c>
      <c r="V33" s="8">
        <v>3757.7850392896621</v>
      </c>
      <c r="W33" s="8">
        <v>3852.0167830866981</v>
      </c>
      <c r="X33" s="8">
        <v>3969.499967282743</v>
      </c>
      <c r="Y33" s="8">
        <v>4086.9831514787879</v>
      </c>
      <c r="Z33" s="8">
        <v>4204.4663356748333</v>
      </c>
      <c r="AA33" s="8">
        <v>4321.9495198708782</v>
      </c>
      <c r="AB33" s="8">
        <v>4439.4327040669232</v>
      </c>
      <c r="AC33" s="8">
        <v>4558.4388880446395</v>
      </c>
      <c r="AD33" s="8">
        <v>4677.4450720223567</v>
      </c>
      <c r="AE33" s="8">
        <v>4796.451256000073</v>
      </c>
      <c r="AF33" s="8">
        <v>4915.4574399777903</v>
      </c>
      <c r="AG33" s="8">
        <v>5034.4636239555066</v>
      </c>
      <c r="AH33" s="8">
        <v>5155.336543725196</v>
      </c>
      <c r="AI33" s="8">
        <v>5276.2094634948853</v>
      </c>
      <c r="AJ33" s="8">
        <v>5397.0823832645756</v>
      </c>
      <c r="AK33" s="8">
        <v>5517.9553030342649</v>
      </c>
      <c r="AL33" s="8">
        <v>5638.8282228039543</v>
      </c>
      <c r="AM33" s="8">
        <v>5760.960880590992</v>
      </c>
      <c r="AN33" s="8">
        <v>5883.0935383780306</v>
      </c>
      <c r="AO33" s="8">
        <v>6005.2261961650684</v>
      </c>
      <c r="AP33" s="8">
        <v>6127.358853952107</v>
      </c>
      <c r="AQ33" s="8">
        <v>6249.4915117391447</v>
      </c>
      <c r="AR33" s="8">
        <v>6374.4066015403987</v>
      </c>
      <c r="AS33" s="8">
        <v>6499.3216913416527</v>
      </c>
      <c r="AT33" s="8">
        <v>6624.2367811429076</v>
      </c>
      <c r="AU33" s="8">
        <v>6749.1518709441616</v>
      </c>
      <c r="AV33" s="8">
        <v>6874.0669607454156</v>
      </c>
      <c r="AW33" s="8">
        <v>6998.6059778672616</v>
      </c>
      <c r="AX33" s="8">
        <v>7123.1449949891066</v>
      </c>
      <c r="AY33" s="8">
        <v>7247.6840121109526</v>
      </c>
      <c r="AZ33" s="8">
        <v>7372.2230292327977</v>
      </c>
      <c r="BA33" s="8">
        <v>7496.7620463546436</v>
      </c>
      <c r="BB33" s="2" t="s">
        <v>16</v>
      </c>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row>
    <row r="34" spans="1:80" x14ac:dyDescent="0.2">
      <c r="A34" s="7"/>
      <c r="B34" s="101" t="s">
        <v>168</v>
      </c>
      <c r="C34" s="8">
        <v>8117.5611637289585</v>
      </c>
      <c r="D34" s="8">
        <v>8522.8540970598115</v>
      </c>
      <c r="E34" s="8">
        <v>8928.1470303906644</v>
      </c>
      <c r="F34" s="8">
        <v>9333.4399637215174</v>
      </c>
      <c r="G34" s="8">
        <v>9738.7328970523686</v>
      </c>
      <c r="H34" s="8">
        <v>10144.025830383222</v>
      </c>
      <c r="I34" s="8">
        <v>10341.371999633866</v>
      </c>
      <c r="J34" s="8">
        <v>10538.71816888451</v>
      </c>
      <c r="K34" s="8">
        <v>10736.064338135153</v>
      </c>
      <c r="L34" s="8">
        <v>10933.410507385797</v>
      </c>
      <c r="M34" s="8">
        <v>11130.756676636442</v>
      </c>
      <c r="N34" s="8">
        <v>11392.741278349784</v>
      </c>
      <c r="O34" s="8">
        <v>11654.725880063126</v>
      </c>
      <c r="P34" s="8">
        <v>11916.710481776467</v>
      </c>
      <c r="Q34" s="8">
        <v>12178.695083489809</v>
      </c>
      <c r="R34" s="8">
        <v>12440.679685203151</v>
      </c>
      <c r="S34" s="8">
        <v>12813.92579428657</v>
      </c>
      <c r="T34" s="8">
        <v>13187.171903369986</v>
      </c>
      <c r="U34" s="8">
        <v>13560.418012453405</v>
      </c>
      <c r="V34" s="8">
        <v>13933.664121536822</v>
      </c>
      <c r="W34" s="8">
        <v>14306.91023062024</v>
      </c>
      <c r="X34" s="8">
        <v>14766.728115641015</v>
      </c>
      <c r="Y34" s="8">
        <v>15226.54600066179</v>
      </c>
      <c r="Z34" s="8">
        <v>15686.363885682564</v>
      </c>
      <c r="AA34" s="8">
        <v>16146.181770703339</v>
      </c>
      <c r="AB34" s="8">
        <v>16605.999655724114</v>
      </c>
      <c r="AC34" s="8">
        <v>17058.830311741982</v>
      </c>
      <c r="AD34" s="8">
        <v>17511.660967759846</v>
      </c>
      <c r="AE34" s="8">
        <v>17964.491623777714</v>
      </c>
      <c r="AF34" s="8">
        <v>18417.322279795579</v>
      </c>
      <c r="AG34" s="8">
        <v>18870.152935813447</v>
      </c>
      <c r="AH34" s="8">
        <v>19313.814699000897</v>
      </c>
      <c r="AI34" s="8">
        <v>19757.476462188351</v>
      </c>
      <c r="AJ34" s="8">
        <v>20201.138225375802</v>
      </c>
      <c r="AK34" s="8">
        <v>20644.799988563256</v>
      </c>
      <c r="AL34" s="8">
        <v>21088.461751750707</v>
      </c>
      <c r="AM34" s="8">
        <v>21521.918659490548</v>
      </c>
      <c r="AN34" s="8">
        <v>21955.375567230385</v>
      </c>
      <c r="AO34" s="8">
        <v>22388.832474970226</v>
      </c>
      <c r="AP34" s="8">
        <v>22822.289382710063</v>
      </c>
      <c r="AQ34" s="8">
        <v>23255.746290449904</v>
      </c>
      <c r="AR34" s="8">
        <v>23687.367960807729</v>
      </c>
      <c r="AS34" s="8">
        <v>24118.989631165554</v>
      </c>
      <c r="AT34" s="8">
        <v>24550.611301523379</v>
      </c>
      <c r="AU34" s="8">
        <v>24982.232971881203</v>
      </c>
      <c r="AV34" s="8">
        <v>25413.854642239028</v>
      </c>
      <c r="AW34" s="8">
        <v>25833.284759541581</v>
      </c>
      <c r="AX34" s="8">
        <v>26252.714876844133</v>
      </c>
      <c r="AY34" s="8">
        <v>26672.144994146689</v>
      </c>
      <c r="AZ34" s="8">
        <v>27091.575111449241</v>
      </c>
      <c r="BA34" s="8">
        <v>27511.005228751794</v>
      </c>
      <c r="BB34" s="2" t="s">
        <v>16</v>
      </c>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row>
    <row r="35" spans="1:80" x14ac:dyDescent="0.2">
      <c r="A35" s="7"/>
      <c r="B35" s="101" t="s">
        <v>169</v>
      </c>
      <c r="C35" s="8">
        <v>3502.9796675403722</v>
      </c>
      <c r="D35" s="8">
        <v>3633.5489236850945</v>
      </c>
      <c r="E35" s="8">
        <v>3764.1181798298171</v>
      </c>
      <c r="F35" s="8">
        <v>3894.6874359745393</v>
      </c>
      <c r="G35" s="8">
        <v>4025.256692119262</v>
      </c>
      <c r="H35" s="8">
        <v>4155.8259482639842</v>
      </c>
      <c r="I35" s="8">
        <v>4280.4069117347981</v>
      </c>
      <c r="J35" s="8">
        <v>4404.987875205612</v>
      </c>
      <c r="K35" s="8">
        <v>4529.5688386764259</v>
      </c>
      <c r="L35" s="8">
        <v>4654.1498021472398</v>
      </c>
      <c r="M35" s="8">
        <v>4778.7307656180537</v>
      </c>
      <c r="N35" s="8">
        <v>4964.1559038171499</v>
      </c>
      <c r="O35" s="8">
        <v>5149.5810420162461</v>
      </c>
      <c r="P35" s="8">
        <v>5335.0061802153432</v>
      </c>
      <c r="Q35" s="8">
        <v>5520.4313184144394</v>
      </c>
      <c r="R35" s="8">
        <v>5705.8564566135356</v>
      </c>
      <c r="S35" s="8">
        <v>5956.7255454275073</v>
      </c>
      <c r="T35" s="8">
        <v>6207.5946342414791</v>
      </c>
      <c r="U35" s="8">
        <v>6458.4637230554508</v>
      </c>
      <c r="V35" s="8">
        <v>6709.3328118694217</v>
      </c>
      <c r="W35" s="8">
        <v>6960.2019006833934</v>
      </c>
      <c r="X35" s="8">
        <v>7314.6296604153731</v>
      </c>
      <c r="Y35" s="8">
        <v>7669.0574201473528</v>
      </c>
      <c r="Z35" s="8">
        <v>8023.4851798793316</v>
      </c>
      <c r="AA35" s="8">
        <v>8377.9129396113112</v>
      </c>
      <c r="AB35" s="8">
        <v>8732.3406993432909</v>
      </c>
      <c r="AC35" s="8">
        <v>9154.5951593047212</v>
      </c>
      <c r="AD35" s="8">
        <v>9576.8496192661514</v>
      </c>
      <c r="AE35" s="8">
        <v>9999.1040792275817</v>
      </c>
      <c r="AF35" s="8">
        <v>10421.358539189014</v>
      </c>
      <c r="AG35" s="8">
        <v>10843.612999150444</v>
      </c>
      <c r="AH35" s="8">
        <v>11367.241845383634</v>
      </c>
      <c r="AI35" s="8">
        <v>11890.870691616825</v>
      </c>
      <c r="AJ35" s="8">
        <v>12414.499537850013</v>
      </c>
      <c r="AK35" s="8">
        <v>12938.128384083204</v>
      </c>
      <c r="AL35" s="8">
        <v>13461.757230316394</v>
      </c>
      <c r="AM35" s="8">
        <v>14084.836753262103</v>
      </c>
      <c r="AN35" s="8">
        <v>14707.916276207812</v>
      </c>
      <c r="AO35" s="8">
        <v>15330.995799153519</v>
      </c>
      <c r="AP35" s="8">
        <v>15954.075322099228</v>
      </c>
      <c r="AQ35" s="8">
        <v>16577.154845044937</v>
      </c>
      <c r="AR35" s="8">
        <v>17292.132824848708</v>
      </c>
      <c r="AS35" s="8">
        <v>18007.110804652479</v>
      </c>
      <c r="AT35" s="8">
        <v>18722.088784456246</v>
      </c>
      <c r="AU35" s="8">
        <v>19437.066764260016</v>
      </c>
      <c r="AV35" s="8">
        <v>20152.044744063787</v>
      </c>
      <c r="AW35" s="8">
        <v>20735.918370941145</v>
      </c>
      <c r="AX35" s="8">
        <v>21319.791997818502</v>
      </c>
      <c r="AY35" s="8">
        <v>21903.665624695863</v>
      </c>
      <c r="AZ35" s="8">
        <v>22487.53925157322</v>
      </c>
      <c r="BA35" s="8">
        <v>23071.412878450577</v>
      </c>
      <c r="BB35" s="2" t="s">
        <v>16</v>
      </c>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row>
    <row r="36" spans="1:80" x14ac:dyDescent="0.2">
      <c r="A36" s="7"/>
      <c r="B36" s="101" t="s">
        <v>170</v>
      </c>
      <c r="C36" s="8">
        <v>572.75946499999998</v>
      </c>
      <c r="D36" s="8">
        <v>604.15876679999997</v>
      </c>
      <c r="E36" s="8">
        <v>635.55806859999996</v>
      </c>
      <c r="F36" s="8">
        <v>666.95737039999995</v>
      </c>
      <c r="G36" s="8">
        <v>698.35667220000005</v>
      </c>
      <c r="H36" s="8">
        <v>729.75597400000004</v>
      </c>
      <c r="I36" s="8">
        <v>763.32252360000007</v>
      </c>
      <c r="J36" s="8">
        <v>796.88907319999998</v>
      </c>
      <c r="K36" s="8">
        <v>830.45562280000001</v>
      </c>
      <c r="L36" s="8">
        <v>864.02217240000004</v>
      </c>
      <c r="M36" s="8">
        <v>897.58872199999996</v>
      </c>
      <c r="N36" s="8">
        <v>949.61099960000001</v>
      </c>
      <c r="O36" s="8">
        <v>1001.6332772</v>
      </c>
      <c r="P36" s="8">
        <v>1053.6555548000001</v>
      </c>
      <c r="Q36" s="8">
        <v>1105.6778323999999</v>
      </c>
      <c r="R36" s="8">
        <v>1157.70011</v>
      </c>
      <c r="S36" s="8">
        <v>1234.755236</v>
      </c>
      <c r="T36" s="8">
        <v>1311.8103619999999</v>
      </c>
      <c r="U36" s="8">
        <v>1388.8654879999999</v>
      </c>
      <c r="V36" s="8">
        <v>1465.9206140000001</v>
      </c>
      <c r="W36" s="8">
        <v>1542.9757400000001</v>
      </c>
      <c r="X36" s="8">
        <v>1659.4349360000001</v>
      </c>
      <c r="Y36" s="8">
        <v>1775.8941320000001</v>
      </c>
      <c r="Z36" s="8">
        <v>1892.3533280000001</v>
      </c>
      <c r="AA36" s="8">
        <v>2008.8125240000002</v>
      </c>
      <c r="AB36" s="8">
        <v>2125.2717200000002</v>
      </c>
      <c r="AC36" s="8">
        <v>2258.4935960000003</v>
      </c>
      <c r="AD36" s="8">
        <v>2391.7154720000003</v>
      </c>
      <c r="AE36" s="8">
        <v>2524.9373480000004</v>
      </c>
      <c r="AF36" s="8">
        <v>2658.159224</v>
      </c>
      <c r="AG36" s="8">
        <v>2791.3811000000001</v>
      </c>
      <c r="AH36" s="8">
        <v>2948.5457780000002</v>
      </c>
      <c r="AI36" s="8">
        <v>3105.7104560000002</v>
      </c>
      <c r="AJ36" s="8">
        <v>3262.8751339999999</v>
      </c>
      <c r="AK36" s="8">
        <v>3420.039812</v>
      </c>
      <c r="AL36" s="8">
        <v>3577.2044900000001</v>
      </c>
      <c r="AM36" s="8">
        <v>3734.1716620000002</v>
      </c>
      <c r="AN36" s="8">
        <v>3891.1388340000003</v>
      </c>
      <c r="AO36" s="8">
        <v>4048.106006</v>
      </c>
      <c r="AP36" s="8">
        <v>4205.0731780000006</v>
      </c>
      <c r="AQ36" s="8">
        <v>4362.0403500000002</v>
      </c>
      <c r="AR36" s="8">
        <v>4550.4462300000005</v>
      </c>
      <c r="AS36" s="8">
        <v>4738.8521099999998</v>
      </c>
      <c r="AT36" s="8">
        <v>4927.2579900000001</v>
      </c>
      <c r="AU36" s="8">
        <v>5115.6638699999994</v>
      </c>
      <c r="AV36" s="8">
        <v>5304.0697499999997</v>
      </c>
      <c r="AW36" s="8">
        <v>5536.9049959999993</v>
      </c>
      <c r="AX36" s="8">
        <v>5769.7402419999999</v>
      </c>
      <c r="AY36" s="8">
        <v>6002.5754879999995</v>
      </c>
      <c r="AZ36" s="8">
        <v>6235.410734</v>
      </c>
      <c r="BA36" s="8">
        <v>6468.2459799999997</v>
      </c>
      <c r="BB36" s="2" t="s">
        <v>16</v>
      </c>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row>
    <row r="37" spans="1:80" x14ac:dyDescent="0.2">
      <c r="A37" s="7"/>
      <c r="B37" s="101" t="s">
        <v>171</v>
      </c>
      <c r="C37" s="8">
        <v>2930.2202000000002</v>
      </c>
      <c r="D37" s="8">
        <v>3029.3901540000002</v>
      </c>
      <c r="E37" s="8">
        <v>3128.5601080000001</v>
      </c>
      <c r="F37" s="8">
        <v>3227.7300620000001</v>
      </c>
      <c r="G37" s="8">
        <v>3326.9000160000001</v>
      </c>
      <c r="H37" s="8">
        <v>3426.06997</v>
      </c>
      <c r="I37" s="8">
        <v>3517.0843840000002</v>
      </c>
      <c r="J37" s="8">
        <v>3608.098798</v>
      </c>
      <c r="K37" s="8">
        <v>3699.1132120000002</v>
      </c>
      <c r="L37" s="8">
        <v>3790.127626</v>
      </c>
      <c r="M37" s="8">
        <v>3881.1420400000002</v>
      </c>
      <c r="N37" s="8">
        <v>4014.5449020000001</v>
      </c>
      <c r="O37" s="8">
        <v>4147.9477640000005</v>
      </c>
      <c r="P37" s="8">
        <v>4281.3506260000004</v>
      </c>
      <c r="Q37" s="8">
        <v>4414.7534880000003</v>
      </c>
      <c r="R37" s="8">
        <v>4548.1563500000002</v>
      </c>
      <c r="S37" s="8">
        <v>4721.9703120000004</v>
      </c>
      <c r="T37" s="8">
        <v>4895.7842740000006</v>
      </c>
      <c r="U37" s="8">
        <v>5069.5982359999998</v>
      </c>
      <c r="V37" s="8">
        <v>5243.412198</v>
      </c>
      <c r="W37" s="8">
        <v>5417.2261600000002</v>
      </c>
      <c r="X37" s="8">
        <v>5655.194724</v>
      </c>
      <c r="Y37" s="8">
        <v>5893.1632879999997</v>
      </c>
      <c r="Z37" s="8">
        <v>6131.1318520000004</v>
      </c>
      <c r="AA37" s="8">
        <v>6369.1004160000002</v>
      </c>
      <c r="AB37" s="8">
        <v>6607.06898</v>
      </c>
      <c r="AC37" s="8">
        <v>6896.1015639999996</v>
      </c>
      <c r="AD37" s="8">
        <v>7185.1341480000001</v>
      </c>
      <c r="AE37" s="8">
        <v>7474.1667319999997</v>
      </c>
      <c r="AF37" s="8">
        <v>7763.1993160000002</v>
      </c>
      <c r="AG37" s="8">
        <v>8052.2318999999998</v>
      </c>
      <c r="AH37" s="8">
        <v>8418.69607</v>
      </c>
      <c r="AI37" s="8">
        <v>8785.1602400000011</v>
      </c>
      <c r="AJ37" s="8">
        <v>9151.6244100000004</v>
      </c>
      <c r="AK37" s="8">
        <v>9518.0885799999996</v>
      </c>
      <c r="AL37" s="8">
        <v>9884.5527500000007</v>
      </c>
      <c r="AM37" s="8">
        <v>10350.6651</v>
      </c>
      <c r="AN37" s="8">
        <v>10816.77745</v>
      </c>
      <c r="AO37" s="8">
        <v>11282.889800000001</v>
      </c>
      <c r="AP37" s="8">
        <v>11749.00215</v>
      </c>
      <c r="AQ37" s="8">
        <v>12215.1145</v>
      </c>
      <c r="AR37" s="8">
        <v>12741.686599999999</v>
      </c>
      <c r="AS37" s="8">
        <v>13268.2587</v>
      </c>
      <c r="AT37" s="8">
        <v>13794.8308</v>
      </c>
      <c r="AU37" s="8">
        <v>14321.402900000001</v>
      </c>
      <c r="AV37" s="8">
        <v>14847.975</v>
      </c>
      <c r="AW37" s="8">
        <v>15199.01338</v>
      </c>
      <c r="AX37" s="8">
        <v>15550.05176</v>
      </c>
      <c r="AY37" s="8">
        <v>15901.09014</v>
      </c>
      <c r="AZ37" s="8">
        <v>16252.12852</v>
      </c>
      <c r="BA37" s="8">
        <v>16603.1669</v>
      </c>
      <c r="BB37" s="2" t="s">
        <v>16</v>
      </c>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row>
    <row r="38" spans="1:80" x14ac:dyDescent="0.2">
      <c r="A38" s="7"/>
      <c r="B38" s="101" t="s">
        <v>107</v>
      </c>
      <c r="C38" s="8">
        <v>4728.0190899918971</v>
      </c>
      <c r="D38" s="8">
        <v>5047.0652854847685</v>
      </c>
      <c r="E38" s="8">
        <v>5366.1114809776391</v>
      </c>
      <c r="F38" s="8">
        <v>5685.1576764705105</v>
      </c>
      <c r="G38" s="8">
        <v>6004.203871963382</v>
      </c>
      <c r="H38" s="8">
        <v>6323.2500674562525</v>
      </c>
      <c r="I38" s="8">
        <v>6512.3258755750821</v>
      </c>
      <c r="J38" s="8">
        <v>6701.4016836939118</v>
      </c>
      <c r="K38" s="8">
        <v>6890.4774918127405</v>
      </c>
      <c r="L38" s="8">
        <v>7079.5532999315701</v>
      </c>
      <c r="M38" s="8">
        <v>7268.6291080503997</v>
      </c>
      <c r="N38" s="8">
        <v>7437.0861713922568</v>
      </c>
      <c r="O38" s="8">
        <v>7605.543234734113</v>
      </c>
      <c r="P38" s="8">
        <v>7774.00029807597</v>
      </c>
      <c r="Q38" s="8">
        <v>7942.4573614178262</v>
      </c>
      <c r="R38" s="8">
        <v>8110.9144247596832</v>
      </c>
      <c r="S38" s="8">
        <v>8264.5972446267933</v>
      </c>
      <c r="T38" s="8">
        <v>8418.2800644939034</v>
      </c>
      <c r="U38" s="8">
        <v>8571.9628843610153</v>
      </c>
      <c r="V38" s="8">
        <v>8725.6457042281254</v>
      </c>
      <c r="W38" s="8">
        <v>8879.3285240952355</v>
      </c>
      <c r="X38" s="8">
        <v>9167.905694829602</v>
      </c>
      <c r="Y38" s="8">
        <v>9456.4828655639667</v>
      </c>
      <c r="Z38" s="8">
        <v>9745.0600362983332</v>
      </c>
      <c r="AA38" s="8">
        <v>10033.637207032698</v>
      </c>
      <c r="AB38" s="8">
        <v>10322.214377767064</v>
      </c>
      <c r="AC38" s="8">
        <v>10645.339414995222</v>
      </c>
      <c r="AD38" s="8">
        <v>10968.464452223381</v>
      </c>
      <c r="AE38" s="8">
        <v>11291.589489451539</v>
      </c>
      <c r="AF38" s="8">
        <v>11614.714526679698</v>
      </c>
      <c r="AG38" s="8">
        <v>11937.839563907855</v>
      </c>
      <c r="AH38" s="8">
        <v>12251.537841118836</v>
      </c>
      <c r="AI38" s="8">
        <v>12565.236118329816</v>
      </c>
      <c r="AJ38" s="8">
        <v>12878.934395540797</v>
      </c>
      <c r="AK38" s="8">
        <v>13192.632672751777</v>
      </c>
      <c r="AL38" s="8">
        <v>13506.330949962758</v>
      </c>
      <c r="AM38" s="8">
        <v>13695.667493181605</v>
      </c>
      <c r="AN38" s="8">
        <v>13885.004036400451</v>
      </c>
      <c r="AO38" s="8">
        <v>14074.340579619298</v>
      </c>
      <c r="AP38" s="8">
        <v>14263.677122838144</v>
      </c>
      <c r="AQ38" s="8">
        <v>14453.013666056991</v>
      </c>
      <c r="AR38" s="8">
        <v>14575.517180783045</v>
      </c>
      <c r="AS38" s="8">
        <v>14698.020695509098</v>
      </c>
      <c r="AT38" s="8">
        <v>14820.524210235153</v>
      </c>
      <c r="AU38" s="8">
        <v>14943.027724961206</v>
      </c>
      <c r="AV38" s="8">
        <v>15065.53123968726</v>
      </c>
      <c r="AW38" s="8">
        <v>15386.715260560759</v>
      </c>
      <c r="AX38" s="8">
        <v>15707.899281434258</v>
      </c>
      <c r="AY38" s="8">
        <v>16029.083302307758</v>
      </c>
      <c r="AZ38" s="8">
        <v>16350.267323181257</v>
      </c>
      <c r="BA38" s="8">
        <v>16671.451344054756</v>
      </c>
      <c r="BB38" s="2" t="s">
        <v>16</v>
      </c>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row>
    <row r="39" spans="1:80" x14ac:dyDescent="0.2">
      <c r="A39" s="7"/>
      <c r="B39" s="101" t="s">
        <v>8</v>
      </c>
      <c r="C39" s="8">
        <v>113317.05521827494</v>
      </c>
      <c r="D39" s="8">
        <v>118232.99106900921</v>
      </c>
      <c r="E39" s="8">
        <v>123148.92691974349</v>
      </c>
      <c r="F39" s="8">
        <v>128064.86277047776</v>
      </c>
      <c r="G39" s="8">
        <v>132980.79862121204</v>
      </c>
      <c r="H39" s="8">
        <v>137896.73447194631</v>
      </c>
      <c r="I39" s="8">
        <v>143078.50561007168</v>
      </c>
      <c r="J39" s="8">
        <v>148260.27674819707</v>
      </c>
      <c r="K39" s="8">
        <v>153442.04788632243</v>
      </c>
      <c r="L39" s="8">
        <v>158623.81902444782</v>
      </c>
      <c r="M39" s="8">
        <v>163805.59016257318</v>
      </c>
      <c r="N39" s="8">
        <v>169274.50646652564</v>
      </c>
      <c r="O39" s="8">
        <v>174743.42277047809</v>
      </c>
      <c r="P39" s="8">
        <v>180212.33907443052</v>
      </c>
      <c r="Q39" s="8">
        <v>185681.25537838298</v>
      </c>
      <c r="R39" s="8">
        <v>191150.17168233544</v>
      </c>
      <c r="S39" s="8">
        <v>197361.54778390829</v>
      </c>
      <c r="T39" s="8">
        <v>203572.92388548111</v>
      </c>
      <c r="U39" s="8">
        <v>209784.29998705396</v>
      </c>
      <c r="V39" s="8">
        <v>215995.67608862679</v>
      </c>
      <c r="W39" s="8">
        <v>222207.05219019964</v>
      </c>
      <c r="X39" s="8">
        <v>229106.97840453268</v>
      </c>
      <c r="Y39" s="8">
        <v>236006.90461886572</v>
      </c>
      <c r="Z39" s="8">
        <v>242906.83083319874</v>
      </c>
      <c r="AA39" s="8">
        <v>249806.75704753178</v>
      </c>
      <c r="AB39" s="8">
        <v>256706.68326186482</v>
      </c>
      <c r="AC39" s="8">
        <v>264426.0348057269</v>
      </c>
      <c r="AD39" s="8">
        <v>272145.38634958898</v>
      </c>
      <c r="AE39" s="8">
        <v>279864.73789345106</v>
      </c>
      <c r="AF39" s="8">
        <v>287584.08943731315</v>
      </c>
      <c r="AG39" s="8">
        <v>295303.44098117523</v>
      </c>
      <c r="AH39" s="8">
        <v>304130.24809805281</v>
      </c>
      <c r="AI39" s="8">
        <v>312957.05521493038</v>
      </c>
      <c r="AJ39" s="8">
        <v>321783.86233180796</v>
      </c>
      <c r="AK39" s="8">
        <v>330610.66944868554</v>
      </c>
      <c r="AL39" s="8">
        <v>339437.47656556312</v>
      </c>
      <c r="AM39" s="8">
        <v>350290.98759330501</v>
      </c>
      <c r="AN39" s="8">
        <v>361144.49862104689</v>
      </c>
      <c r="AO39" s="8">
        <v>371998.00964878872</v>
      </c>
      <c r="AP39" s="8">
        <v>382851.52067653061</v>
      </c>
      <c r="AQ39" s="8">
        <v>393705.03170427249</v>
      </c>
      <c r="AR39" s="8">
        <v>400913.47101558297</v>
      </c>
      <c r="AS39" s="8">
        <v>408121.91032689344</v>
      </c>
      <c r="AT39" s="8">
        <v>415330.34963820386</v>
      </c>
      <c r="AU39" s="8">
        <v>422538.78894951433</v>
      </c>
      <c r="AV39" s="8">
        <v>429747.22826082481</v>
      </c>
      <c r="AW39" s="8">
        <v>436856.22972205764</v>
      </c>
      <c r="AX39" s="8">
        <v>443965.23118329042</v>
      </c>
      <c r="AY39" s="8">
        <v>451074.23264452326</v>
      </c>
      <c r="AZ39" s="8">
        <v>458183.23410575604</v>
      </c>
      <c r="BA39" s="8">
        <v>465292.23556698888</v>
      </c>
      <c r="BB39" s="102" t="s">
        <v>17</v>
      </c>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row>
    <row r="40" spans="1:80" x14ac:dyDescent="0.2">
      <c r="A40" s="7"/>
      <c r="B40" s="101" t="s">
        <v>181</v>
      </c>
      <c r="C40" s="8">
        <v>2.3336344289287259</v>
      </c>
      <c r="D40" s="8">
        <v>2.4808176199682683</v>
      </c>
      <c r="E40" s="8">
        <v>2.6280008110078108</v>
      </c>
      <c r="F40" s="8">
        <v>2.7751840020473537</v>
      </c>
      <c r="G40" s="8">
        <v>2.9223671930868962</v>
      </c>
      <c r="H40" s="8">
        <v>3.0695503841264387</v>
      </c>
      <c r="I40" s="8">
        <v>3.0081593764439098</v>
      </c>
      <c r="J40" s="8">
        <v>2.946768368761381</v>
      </c>
      <c r="K40" s="8">
        <v>2.8853773610788522</v>
      </c>
      <c r="L40" s="8">
        <v>2.8239863533963234</v>
      </c>
      <c r="M40" s="8">
        <v>2.7625953457137946</v>
      </c>
      <c r="N40" s="8">
        <v>2.7073434387995188</v>
      </c>
      <c r="O40" s="8">
        <v>2.6520915318852429</v>
      </c>
      <c r="P40" s="8">
        <v>2.5968396249709671</v>
      </c>
      <c r="Q40" s="8">
        <v>2.5415877180566913</v>
      </c>
      <c r="R40" s="8">
        <v>2.4863358111424154</v>
      </c>
      <c r="S40" s="8">
        <v>2.4366090949195671</v>
      </c>
      <c r="T40" s="8">
        <v>2.3868823786967188</v>
      </c>
      <c r="U40" s="8">
        <v>2.3371556624738705</v>
      </c>
      <c r="V40" s="8">
        <v>2.2874289462510222</v>
      </c>
      <c r="W40" s="8">
        <v>2.2377022300281739</v>
      </c>
      <c r="X40" s="8">
        <v>2.1929481854276105</v>
      </c>
      <c r="Y40" s="8">
        <v>2.1481941408270471</v>
      </c>
      <c r="Z40" s="8">
        <v>2.1034400962264832</v>
      </c>
      <c r="AA40" s="8">
        <v>2.0586860516259198</v>
      </c>
      <c r="AB40" s="8">
        <v>2.0139320070253564</v>
      </c>
      <c r="AC40" s="8">
        <v>1.9736533668848493</v>
      </c>
      <c r="AD40" s="8">
        <v>1.933374726744342</v>
      </c>
      <c r="AE40" s="8">
        <v>1.8930960866038349</v>
      </c>
      <c r="AF40" s="8">
        <v>1.8528174464633276</v>
      </c>
      <c r="AG40" s="8">
        <v>1.8125388063228205</v>
      </c>
      <c r="AH40" s="8">
        <v>1.7762880301963642</v>
      </c>
      <c r="AI40" s="8">
        <v>1.7400372540699078</v>
      </c>
      <c r="AJ40" s="8">
        <v>1.7037864779434513</v>
      </c>
      <c r="AK40" s="8">
        <v>1.667535701816995</v>
      </c>
      <c r="AL40" s="8">
        <v>1.6312849256905386</v>
      </c>
      <c r="AM40" s="8">
        <v>1.5986592271767277</v>
      </c>
      <c r="AN40" s="8">
        <v>1.5660335286629168</v>
      </c>
      <c r="AO40" s="8">
        <v>1.5334078301491061</v>
      </c>
      <c r="AP40" s="8">
        <v>1.5007821316352952</v>
      </c>
      <c r="AQ40" s="8">
        <v>1.4681564331214843</v>
      </c>
      <c r="AR40" s="8">
        <v>1.4387933044590546</v>
      </c>
      <c r="AS40" s="8">
        <v>1.409430175796625</v>
      </c>
      <c r="AT40" s="8">
        <v>1.3800670471341956</v>
      </c>
      <c r="AU40" s="8">
        <v>1.350703918471766</v>
      </c>
      <c r="AV40" s="8">
        <v>1.3213407898093363</v>
      </c>
      <c r="AW40" s="8">
        <v>1.2949139740131497</v>
      </c>
      <c r="AX40" s="8">
        <v>1.2684871582169628</v>
      </c>
      <c r="AY40" s="8">
        <v>1.2420603424207761</v>
      </c>
      <c r="AZ40" s="8">
        <v>1.2156335266245892</v>
      </c>
      <c r="BA40" s="8">
        <v>1.1892067108284026</v>
      </c>
      <c r="BB40" s="102" t="s">
        <v>17</v>
      </c>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row>
    <row r="41" spans="1:80" x14ac:dyDescent="0.2">
      <c r="A41" s="7"/>
      <c r="B41" s="101" t="s">
        <v>172</v>
      </c>
      <c r="C41" s="8">
        <v>1120.2478370494468</v>
      </c>
      <c r="D41" s="8">
        <v>1148.7067651303728</v>
      </c>
      <c r="E41" s="8">
        <v>1177.1656932112985</v>
      </c>
      <c r="F41" s="8">
        <v>1205.6246212922244</v>
      </c>
      <c r="G41" s="8">
        <v>1234.0835493731502</v>
      </c>
      <c r="H41" s="8">
        <v>1262.5424774540761</v>
      </c>
      <c r="I41" s="8">
        <v>1286.2641588084621</v>
      </c>
      <c r="J41" s="8">
        <v>1309.9858401628483</v>
      </c>
      <c r="K41" s="8">
        <v>1333.7075215172342</v>
      </c>
      <c r="L41" s="8">
        <v>1357.4292028716204</v>
      </c>
      <c r="M41" s="8">
        <v>1381.1508842260064</v>
      </c>
      <c r="N41" s="8">
        <v>1416.6313552814681</v>
      </c>
      <c r="O41" s="8">
        <v>1452.1118263369297</v>
      </c>
      <c r="P41" s="8">
        <v>1487.5922973923914</v>
      </c>
      <c r="Q41" s="8">
        <v>1523.0727684478529</v>
      </c>
      <c r="R41" s="8">
        <v>1558.5532395033147</v>
      </c>
      <c r="S41" s="8">
        <v>1603.7600789391479</v>
      </c>
      <c r="T41" s="8">
        <v>1648.9669183749811</v>
      </c>
      <c r="U41" s="8">
        <v>1694.1737578108143</v>
      </c>
      <c r="V41" s="8">
        <v>1739.3805972466475</v>
      </c>
      <c r="W41" s="8">
        <v>1784.5874366824808</v>
      </c>
      <c r="X41" s="8">
        <v>1826.6013706735189</v>
      </c>
      <c r="Y41" s="8">
        <v>1868.6153046645572</v>
      </c>
      <c r="Z41" s="8">
        <v>1910.6292386555954</v>
      </c>
      <c r="AA41" s="8">
        <v>1952.6431726466337</v>
      </c>
      <c r="AB41" s="8">
        <v>1994.6571066376719</v>
      </c>
      <c r="AC41" s="8">
        <v>2031.8283567654826</v>
      </c>
      <c r="AD41" s="8">
        <v>2068.9996068932933</v>
      </c>
      <c r="AE41" s="8">
        <v>2106.1708570211044</v>
      </c>
      <c r="AF41" s="8">
        <v>2143.3421071489151</v>
      </c>
      <c r="AG41" s="8">
        <v>2180.5133572767259</v>
      </c>
      <c r="AH41" s="8">
        <v>2217.2662133068725</v>
      </c>
      <c r="AI41" s="8">
        <v>2254.0190693370196</v>
      </c>
      <c r="AJ41" s="8">
        <v>2290.7719253671662</v>
      </c>
      <c r="AK41" s="8">
        <v>2327.5247813973133</v>
      </c>
      <c r="AL41" s="8">
        <v>2364.2776374274599</v>
      </c>
      <c r="AM41" s="8">
        <v>2404.0255909316907</v>
      </c>
      <c r="AN41" s="8">
        <v>2443.7735444359214</v>
      </c>
      <c r="AO41" s="8">
        <v>2483.5214979401521</v>
      </c>
      <c r="AP41" s="8">
        <v>2523.2694514443829</v>
      </c>
      <c r="AQ41" s="8">
        <v>2563.0174049486136</v>
      </c>
      <c r="AR41" s="8">
        <v>2606.9511949200914</v>
      </c>
      <c r="AS41" s="8">
        <v>2650.8849848915688</v>
      </c>
      <c r="AT41" s="8">
        <v>2694.8187748630467</v>
      </c>
      <c r="AU41" s="8">
        <v>2738.752564834524</v>
      </c>
      <c r="AV41" s="8">
        <v>2782.6863548060019</v>
      </c>
      <c r="AW41" s="8">
        <v>2825.249688089958</v>
      </c>
      <c r="AX41" s="8">
        <v>2867.8130213739137</v>
      </c>
      <c r="AY41" s="8">
        <v>2910.3763546578698</v>
      </c>
      <c r="AZ41" s="8">
        <v>2952.9396879418255</v>
      </c>
      <c r="BA41" s="8">
        <v>2995.5030212257816</v>
      </c>
      <c r="BB41" s="102" t="s">
        <v>17</v>
      </c>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row>
    <row r="42" spans="1:80" x14ac:dyDescent="0.2">
      <c r="A42" s="7"/>
      <c r="B42" s="101" t="s">
        <v>180</v>
      </c>
      <c r="C42" s="8">
        <v>6810.0523093494985</v>
      </c>
      <c r="D42" s="8">
        <v>7213.9035347213558</v>
      </c>
      <c r="E42" s="8">
        <v>7617.7547600932139</v>
      </c>
      <c r="F42" s="8">
        <v>8021.6059854650712</v>
      </c>
      <c r="G42" s="8">
        <v>8425.4572108369284</v>
      </c>
      <c r="H42" s="8">
        <v>8829.3084362087866</v>
      </c>
      <c r="I42" s="8">
        <v>8873.7159337409958</v>
      </c>
      <c r="J42" s="8">
        <v>8918.1234312732049</v>
      </c>
      <c r="K42" s="8">
        <v>8962.5309288054159</v>
      </c>
      <c r="L42" s="8">
        <v>9006.9384263376251</v>
      </c>
      <c r="M42" s="8">
        <v>9051.3459238698342</v>
      </c>
      <c r="N42" s="8">
        <v>9146.9564466758948</v>
      </c>
      <c r="O42" s="8">
        <v>9242.5669694819553</v>
      </c>
      <c r="P42" s="8">
        <v>9338.177492288014</v>
      </c>
      <c r="Q42" s="8">
        <v>9433.7880150940746</v>
      </c>
      <c r="R42" s="8">
        <v>9529.3985379001351</v>
      </c>
      <c r="S42" s="8">
        <v>9793.9250739135441</v>
      </c>
      <c r="T42" s="8">
        <v>10058.451609926953</v>
      </c>
      <c r="U42" s="8">
        <v>10322.978145940364</v>
      </c>
      <c r="V42" s="8">
        <v>10587.504681953773</v>
      </c>
      <c r="W42" s="8">
        <v>10852.031217967182</v>
      </c>
      <c r="X42" s="8">
        <v>11041.176060160853</v>
      </c>
      <c r="Y42" s="8">
        <v>11230.320902354524</v>
      </c>
      <c r="Z42" s="8">
        <v>11419.465744548197</v>
      </c>
      <c r="AA42" s="8">
        <v>11608.610586741868</v>
      </c>
      <c r="AB42" s="8">
        <v>11797.755428935539</v>
      </c>
      <c r="AC42" s="8">
        <v>11909.642143107023</v>
      </c>
      <c r="AD42" s="8">
        <v>12021.528857278508</v>
      </c>
      <c r="AE42" s="8">
        <v>12133.415571449992</v>
      </c>
      <c r="AF42" s="8">
        <v>12245.302285621477</v>
      </c>
      <c r="AG42" s="8">
        <v>12357.188999792961</v>
      </c>
      <c r="AH42" s="8">
        <v>12433.132208295263</v>
      </c>
      <c r="AI42" s="8">
        <v>12509.075416797565</v>
      </c>
      <c r="AJ42" s="8">
        <v>12585.018625299866</v>
      </c>
      <c r="AK42" s="8">
        <v>12660.961833802168</v>
      </c>
      <c r="AL42" s="8">
        <v>12736.90504230447</v>
      </c>
      <c r="AM42" s="8">
        <v>12843.288180006462</v>
      </c>
      <c r="AN42" s="8">
        <v>12949.671317708455</v>
      </c>
      <c r="AO42" s="8">
        <v>13056.054455410447</v>
      </c>
      <c r="AP42" s="8">
        <v>13162.43759311244</v>
      </c>
      <c r="AQ42" s="8">
        <v>13268.820730814432</v>
      </c>
      <c r="AR42" s="8">
        <v>13384.057660968123</v>
      </c>
      <c r="AS42" s="8">
        <v>13499.294591121816</v>
      </c>
      <c r="AT42" s="8">
        <v>13614.531521275507</v>
      </c>
      <c r="AU42" s="8">
        <v>13729.7684514292</v>
      </c>
      <c r="AV42" s="8">
        <v>13845.005381582891</v>
      </c>
      <c r="AW42" s="8">
        <v>13942.177773736905</v>
      </c>
      <c r="AX42" s="8">
        <v>14039.350165890921</v>
      </c>
      <c r="AY42" s="8">
        <v>14136.522558044935</v>
      </c>
      <c r="AZ42" s="8">
        <v>14233.694950198951</v>
      </c>
      <c r="BA42" s="8">
        <v>14330.867342352965</v>
      </c>
      <c r="BB42" s="102" t="s">
        <v>17</v>
      </c>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row>
    <row r="43" spans="1:80" x14ac:dyDescent="0.2">
      <c r="B43" s="101" t="s">
        <v>179</v>
      </c>
      <c r="C43" s="8">
        <v>13776.477488435143</v>
      </c>
      <c r="D43" s="8">
        <v>14559.936763502861</v>
      </c>
      <c r="E43" s="8">
        <v>15343.39603857058</v>
      </c>
      <c r="F43" s="8">
        <v>16126.855313638298</v>
      </c>
      <c r="G43" s="8">
        <v>16910.314588706016</v>
      </c>
      <c r="H43" s="8">
        <v>17693.773863773735</v>
      </c>
      <c r="I43" s="8">
        <v>18588.480769448386</v>
      </c>
      <c r="J43" s="8">
        <v>19483.187675123037</v>
      </c>
      <c r="K43" s="8">
        <v>20377.894580797689</v>
      </c>
      <c r="L43" s="8">
        <v>21272.60148647234</v>
      </c>
      <c r="M43" s="8">
        <v>22167.308392146992</v>
      </c>
      <c r="N43" s="8">
        <v>23132.134483206773</v>
      </c>
      <c r="O43" s="8">
        <v>24096.960574266555</v>
      </c>
      <c r="P43" s="8">
        <v>25061.786665326341</v>
      </c>
      <c r="Q43" s="8">
        <v>26026.612756386123</v>
      </c>
      <c r="R43" s="8">
        <v>26991.438847445905</v>
      </c>
      <c r="S43" s="8">
        <v>28026.384123890817</v>
      </c>
      <c r="T43" s="8">
        <v>29061.32940033573</v>
      </c>
      <c r="U43" s="8">
        <v>30096.274676780646</v>
      </c>
      <c r="V43" s="8">
        <v>31131.219953225558</v>
      </c>
      <c r="W43" s="8">
        <v>32166.165229670471</v>
      </c>
      <c r="X43" s="8">
        <v>33271.229691500514</v>
      </c>
      <c r="Y43" s="8">
        <v>34376.294153330557</v>
      </c>
      <c r="Z43" s="8">
        <v>35481.358615160607</v>
      </c>
      <c r="AA43" s="8">
        <v>36586.42307699065</v>
      </c>
      <c r="AB43" s="8">
        <v>37691.487538820693</v>
      </c>
      <c r="AC43" s="8">
        <v>38866.67118603587</v>
      </c>
      <c r="AD43" s="8">
        <v>40041.854833251047</v>
      </c>
      <c r="AE43" s="8">
        <v>41217.038480466217</v>
      </c>
      <c r="AF43" s="8">
        <v>42392.222127681394</v>
      </c>
      <c r="AG43" s="8">
        <v>43567.405774896572</v>
      </c>
      <c r="AH43" s="8">
        <v>44812.708607496876</v>
      </c>
      <c r="AI43" s="8">
        <v>46058.01144009718</v>
      </c>
      <c r="AJ43" s="8">
        <v>47303.314272697484</v>
      </c>
      <c r="AK43" s="8">
        <v>48548.617105297788</v>
      </c>
      <c r="AL43" s="8">
        <v>49793.919937898092</v>
      </c>
      <c r="AM43" s="8">
        <v>51109.34195588353</v>
      </c>
      <c r="AN43" s="8">
        <v>52424.763973868969</v>
      </c>
      <c r="AO43" s="8">
        <v>53740.1859918544</v>
      </c>
      <c r="AP43" s="8">
        <v>55055.608009839838</v>
      </c>
      <c r="AQ43" s="8">
        <v>56371.030027825276</v>
      </c>
      <c r="AR43" s="8">
        <v>57756.571231195841</v>
      </c>
      <c r="AS43" s="8">
        <v>59142.112434566414</v>
      </c>
      <c r="AT43" s="8">
        <v>60527.653637936979</v>
      </c>
      <c r="AU43" s="8">
        <v>61913.194841307552</v>
      </c>
      <c r="AV43" s="8">
        <v>63298.736044678117</v>
      </c>
      <c r="AW43" s="8">
        <v>64754.396433433816</v>
      </c>
      <c r="AX43" s="8">
        <v>66210.056822189508</v>
      </c>
      <c r="AY43" s="8">
        <v>67665.717210945208</v>
      </c>
      <c r="AZ43" s="8">
        <v>69121.377599700907</v>
      </c>
      <c r="BA43" s="8">
        <v>70577.037988456606</v>
      </c>
      <c r="BB43" s="102" t="s">
        <v>17</v>
      </c>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row>
    <row r="44" spans="1:80" x14ac:dyDescent="0.2">
      <c r="A44" s="1"/>
      <c r="B44" s="101" t="s">
        <v>137</v>
      </c>
      <c r="C44" s="8">
        <v>20586.529797784642</v>
      </c>
      <c r="D44" s="8">
        <v>21773.840298224219</v>
      </c>
      <c r="E44" s="8">
        <v>22961.150798663795</v>
      </c>
      <c r="F44" s="8">
        <v>24148.461299103372</v>
      </c>
      <c r="G44" s="8">
        <v>25335.771799542945</v>
      </c>
      <c r="H44" s="8">
        <v>26523.082299982521</v>
      </c>
      <c r="I44" s="8">
        <v>27462.196703189384</v>
      </c>
      <c r="J44" s="8">
        <v>28401.311106396242</v>
      </c>
      <c r="K44" s="8">
        <v>29340.425509603105</v>
      </c>
      <c r="L44" s="8">
        <v>30279.539912809963</v>
      </c>
      <c r="M44" s="8">
        <v>31218.654316016826</v>
      </c>
      <c r="N44" s="8">
        <v>32279.090929882666</v>
      </c>
      <c r="O44" s="8">
        <v>33339.527543748511</v>
      </c>
      <c r="P44" s="8">
        <v>34399.964157614355</v>
      </c>
      <c r="Q44" s="8">
        <v>35460.400771480192</v>
      </c>
      <c r="R44" s="8">
        <v>36520.837385346036</v>
      </c>
      <c r="S44" s="8">
        <v>37820.309197804359</v>
      </c>
      <c r="T44" s="8">
        <v>39119.781010262683</v>
      </c>
      <c r="U44" s="8">
        <v>40419.252822721006</v>
      </c>
      <c r="V44" s="8">
        <v>41718.724635179329</v>
      </c>
      <c r="W44" s="8">
        <v>43018.196447637652</v>
      </c>
      <c r="X44" s="8">
        <v>44312.405751661368</v>
      </c>
      <c r="Y44" s="8">
        <v>45606.615055685084</v>
      </c>
      <c r="Z44" s="8">
        <v>46900.8243597088</v>
      </c>
      <c r="AA44" s="8">
        <v>48195.033663732516</v>
      </c>
      <c r="AB44" s="8">
        <v>49489.242967756232</v>
      </c>
      <c r="AC44" s="8">
        <v>50776.313329142889</v>
      </c>
      <c r="AD44" s="8">
        <v>52063.383690529554</v>
      </c>
      <c r="AE44" s="8">
        <v>53350.454051916211</v>
      </c>
      <c r="AF44" s="8">
        <v>54637.524413302875</v>
      </c>
      <c r="AG44" s="8">
        <v>55924.594774689533</v>
      </c>
      <c r="AH44" s="8">
        <v>57245.840815792137</v>
      </c>
      <c r="AI44" s="8">
        <v>58567.086856894741</v>
      </c>
      <c r="AJ44" s="8">
        <v>59888.332897997352</v>
      </c>
      <c r="AK44" s="8">
        <v>61209.578939099956</v>
      </c>
      <c r="AL44" s="8">
        <v>62530.82498020256</v>
      </c>
      <c r="AM44" s="8">
        <v>63952.630135889987</v>
      </c>
      <c r="AN44" s="8">
        <v>65374.435291577414</v>
      </c>
      <c r="AO44" s="8">
        <v>66796.240447264849</v>
      </c>
      <c r="AP44" s="8">
        <v>68218.045602952276</v>
      </c>
      <c r="AQ44" s="8">
        <v>69639.850758639703</v>
      </c>
      <c r="AR44" s="8">
        <v>71140.628892163964</v>
      </c>
      <c r="AS44" s="8">
        <v>72641.407025688226</v>
      </c>
      <c r="AT44" s="8">
        <v>74142.185159212488</v>
      </c>
      <c r="AU44" s="8">
        <v>75642.963292736749</v>
      </c>
      <c r="AV44" s="8">
        <v>77143.741426261011</v>
      </c>
      <c r="AW44" s="8">
        <v>78696.574207170721</v>
      </c>
      <c r="AX44" s="8">
        <v>80249.406988080431</v>
      </c>
      <c r="AY44" s="8">
        <v>81802.239768990155</v>
      </c>
      <c r="AZ44" s="8">
        <v>83355.072549899865</v>
      </c>
      <c r="BA44" s="8">
        <v>84907.905330809575</v>
      </c>
      <c r="BB44" s="102" t="s">
        <v>17</v>
      </c>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row>
    <row r="45" spans="1:80" x14ac:dyDescent="0.2">
      <c r="A45" s="3"/>
      <c r="B45" s="101" t="s">
        <v>173</v>
      </c>
      <c r="C45" s="8">
        <v>9478.2855449419058</v>
      </c>
      <c r="D45" s="8">
        <v>9748.1199400448495</v>
      </c>
      <c r="E45" s="8">
        <v>10017.954335147793</v>
      </c>
      <c r="F45" s="8">
        <v>10287.788730250739</v>
      </c>
      <c r="G45" s="8">
        <v>10557.623125353683</v>
      </c>
      <c r="H45" s="8">
        <v>10827.457520456626</v>
      </c>
      <c r="I45" s="8">
        <v>11364.86524133184</v>
      </c>
      <c r="J45" s="8">
        <v>11902.272962207053</v>
      </c>
      <c r="K45" s="8">
        <v>12439.680683082268</v>
      </c>
      <c r="L45" s="8">
        <v>12977.088403957481</v>
      </c>
      <c r="M45" s="8">
        <v>13514.496124832694</v>
      </c>
      <c r="N45" s="8">
        <v>13913.943498353085</v>
      </c>
      <c r="O45" s="8">
        <v>14313.390871873475</v>
      </c>
      <c r="P45" s="8">
        <v>14712.838245393865</v>
      </c>
      <c r="Q45" s="8">
        <v>15112.285618914255</v>
      </c>
      <c r="R45" s="8">
        <v>15511.732992434645</v>
      </c>
      <c r="S45" s="8">
        <v>15943.916171439687</v>
      </c>
      <c r="T45" s="8">
        <v>16376.099350444731</v>
      </c>
      <c r="U45" s="8">
        <v>16808.282529449774</v>
      </c>
      <c r="V45" s="8">
        <v>17240.465708454816</v>
      </c>
      <c r="W45" s="8">
        <v>17672.648887459858</v>
      </c>
      <c r="X45" s="8">
        <v>18101.315209224529</v>
      </c>
      <c r="Y45" s="8">
        <v>18529.9815309892</v>
      </c>
      <c r="Z45" s="8">
        <v>18958.647852753867</v>
      </c>
      <c r="AA45" s="8">
        <v>19387.314174518538</v>
      </c>
      <c r="AB45" s="8">
        <v>19815.98049628321</v>
      </c>
      <c r="AC45" s="8">
        <v>20215.883192215631</v>
      </c>
      <c r="AD45" s="8">
        <v>20615.785888148057</v>
      </c>
      <c r="AE45" s="8">
        <v>21015.688584080479</v>
      </c>
      <c r="AF45" s="8">
        <v>21415.591280012904</v>
      </c>
      <c r="AG45" s="8">
        <v>21815.493975945326</v>
      </c>
      <c r="AH45" s="8">
        <v>22186.912709803088</v>
      </c>
      <c r="AI45" s="8">
        <v>22558.331443660849</v>
      </c>
      <c r="AJ45" s="8">
        <v>22929.75017751861</v>
      </c>
      <c r="AK45" s="8">
        <v>23301.168911376371</v>
      </c>
      <c r="AL45" s="8">
        <v>23672.587645234133</v>
      </c>
      <c r="AM45" s="8">
        <v>24007.303794357038</v>
      </c>
      <c r="AN45" s="8">
        <v>24342.019943479943</v>
      </c>
      <c r="AO45" s="8">
        <v>24676.736092602849</v>
      </c>
      <c r="AP45" s="8">
        <v>25011.452241725754</v>
      </c>
      <c r="AQ45" s="8">
        <v>25346.168390848659</v>
      </c>
      <c r="AR45" s="8">
        <v>25647.691256045931</v>
      </c>
      <c r="AS45" s="8">
        <v>25949.214121243203</v>
      </c>
      <c r="AT45" s="8">
        <v>26250.736986440472</v>
      </c>
      <c r="AU45" s="8">
        <v>26552.259851637744</v>
      </c>
      <c r="AV45" s="8">
        <v>26853.782716835016</v>
      </c>
      <c r="AW45" s="8">
        <v>27126.379570888526</v>
      </c>
      <c r="AX45" s="8">
        <v>27398.97642494204</v>
      </c>
      <c r="AY45" s="8">
        <v>27671.573278995551</v>
      </c>
      <c r="AZ45" s="8">
        <v>27944.170133049065</v>
      </c>
      <c r="BA45" s="8">
        <v>28216.766987102576</v>
      </c>
      <c r="BB45" s="102" t="s">
        <v>17</v>
      </c>
      <c r="BC45" s="8"/>
    </row>
    <row r="46" spans="1:80" x14ac:dyDescent="0.2">
      <c r="A46" s="7"/>
      <c r="B46" s="101" t="s">
        <v>174</v>
      </c>
      <c r="C46" s="8">
        <v>82129.658404070011</v>
      </c>
      <c r="D46" s="8">
        <v>85559.843247989804</v>
      </c>
      <c r="E46" s="8">
        <v>88990.028091909582</v>
      </c>
      <c r="F46" s="8">
        <v>92420.212935829375</v>
      </c>
      <c r="G46" s="8">
        <v>95850.397779749153</v>
      </c>
      <c r="H46" s="8">
        <v>99280.582623668946</v>
      </c>
      <c r="I46" s="8">
        <v>102962.17134736554</v>
      </c>
      <c r="J46" s="8">
        <v>106643.76007106215</v>
      </c>
      <c r="K46" s="8">
        <v>110325.34879475874</v>
      </c>
      <c r="L46" s="8">
        <v>114006.93751845535</v>
      </c>
      <c r="M46" s="8">
        <v>117688.52624215194</v>
      </c>
      <c r="N46" s="8">
        <v>121662.13333956961</v>
      </c>
      <c r="O46" s="8">
        <v>125635.74043698728</v>
      </c>
      <c r="P46" s="8">
        <v>129609.34753440495</v>
      </c>
      <c r="Q46" s="8">
        <v>133582.95463182262</v>
      </c>
      <c r="R46" s="8">
        <v>137556.56172924029</v>
      </c>
      <c r="S46" s="8">
        <v>141991.12572663015</v>
      </c>
      <c r="T46" s="8">
        <v>146425.68972402002</v>
      </c>
      <c r="U46" s="8">
        <v>150860.25372140988</v>
      </c>
      <c r="V46" s="8">
        <v>155294.81771879975</v>
      </c>
      <c r="W46" s="8">
        <v>159729.38171618961</v>
      </c>
      <c r="X46" s="8">
        <v>164864.46312478781</v>
      </c>
      <c r="Y46" s="8">
        <v>169999.54453338604</v>
      </c>
      <c r="Z46" s="8">
        <v>175134.62594198424</v>
      </c>
      <c r="AA46" s="8">
        <v>180269.70735058247</v>
      </c>
      <c r="AB46" s="8">
        <v>185404.78875918066</v>
      </c>
      <c r="AC46" s="8">
        <v>191400.03627423599</v>
      </c>
      <c r="AD46" s="8">
        <v>197395.28378929134</v>
      </c>
      <c r="AE46" s="8">
        <v>203390.53130434666</v>
      </c>
      <c r="AF46" s="8">
        <v>209385.77881940201</v>
      </c>
      <c r="AG46" s="8">
        <v>215381.02633445733</v>
      </c>
      <c r="AH46" s="8">
        <v>222478.45207112053</v>
      </c>
      <c r="AI46" s="8">
        <v>229575.87780778369</v>
      </c>
      <c r="AJ46" s="8">
        <v>236673.30354444688</v>
      </c>
      <c r="AK46" s="8">
        <v>243770.72928111005</v>
      </c>
      <c r="AL46" s="8">
        <v>250868.15501777324</v>
      </c>
      <c r="AM46" s="8">
        <v>259925.42941289907</v>
      </c>
      <c r="AN46" s="8">
        <v>268982.70380802487</v>
      </c>
      <c r="AO46" s="8">
        <v>278039.97820315073</v>
      </c>
      <c r="AP46" s="8">
        <v>287097.25259827659</v>
      </c>
      <c r="AQ46" s="8">
        <v>296154.5269934024</v>
      </c>
      <c r="AR46" s="8">
        <v>301516.7608791485</v>
      </c>
      <c r="AS46" s="8">
        <v>306878.9947648946</v>
      </c>
      <c r="AT46" s="8">
        <v>312241.22865064075</v>
      </c>
      <c r="AU46" s="8">
        <v>317603.46253638685</v>
      </c>
      <c r="AV46" s="8">
        <v>322965.69642213295</v>
      </c>
      <c r="AW46" s="8">
        <v>328206.73134193441</v>
      </c>
      <c r="AX46" s="8">
        <v>333447.76626173581</v>
      </c>
      <c r="AY46" s="8">
        <v>338688.80118153727</v>
      </c>
      <c r="AZ46" s="8">
        <v>343929.83610133867</v>
      </c>
      <c r="BA46" s="8">
        <v>349170.87102114013</v>
      </c>
      <c r="BB46" s="102" t="s">
        <v>17</v>
      </c>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row>
    <row r="47" spans="1:80" x14ac:dyDescent="0.2">
      <c r="A47" s="7"/>
      <c r="B47" s="101" t="s">
        <v>175</v>
      </c>
      <c r="C47" s="103">
        <v>855.37529447154486</v>
      </c>
      <c r="D47" s="103">
        <v>901.39813618140602</v>
      </c>
      <c r="E47" s="103">
        <v>947.42097789126706</v>
      </c>
      <c r="F47" s="103">
        <v>993.44381960112821</v>
      </c>
      <c r="G47" s="103">
        <v>1039.4666613109894</v>
      </c>
      <c r="H47" s="103">
        <v>1085.4895030208504</v>
      </c>
      <c r="I47" s="103">
        <v>1088.6464388999332</v>
      </c>
      <c r="J47" s="103">
        <v>1091.8033747790159</v>
      </c>
      <c r="K47" s="103">
        <v>1094.9603106580985</v>
      </c>
      <c r="L47" s="103">
        <v>1098.1172465371812</v>
      </c>
      <c r="M47" s="103">
        <v>1101.274182416264</v>
      </c>
      <c r="N47" s="103">
        <v>1091.335400579313</v>
      </c>
      <c r="O47" s="103">
        <v>1081.3966187423621</v>
      </c>
      <c r="P47" s="103">
        <v>1071.4578369054109</v>
      </c>
      <c r="Q47" s="103">
        <v>1061.5190550684599</v>
      </c>
      <c r="R47" s="103">
        <v>1051.580273231509</v>
      </c>
      <c r="S47" s="103">
        <v>1079.9865085338113</v>
      </c>
      <c r="T47" s="103">
        <v>1108.3927438361136</v>
      </c>
      <c r="U47" s="103">
        <v>1136.7989791384161</v>
      </c>
      <c r="V47" s="103">
        <v>1165.2052144407185</v>
      </c>
      <c r="W47" s="103">
        <v>1193.6114497430208</v>
      </c>
      <c r="X47" s="103">
        <v>1185.879894757049</v>
      </c>
      <c r="Y47" s="103">
        <v>1178.1483397710772</v>
      </c>
      <c r="Z47" s="103">
        <v>1170.4167847851054</v>
      </c>
      <c r="AA47" s="103">
        <v>1162.6852297991336</v>
      </c>
      <c r="AB47" s="103">
        <v>1154.9536748131618</v>
      </c>
      <c r="AC47" s="103">
        <v>1160.7118183116236</v>
      </c>
      <c r="AD47" s="103">
        <v>1166.4699618100856</v>
      </c>
      <c r="AE47" s="103">
        <v>1172.2281053085474</v>
      </c>
      <c r="AF47" s="103">
        <v>1177.9862488070094</v>
      </c>
      <c r="AG47" s="103">
        <v>1183.7443923054711</v>
      </c>
      <c r="AH47" s="103">
        <v>1219.0785079642912</v>
      </c>
      <c r="AI47" s="103">
        <v>1254.4126236231114</v>
      </c>
      <c r="AJ47" s="103">
        <v>1289.7467392819315</v>
      </c>
      <c r="AK47" s="103">
        <v>1325.0808549407516</v>
      </c>
      <c r="AL47" s="103">
        <v>1360.4149705995717</v>
      </c>
      <c r="AM47" s="103">
        <v>1366.9496759918345</v>
      </c>
      <c r="AN47" s="103">
        <v>1373.4843813840973</v>
      </c>
      <c r="AO47" s="103">
        <v>1380.0190867763602</v>
      </c>
      <c r="AP47" s="103">
        <v>1386.553792168623</v>
      </c>
      <c r="AQ47" s="103">
        <v>1393.0884975608858</v>
      </c>
      <c r="AR47" s="103">
        <v>1399.5985560415852</v>
      </c>
      <c r="AS47" s="103">
        <v>1406.1086145222848</v>
      </c>
      <c r="AT47" s="103">
        <v>1412.6186730029842</v>
      </c>
      <c r="AU47" s="103">
        <v>1419.1287314836839</v>
      </c>
      <c r="AV47" s="103">
        <v>1425.6387899643832</v>
      </c>
      <c r="AW47" s="103">
        <v>1463.3793448491504</v>
      </c>
      <c r="AX47" s="103">
        <v>1501.1198997339177</v>
      </c>
      <c r="AY47" s="103">
        <v>1538.8604546186848</v>
      </c>
      <c r="AZ47" s="103">
        <v>1576.6010095034521</v>
      </c>
      <c r="BA47" s="103">
        <v>1614.3415643882192</v>
      </c>
      <c r="BB47" s="2" t="s">
        <v>16</v>
      </c>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row>
    <row r="48" spans="1:80" x14ac:dyDescent="0.2">
      <c r="A48" s="7"/>
      <c r="B48" s="101" t="s">
        <v>176</v>
      </c>
      <c r="C48" s="103">
        <v>121.14541817718295</v>
      </c>
      <c r="D48" s="103">
        <v>126.01942397675997</v>
      </c>
      <c r="E48" s="103">
        <v>130.89342977633697</v>
      </c>
      <c r="F48" s="103">
        <v>135.76743557591399</v>
      </c>
      <c r="G48" s="103">
        <v>140.64144137549101</v>
      </c>
      <c r="H48" s="103">
        <v>145.51544717506803</v>
      </c>
      <c r="I48" s="103">
        <v>150.65041396466685</v>
      </c>
      <c r="J48" s="103">
        <v>155.78538075426565</v>
      </c>
      <c r="K48" s="103">
        <v>160.92034754386447</v>
      </c>
      <c r="L48" s="103">
        <v>166.05531433346326</v>
      </c>
      <c r="M48" s="103">
        <v>171.19028112306208</v>
      </c>
      <c r="N48" s="103">
        <v>169.29603580950874</v>
      </c>
      <c r="O48" s="103">
        <v>167.40179049595537</v>
      </c>
      <c r="P48" s="103">
        <v>165.50754518240203</v>
      </c>
      <c r="Q48" s="103">
        <v>163.61329986884866</v>
      </c>
      <c r="R48" s="103">
        <v>161.71905455529532</v>
      </c>
      <c r="S48" s="103">
        <v>166.48980634939633</v>
      </c>
      <c r="T48" s="103">
        <v>171.26055814349735</v>
      </c>
      <c r="U48" s="103">
        <v>176.03130993759837</v>
      </c>
      <c r="V48" s="103">
        <v>180.80206173169938</v>
      </c>
      <c r="W48" s="103">
        <v>185.5728135258004</v>
      </c>
      <c r="X48" s="103">
        <v>186.04818761432838</v>
      </c>
      <c r="Y48" s="103">
        <v>186.52356170285634</v>
      </c>
      <c r="Z48" s="103">
        <v>186.99893579138433</v>
      </c>
      <c r="AA48" s="103">
        <v>187.47430987991228</v>
      </c>
      <c r="AB48" s="103">
        <v>187.94968396844027</v>
      </c>
      <c r="AC48" s="103">
        <v>188.0760638126238</v>
      </c>
      <c r="AD48" s="103">
        <v>188.20244365680733</v>
      </c>
      <c r="AE48" s="103">
        <v>188.32882350099084</v>
      </c>
      <c r="AF48" s="103">
        <v>188.45520334517437</v>
      </c>
      <c r="AG48" s="103">
        <v>188.5815831893579</v>
      </c>
      <c r="AH48" s="103">
        <v>192.39613919253733</v>
      </c>
      <c r="AI48" s="103">
        <v>196.2106951957168</v>
      </c>
      <c r="AJ48" s="103">
        <v>200.02525119889623</v>
      </c>
      <c r="AK48" s="103">
        <v>203.83980720207569</v>
      </c>
      <c r="AL48" s="103">
        <v>207.65436320525512</v>
      </c>
      <c r="AM48" s="103">
        <v>210.09460223008873</v>
      </c>
      <c r="AN48" s="103">
        <v>212.53484125492236</v>
      </c>
      <c r="AO48" s="103">
        <v>214.97508027975596</v>
      </c>
      <c r="AP48" s="103">
        <v>217.41531930458959</v>
      </c>
      <c r="AQ48" s="103">
        <v>219.85555832942319</v>
      </c>
      <c r="AR48" s="103">
        <v>219.47576795312028</v>
      </c>
      <c r="AS48" s="103">
        <v>219.09597757681738</v>
      </c>
      <c r="AT48" s="103">
        <v>218.71618720051444</v>
      </c>
      <c r="AU48" s="103">
        <v>218.33639682421153</v>
      </c>
      <c r="AV48" s="103">
        <v>217.95660644790863</v>
      </c>
      <c r="AW48" s="103">
        <v>220.01882331329566</v>
      </c>
      <c r="AX48" s="103">
        <v>222.08104017868268</v>
      </c>
      <c r="AY48" s="103">
        <v>224.14325704406974</v>
      </c>
      <c r="AZ48" s="103">
        <v>226.20547390945677</v>
      </c>
      <c r="BA48" s="103">
        <v>228.2676907748438</v>
      </c>
      <c r="BB48" s="2" t="s">
        <v>17</v>
      </c>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row>
    <row r="49" spans="1:80" x14ac:dyDescent="0.2">
      <c r="A49" s="7"/>
      <c r="B49" s="101" t="s">
        <v>177</v>
      </c>
      <c r="C49" s="103">
        <v>101.16758546856049</v>
      </c>
      <c r="D49" s="103">
        <v>101.84406610987863</v>
      </c>
      <c r="E49" s="103">
        <v>102.52054675119676</v>
      </c>
      <c r="F49" s="103">
        <v>103.1970273925149</v>
      </c>
      <c r="G49" s="103">
        <v>103.87350803383303</v>
      </c>
      <c r="H49" s="103">
        <v>104.54998867515117</v>
      </c>
      <c r="I49" s="103">
        <v>105.2578674747383</v>
      </c>
      <c r="J49" s="103">
        <v>105.96574627432544</v>
      </c>
      <c r="K49" s="103">
        <v>106.67362507391256</v>
      </c>
      <c r="L49" s="103">
        <v>107.3815038734997</v>
      </c>
      <c r="M49" s="103">
        <v>108.08938267308683</v>
      </c>
      <c r="N49" s="103">
        <v>112.05285127497528</v>
      </c>
      <c r="O49" s="103">
        <v>116.01631987686373</v>
      </c>
      <c r="P49" s="103">
        <v>119.97978847875217</v>
      </c>
      <c r="Q49" s="103">
        <v>123.94325708064062</v>
      </c>
      <c r="R49" s="103">
        <v>127.90672568252907</v>
      </c>
      <c r="S49" s="103">
        <v>127.43956913139907</v>
      </c>
      <c r="T49" s="103">
        <v>126.97241258026907</v>
      </c>
      <c r="U49" s="103">
        <v>126.50525602913905</v>
      </c>
      <c r="V49" s="103">
        <v>126.03809947800904</v>
      </c>
      <c r="W49" s="103">
        <v>125.57094292687904</v>
      </c>
      <c r="X49" s="103">
        <v>124.31403313587484</v>
      </c>
      <c r="Y49" s="103">
        <v>123.05712334487063</v>
      </c>
      <c r="Z49" s="103">
        <v>121.80021355386643</v>
      </c>
      <c r="AA49" s="103">
        <v>120.54330376286222</v>
      </c>
      <c r="AB49" s="103">
        <v>119.28639397185802</v>
      </c>
      <c r="AC49" s="103">
        <v>119.90513636106878</v>
      </c>
      <c r="AD49" s="103">
        <v>120.52387875027955</v>
      </c>
      <c r="AE49" s="103">
        <v>121.14262113949032</v>
      </c>
      <c r="AF49" s="103">
        <v>121.76136352870108</v>
      </c>
      <c r="AG49" s="103">
        <v>122.38010591791185</v>
      </c>
      <c r="AH49" s="103">
        <v>123.66812335687182</v>
      </c>
      <c r="AI49" s="103">
        <v>124.95614079583179</v>
      </c>
      <c r="AJ49" s="103">
        <v>126.24415823479174</v>
      </c>
      <c r="AK49" s="103">
        <v>127.53217567375171</v>
      </c>
      <c r="AL49" s="103">
        <v>128.82019311271168</v>
      </c>
      <c r="AM49" s="103">
        <v>129.50212724825752</v>
      </c>
      <c r="AN49" s="103">
        <v>130.18406138380337</v>
      </c>
      <c r="AO49" s="103">
        <v>130.86599551934924</v>
      </c>
      <c r="AP49" s="103">
        <v>131.54792965489509</v>
      </c>
      <c r="AQ49" s="103">
        <v>132.22986379044093</v>
      </c>
      <c r="AR49" s="103">
        <v>133.17557021776412</v>
      </c>
      <c r="AS49" s="103">
        <v>134.12127664508731</v>
      </c>
      <c r="AT49" s="103">
        <v>135.06698307241049</v>
      </c>
      <c r="AU49" s="103">
        <v>136.01268949973368</v>
      </c>
      <c r="AV49" s="103">
        <v>136.95839592705687</v>
      </c>
      <c r="AW49" s="103">
        <v>137.55948686692943</v>
      </c>
      <c r="AX49" s="103">
        <v>138.160577806802</v>
      </c>
      <c r="AY49" s="103">
        <v>138.76166874667459</v>
      </c>
      <c r="AZ49" s="103">
        <v>139.36275968654715</v>
      </c>
      <c r="BA49" s="103">
        <v>139.96385062641971</v>
      </c>
      <c r="BB49" s="2" t="s">
        <v>17</v>
      </c>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row>
    <row r="50" spans="1:80" x14ac:dyDescent="0.2">
      <c r="A50" s="7"/>
      <c r="B50" s="101" t="s">
        <v>178</v>
      </c>
      <c r="C50" s="103">
        <v>92.039889329872679</v>
      </c>
      <c r="D50" s="103">
        <v>95.039800064297125</v>
      </c>
      <c r="E50" s="103">
        <v>98.039710798721558</v>
      </c>
      <c r="F50" s="103">
        <v>101.039621533146</v>
      </c>
      <c r="G50" s="103">
        <v>104.03953226757044</v>
      </c>
      <c r="H50" s="103">
        <v>107.03944300199488</v>
      </c>
      <c r="I50" s="103">
        <v>111.17541416704098</v>
      </c>
      <c r="J50" s="103">
        <v>115.3113853320871</v>
      </c>
      <c r="K50" s="103">
        <v>119.4473564971332</v>
      </c>
      <c r="L50" s="103">
        <v>123.5833276621793</v>
      </c>
      <c r="M50" s="103">
        <v>127.71929882722542</v>
      </c>
      <c r="N50" s="103">
        <v>132.57484574680862</v>
      </c>
      <c r="O50" s="103">
        <v>137.43039266639181</v>
      </c>
      <c r="P50" s="103">
        <v>142.28593958597503</v>
      </c>
      <c r="Q50" s="103">
        <v>147.14148650555825</v>
      </c>
      <c r="R50" s="103">
        <v>151.99703342514144</v>
      </c>
      <c r="S50" s="103">
        <v>156.59885877666457</v>
      </c>
      <c r="T50" s="103">
        <v>161.2006841281877</v>
      </c>
      <c r="U50" s="103">
        <v>165.80250947971086</v>
      </c>
      <c r="V50" s="103">
        <v>170.404334831234</v>
      </c>
      <c r="W50" s="103">
        <v>175.00616018275713</v>
      </c>
      <c r="X50" s="103">
        <v>177.09326827740003</v>
      </c>
      <c r="Y50" s="103">
        <v>179.18037637204293</v>
      </c>
      <c r="Z50" s="103">
        <v>181.2674844666858</v>
      </c>
      <c r="AA50" s="103">
        <v>183.3545925613287</v>
      </c>
      <c r="AB50" s="103">
        <v>185.4417006559716</v>
      </c>
      <c r="AC50" s="103">
        <v>189.52862618890703</v>
      </c>
      <c r="AD50" s="103">
        <v>193.61555172184248</v>
      </c>
      <c r="AE50" s="103">
        <v>197.7024772547779</v>
      </c>
      <c r="AF50" s="103">
        <v>201.78940278771336</v>
      </c>
      <c r="AG50" s="103">
        <v>205.87632832064878</v>
      </c>
      <c r="AH50" s="103">
        <v>208.79813964401143</v>
      </c>
      <c r="AI50" s="103">
        <v>211.7199509673741</v>
      </c>
      <c r="AJ50" s="103">
        <v>214.64176229073675</v>
      </c>
      <c r="AK50" s="103">
        <v>217.56357361409943</v>
      </c>
      <c r="AL50" s="103">
        <v>220.48538493746207</v>
      </c>
      <c r="AM50" s="103">
        <v>224.11205155500315</v>
      </c>
      <c r="AN50" s="103">
        <v>227.73871817254425</v>
      </c>
      <c r="AO50" s="103">
        <v>231.36538479008533</v>
      </c>
      <c r="AP50" s="103">
        <v>234.99205140762643</v>
      </c>
      <c r="AQ50" s="103">
        <v>238.61871802516751</v>
      </c>
      <c r="AR50" s="103">
        <v>241.97417642652809</v>
      </c>
      <c r="AS50" s="103">
        <v>245.3296348278887</v>
      </c>
      <c r="AT50" s="103">
        <v>248.68509322924928</v>
      </c>
      <c r="AU50" s="103">
        <v>252.04055163060988</v>
      </c>
      <c r="AV50" s="103">
        <v>255.39601003197046</v>
      </c>
      <c r="AW50" s="103">
        <v>258.84294601323438</v>
      </c>
      <c r="AX50" s="103">
        <v>262.28988199449827</v>
      </c>
      <c r="AY50" s="103">
        <v>265.73681797576222</v>
      </c>
      <c r="AZ50" s="103">
        <v>269.18375395702617</v>
      </c>
      <c r="BA50" s="103">
        <v>272.63068993829006</v>
      </c>
      <c r="BB50" s="2" t="s">
        <v>17</v>
      </c>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row>
    <row r="51" spans="1:80" x14ac:dyDescent="0.2">
      <c r="A51" s="7"/>
      <c r="C51" s="8"/>
      <c r="D51" s="8"/>
      <c r="E51" s="8"/>
      <c r="F51" s="8"/>
      <c r="G51" s="8"/>
      <c r="H51" s="8"/>
      <c r="I51" s="8"/>
      <c r="J51" s="8"/>
      <c r="K51" s="8"/>
      <c r="L51" s="8"/>
      <c r="M51" s="8"/>
      <c r="N51" s="8"/>
      <c r="O51" s="8"/>
      <c r="P51" s="8"/>
      <c r="Q51" s="8"/>
      <c r="R51" s="8"/>
      <c r="S51" s="8"/>
      <c r="T51" s="8"/>
      <c r="U51" s="8"/>
      <c r="V51" s="8"/>
      <c r="W51" s="8"/>
      <c r="X51" s="8"/>
      <c r="Y51" s="8"/>
      <c r="Z51" s="8"/>
      <c r="AA51" s="8"/>
      <c r="AB51" s="8"/>
      <c r="AG51" s="8"/>
      <c r="AH51" s="8"/>
      <c r="AI51" s="8"/>
      <c r="AJ51" s="8"/>
      <c r="AK51" s="8"/>
      <c r="AL51" s="8"/>
      <c r="AM51" s="8"/>
      <c r="AN51" s="8"/>
      <c r="AO51" s="8"/>
      <c r="AP51" s="8"/>
      <c r="AQ51" s="8"/>
      <c r="AR51" s="8"/>
      <c r="AS51" s="8"/>
      <c r="AT51" s="8"/>
      <c r="AU51" s="8"/>
      <c r="AV51" s="8"/>
      <c r="AW51" s="8"/>
      <c r="AX51" s="8"/>
      <c r="AY51" s="8"/>
      <c r="AZ51" s="8"/>
      <c r="BA51" s="8"/>
      <c r="BB51" s="10"/>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row>
    <row r="52" spans="1:80" x14ac:dyDescent="0.2">
      <c r="A52" s="7"/>
      <c r="B52" s="1" t="s">
        <v>18</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10"/>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row>
    <row r="53" spans="1:80" x14ac:dyDescent="0.2">
      <c r="A53" s="7"/>
      <c r="B53" s="5" t="s">
        <v>1</v>
      </c>
      <c r="C53" s="6">
        <v>2010</v>
      </c>
      <c r="D53" s="3">
        <v>2011</v>
      </c>
      <c r="E53" s="3">
        <v>2012</v>
      </c>
      <c r="F53" s="3">
        <v>2013</v>
      </c>
      <c r="G53" s="3">
        <v>2014</v>
      </c>
      <c r="H53" s="6">
        <v>2015</v>
      </c>
      <c r="I53" s="3">
        <v>2016</v>
      </c>
      <c r="J53" s="3">
        <v>2017</v>
      </c>
      <c r="K53" s="3">
        <v>2018</v>
      </c>
      <c r="L53" s="3">
        <v>2019</v>
      </c>
      <c r="M53" s="6">
        <v>2020</v>
      </c>
      <c r="N53" s="3">
        <v>2021</v>
      </c>
      <c r="O53" s="3">
        <v>2022</v>
      </c>
      <c r="P53" s="3">
        <v>2023</v>
      </c>
      <c r="Q53" s="3">
        <v>2024</v>
      </c>
      <c r="R53" s="6">
        <v>2025</v>
      </c>
      <c r="S53" s="3">
        <v>2026</v>
      </c>
      <c r="T53" s="3">
        <v>2027</v>
      </c>
      <c r="U53" s="3">
        <v>2028</v>
      </c>
      <c r="V53" s="3">
        <v>2029</v>
      </c>
      <c r="W53" s="6">
        <v>2030</v>
      </c>
      <c r="X53" s="3">
        <v>2031</v>
      </c>
      <c r="Y53" s="3">
        <v>2032</v>
      </c>
      <c r="Z53" s="3">
        <v>2033</v>
      </c>
      <c r="AA53" s="3">
        <v>2034</v>
      </c>
      <c r="AB53" s="6">
        <v>2035</v>
      </c>
      <c r="AC53" s="3">
        <v>2036</v>
      </c>
      <c r="AD53" s="3">
        <v>2037</v>
      </c>
      <c r="AE53" s="3">
        <v>2038</v>
      </c>
      <c r="AF53" s="3">
        <v>2039</v>
      </c>
      <c r="AG53" s="6">
        <v>2040</v>
      </c>
      <c r="AH53" s="3">
        <v>2041</v>
      </c>
      <c r="AI53" s="3">
        <v>2042</v>
      </c>
      <c r="AJ53" s="3">
        <v>2043</v>
      </c>
      <c r="AK53" s="3">
        <v>2044</v>
      </c>
      <c r="AL53" s="6">
        <v>2045</v>
      </c>
      <c r="AM53" s="3">
        <v>2046</v>
      </c>
      <c r="AN53" s="3">
        <v>2047</v>
      </c>
      <c r="AO53" s="3">
        <v>2048</v>
      </c>
      <c r="AP53" s="3">
        <v>2049</v>
      </c>
      <c r="AQ53" s="6">
        <v>2050</v>
      </c>
      <c r="AR53" s="3">
        <v>2051</v>
      </c>
      <c r="AS53" s="3">
        <v>2052</v>
      </c>
      <c r="AT53" s="3">
        <v>2053</v>
      </c>
      <c r="AU53" s="3">
        <v>2054</v>
      </c>
      <c r="AV53" s="6">
        <v>2055</v>
      </c>
      <c r="AW53" s="3">
        <v>2056</v>
      </c>
      <c r="AX53" s="3">
        <v>2057</v>
      </c>
      <c r="AY53" s="3">
        <v>2058</v>
      </c>
      <c r="AZ53" s="3">
        <v>2059</v>
      </c>
      <c r="BA53" s="6">
        <v>2060</v>
      </c>
      <c r="BD53" s="8"/>
      <c r="BE53" s="8"/>
      <c r="BF53" s="8"/>
      <c r="BG53" s="8"/>
      <c r="BH53" s="8"/>
      <c r="BI53" s="8"/>
      <c r="BJ53" s="8"/>
      <c r="BK53" s="8"/>
      <c r="BL53" s="8"/>
      <c r="BM53" s="8"/>
      <c r="BN53" s="8"/>
      <c r="BO53" s="8"/>
      <c r="BP53" s="8"/>
      <c r="BQ53" s="8"/>
      <c r="BR53" s="8"/>
      <c r="BS53" s="8"/>
      <c r="BT53" s="8"/>
      <c r="BU53" s="8"/>
      <c r="BV53" s="8"/>
      <c r="BW53" s="8"/>
      <c r="BX53" s="8"/>
      <c r="BY53" s="8"/>
      <c r="BZ53" s="8"/>
      <c r="CA53" s="8"/>
      <c r="CB53" s="8"/>
    </row>
    <row r="54" spans="1:80" x14ac:dyDescent="0.2">
      <c r="A54" s="7"/>
      <c r="B54" s="101" t="s">
        <v>2</v>
      </c>
      <c r="C54" s="11">
        <v>122.24330707758429</v>
      </c>
      <c r="D54" s="11">
        <v>119.0954091669435</v>
      </c>
      <c r="E54" s="11">
        <v>116.25154085900522</v>
      </c>
      <c r="F54" s="11">
        <v>113.66968558815684</v>
      </c>
      <c r="G54" s="11">
        <v>111.31522803327937</v>
      </c>
      <c r="H54" s="11">
        <v>109.1593931900004</v>
      </c>
      <c r="I54" s="11">
        <v>105.28807418979217</v>
      </c>
      <c r="J54" s="11">
        <v>101.58092422124622</v>
      </c>
      <c r="K54" s="11">
        <v>98.027717359720313</v>
      </c>
      <c r="L54" s="11">
        <v>94.619059689059469</v>
      </c>
      <c r="M54" s="11">
        <v>91.346306370435585</v>
      </c>
      <c r="N54" s="11">
        <v>88.116835386172369</v>
      </c>
      <c r="O54" s="11">
        <v>85.0110296163691</v>
      </c>
      <c r="P54" s="11">
        <v>82.02191929136967</v>
      </c>
      <c r="Q54" s="11">
        <v>79.143048738177413</v>
      </c>
      <c r="R54" s="11">
        <v>76.368429838394832</v>
      </c>
      <c r="S54" s="11">
        <v>72.939467438342348</v>
      </c>
      <c r="T54" s="11">
        <v>69.613441386866953</v>
      </c>
      <c r="U54" s="11">
        <v>66.385785054223277</v>
      </c>
      <c r="V54" s="11">
        <v>63.252197997340431</v>
      </c>
      <c r="W54" s="11">
        <v>60.208626843523753</v>
      </c>
      <c r="X54" s="11">
        <v>56.801366464791634</v>
      </c>
      <c r="Y54" s="11">
        <v>53.498662443908465</v>
      </c>
      <c r="Z54" s="11">
        <v>50.295774828514496</v>
      </c>
      <c r="AA54" s="11">
        <v>47.188245908856793</v>
      </c>
      <c r="AB54" s="11">
        <v>44.171879518102607</v>
      </c>
      <c r="AC54" s="11">
        <v>41.222683899698865</v>
      </c>
      <c r="AD54" s="11">
        <v>38.373550433757629</v>
      </c>
      <c r="AE54" s="11">
        <v>35.619471612323601</v>
      </c>
      <c r="AF54" s="11">
        <v>32.955768572680498</v>
      </c>
      <c r="AG54" s="11">
        <v>30.378064571144883</v>
      </c>
      <c r="AH54" s="11">
        <v>28.090311085601225</v>
      </c>
      <c r="AI54" s="11">
        <v>25.892505371000023</v>
      </c>
      <c r="AJ54" s="11">
        <v>23.779444975311481</v>
      </c>
      <c r="AK54" s="11">
        <v>21.746321061104993</v>
      </c>
      <c r="AL54" s="11">
        <v>19.78868187077482</v>
      </c>
      <c r="AM54" s="11">
        <v>18.023166961905414</v>
      </c>
      <c r="AN54" s="11">
        <v>16.323295206540863</v>
      </c>
      <c r="AO54" s="11">
        <v>14.685472430034331</v>
      </c>
      <c r="AP54" s="11">
        <v>13.106362144896547</v>
      </c>
      <c r="AQ54" s="11">
        <v>11.582862863587623</v>
      </c>
      <c r="AR54" s="11">
        <v>10.461907159338185</v>
      </c>
      <c r="AS54" s="11">
        <v>9.3795370806322165</v>
      </c>
      <c r="AT54" s="11">
        <v>8.3337940406226068</v>
      </c>
      <c r="AU54" s="11">
        <v>7.3228498027942912</v>
      </c>
      <c r="AV54" s="11">
        <v>6.3449958143892795</v>
      </c>
      <c r="AW54" s="11">
        <v>5.8079081617144119</v>
      </c>
      <c r="AX54" s="11">
        <v>5.2875133421588396</v>
      </c>
      <c r="AY54" s="11">
        <v>4.7830450375919211</v>
      </c>
      <c r="AZ54" s="11">
        <v>4.2937831287686752</v>
      </c>
      <c r="BA54" s="11">
        <v>3.8190502655424554</v>
      </c>
      <c r="BB54" s="10" t="s">
        <v>19</v>
      </c>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row>
    <row r="55" spans="1:80" x14ac:dyDescent="0.2">
      <c r="A55" s="7"/>
      <c r="B55" s="101" t="s">
        <v>182</v>
      </c>
      <c r="C55" s="11">
        <v>61.760949917795052</v>
      </c>
      <c r="D55" s="11">
        <v>61.510476173464866</v>
      </c>
      <c r="E55" s="11">
        <v>61.29452153569995</v>
      </c>
      <c r="F55" s="11">
        <v>61.106410133052727</v>
      </c>
      <c r="G55" s="11">
        <v>60.941083293364599</v>
      </c>
      <c r="H55" s="11">
        <v>60.794637808194757</v>
      </c>
      <c r="I55" s="11">
        <v>56.241825401479034</v>
      </c>
      <c r="J55" s="11">
        <v>51.872197731064261</v>
      </c>
      <c r="K55" s="11">
        <v>47.674917031109487</v>
      </c>
      <c r="L55" s="11">
        <v>43.63998392871104</v>
      </c>
      <c r="M55" s="11">
        <v>39.758157911048166</v>
      </c>
      <c r="N55" s="11">
        <v>38.715600024698837</v>
      </c>
      <c r="O55" s="11">
        <v>37.696100033745999</v>
      </c>
      <c r="P55" s="11">
        <v>36.698901359334464</v>
      </c>
      <c r="Q55" s="11">
        <v>35.723280164459155</v>
      </c>
      <c r="R55" s="11">
        <v>34.768543601744327</v>
      </c>
      <c r="S55" s="11">
        <v>33.647134335063413</v>
      </c>
      <c r="T55" s="11">
        <v>32.539802893935622</v>
      </c>
      <c r="U55" s="11">
        <v>31.446285838919188</v>
      </c>
      <c r="V55" s="11">
        <v>30.366326262843</v>
      </c>
      <c r="W55" s="11">
        <v>29.299673589585428</v>
      </c>
      <c r="X55" s="11">
        <v>27.321034064402863</v>
      </c>
      <c r="Y55" s="11">
        <v>25.336667570664101</v>
      </c>
      <c r="Z55" s="11">
        <v>23.346549208151586</v>
      </c>
      <c r="AA55" s="11">
        <v>21.35065393208712</v>
      </c>
      <c r="AB55" s="11">
        <v>19.348956552081223</v>
      </c>
      <c r="AC55" s="11">
        <v>16.207629556229378</v>
      </c>
      <c r="AD55" s="11">
        <v>13.057666790609531</v>
      </c>
      <c r="AE55" s="11">
        <v>9.8990325955295067</v>
      </c>
      <c r="AF55" s="11">
        <v>6.7316911146937279</v>
      </c>
      <c r="AG55" s="11">
        <v>3.5556062938464077</v>
      </c>
      <c r="AH55" s="11">
        <v>3.0734563058880768</v>
      </c>
      <c r="AI55" s="11">
        <v>2.5910568928314697</v>
      </c>
      <c r="AJ55" s="11">
        <v>2.1084078610781916</v>
      </c>
      <c r="AK55" s="11">
        <v>1.6255090168294404</v>
      </c>
      <c r="AL55" s="11">
        <v>1.1423601660857472</v>
      </c>
      <c r="AM55" s="11">
        <v>0.88728799435989203</v>
      </c>
      <c r="AN55" s="11">
        <v>0.63295200349255099</v>
      </c>
      <c r="AO55" s="11">
        <v>0.37934901096512713</v>
      </c>
      <c r="AP55" s="11">
        <v>0.12647585257671567</v>
      </c>
      <c r="AQ55" s="11">
        <v>-0.12567061768749682</v>
      </c>
      <c r="AR55" s="11">
        <v>-0.23545597650927619</v>
      </c>
      <c r="AS55" s="11">
        <v>-0.34433454408094877</v>
      </c>
      <c r="AT55" s="11">
        <v>-0.45231750889573646</v>
      </c>
      <c r="AU55" s="11">
        <v>-0.55941587613435406</v>
      </c>
      <c r="AV55" s="11">
        <v>-0.66564047140394011</v>
      </c>
      <c r="AW55" s="11">
        <v>-0.67139294323084675</v>
      </c>
      <c r="AX55" s="11">
        <v>-0.67708854209032232</v>
      </c>
      <c r="AY55" s="11">
        <v>-0.68272810726252386</v>
      </c>
      <c r="AZ55" s="11">
        <v>-0.68831246159465331</v>
      </c>
      <c r="BA55" s="11">
        <v>-0.69384241190118989</v>
      </c>
      <c r="BB55" s="10" t="s">
        <v>19</v>
      </c>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row>
    <row r="56" spans="1:80" x14ac:dyDescent="0.2">
      <c r="A56" s="7"/>
      <c r="B56" s="101" t="s">
        <v>165</v>
      </c>
      <c r="C56" s="11">
        <v>175.79374961190334</v>
      </c>
      <c r="D56" s="11">
        <v>172.01864159468855</v>
      </c>
      <c r="E56" s="11">
        <v>168.55770229686513</v>
      </c>
      <c r="F56" s="11">
        <v>165.37328020951009</v>
      </c>
      <c r="G56" s="11">
        <v>162.43350916282196</v>
      </c>
      <c r="H56" s="11">
        <v>159.71123824956479</v>
      </c>
      <c r="I56" s="11">
        <v>154.92246684409145</v>
      </c>
      <c r="J56" s="11">
        <v>150.31871299785865</v>
      </c>
      <c r="K56" s="11">
        <v>145.88945749379747</v>
      </c>
      <c r="L56" s="11">
        <v>141.62496371332935</v>
      </c>
      <c r="M56" s="11">
        <v>137.51620618652714</v>
      </c>
      <c r="N56" s="11">
        <v>132.76531673538224</v>
      </c>
      <c r="O56" s="11">
        <v>128.16913491630569</v>
      </c>
      <c r="P56" s="11">
        <v>123.72022496536769</v>
      </c>
      <c r="Q56" s="11">
        <v>119.41162012145737</v>
      </c>
      <c r="R56" s="11">
        <v>115.23678622299634</v>
      </c>
      <c r="S56" s="11">
        <v>110.60397045635133</v>
      </c>
      <c r="T56" s="11">
        <v>106.01362772551893</v>
      </c>
      <c r="U56" s="11">
        <v>101.4651766149947</v>
      </c>
      <c r="V56" s="11">
        <v>96.958046273105651</v>
      </c>
      <c r="W56" s="11">
        <v>92.491676173175279</v>
      </c>
      <c r="X56" s="11">
        <v>88.042597091061438</v>
      </c>
      <c r="Y56" s="11">
        <v>83.583770627193928</v>
      </c>
      <c r="Z56" s="11">
        <v>79.115164713483182</v>
      </c>
      <c r="AA56" s="11">
        <v>74.63674714101667</v>
      </c>
      <c r="AB56" s="11">
        <v>70.148485559285064</v>
      </c>
      <c r="AC56" s="11">
        <v>66.330370350246625</v>
      </c>
      <c r="AD56" s="11">
        <v>62.536698592609184</v>
      </c>
      <c r="AE56" s="11">
        <v>58.767236306049398</v>
      </c>
      <c r="AF56" s="11">
        <v>55.021752487055501</v>
      </c>
      <c r="AG56" s="11">
        <v>51.300019061736961</v>
      </c>
      <c r="AH56" s="11">
        <v>47.435099376419821</v>
      </c>
      <c r="AI56" s="11">
        <v>43.664081998181302</v>
      </c>
      <c r="AJ56" s="11">
        <v>39.983585817200314</v>
      </c>
      <c r="AK56" s="11">
        <v>36.390390121882</v>
      </c>
      <c r="AL56" s="11">
        <v>32.881425198822399</v>
      </c>
      <c r="AM56" s="11">
        <v>29.612954884892474</v>
      </c>
      <c r="AN56" s="11">
        <v>26.438075641857196</v>
      </c>
      <c r="AO56" s="11">
        <v>23.352824308563356</v>
      </c>
      <c r="AP56" s="11">
        <v>20.353458372117256</v>
      </c>
      <c r="AQ56" s="11">
        <v>17.436440822993472</v>
      </c>
      <c r="AR56" s="11">
        <v>15.466092395285882</v>
      </c>
      <c r="AS56" s="11">
        <v>13.544650118411562</v>
      </c>
      <c r="AT56" s="11">
        <v>11.670315458843058</v>
      </c>
      <c r="AU56" s="11">
        <v>9.841377003669507</v>
      </c>
      <c r="AV56" s="11">
        <v>8.0562052485816</v>
      </c>
      <c r="AW56" s="11">
        <v>7.1602102177760045</v>
      </c>
      <c r="AX56" s="11">
        <v>6.2797213497395452</v>
      </c>
      <c r="AY56" s="11">
        <v>5.4143395713003164</v>
      </c>
      <c r="AZ56" s="11">
        <v>4.5636793870932308</v>
      </c>
      <c r="BA56" s="11">
        <v>3.7273683069772003</v>
      </c>
      <c r="BB56" s="10" t="s">
        <v>19</v>
      </c>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row>
    <row r="57" spans="1:80" x14ac:dyDescent="0.2">
      <c r="A57" s="7"/>
      <c r="B57" s="101" t="s">
        <v>167</v>
      </c>
      <c r="C57" s="11">
        <v>44.774426238954447</v>
      </c>
      <c r="D57" s="11">
        <v>43.570663494304917</v>
      </c>
      <c r="E57" s="11">
        <v>42.487284512298508</v>
      </c>
      <c r="F57" s="11">
        <v>41.507090593697534</v>
      </c>
      <c r="G57" s="11">
        <v>40.616010252326255</v>
      </c>
      <c r="H57" s="11">
        <v>39.802419349371121</v>
      </c>
      <c r="I57" s="11">
        <v>38.20364486271658</v>
      </c>
      <c r="J57" s="11">
        <v>36.66820980444863</v>
      </c>
      <c r="K57" s="11">
        <v>35.192423263354634</v>
      </c>
      <c r="L57" s="11">
        <v>33.772875632895847</v>
      </c>
      <c r="M57" s="11">
        <v>32.406412312574993</v>
      </c>
      <c r="N57" s="11">
        <v>31.136879618608862</v>
      </c>
      <c r="O57" s="11">
        <v>29.924755900433915</v>
      </c>
      <c r="P57" s="11">
        <v>28.766233159156631</v>
      </c>
      <c r="Q57" s="11">
        <v>27.657832895395412</v>
      </c>
      <c r="R57" s="11">
        <v>26.596371225123349</v>
      </c>
      <c r="S57" s="11">
        <v>25.485571330842788</v>
      </c>
      <c r="T57" s="11">
        <v>24.439220168062597</v>
      </c>
      <c r="U57" s="11">
        <v>23.451866882670668</v>
      </c>
      <c r="V57" s="11">
        <v>22.518658452580276</v>
      </c>
      <c r="W57" s="11">
        <v>21.635259914691698</v>
      </c>
      <c r="X57" s="11">
        <v>20.576585049997178</v>
      </c>
      <c r="Y57" s="11">
        <v>19.582979371227218</v>
      </c>
      <c r="Z57" s="11">
        <v>18.648622732312901</v>
      </c>
      <c r="AA57" s="11">
        <v>17.768369005733355</v>
      </c>
      <c r="AB57" s="11">
        <v>16.93765125710647</v>
      </c>
      <c r="AC57" s="11">
        <v>15.878279464218533</v>
      </c>
      <c r="AD57" s="11">
        <v>14.874017267791803</v>
      </c>
      <c r="AE57" s="11">
        <v>13.920673399096264</v>
      </c>
      <c r="AF57" s="11">
        <v>13.014471094535105</v>
      </c>
      <c r="AG57" s="11">
        <v>12.151998090200777</v>
      </c>
      <c r="AH57" s="11">
        <v>11.170537191487321</v>
      </c>
      <c r="AI57" s="11">
        <v>10.23283000968055</v>
      </c>
      <c r="AJ57" s="11">
        <v>9.3360145159230665</v>
      </c>
      <c r="AK57" s="11">
        <v>8.477472970501422</v>
      </c>
      <c r="AL57" s="11">
        <v>7.6548064032083571</v>
      </c>
      <c r="AM57" s="11">
        <v>6.945650196587037</v>
      </c>
      <c r="AN57" s="11">
        <v>6.263967067370583</v>
      </c>
      <c r="AO57" s="11">
        <v>5.6081908704005814</v>
      </c>
      <c r="AP57" s="11">
        <v>4.9768722813621515</v>
      </c>
      <c r="AQ57" s="11">
        <v>4.3686681039059474</v>
      </c>
      <c r="AR57" s="11">
        <v>3.8469838472265812</v>
      </c>
      <c r="AS57" s="11">
        <v>3.3434615667028154</v>
      </c>
      <c r="AT57" s="11">
        <v>2.8571690497007141</v>
      </c>
      <c r="AU57" s="11">
        <v>2.3872368082016173</v>
      </c>
      <c r="AV57" s="11">
        <v>1.9328528904869762</v>
      </c>
      <c r="AW57" s="11">
        <v>1.6328997916840504</v>
      </c>
      <c r="AX57" s="11">
        <v>1.3421945222735159</v>
      </c>
      <c r="AY57" s="11">
        <v>1.0603158964238069</v>
      </c>
      <c r="AZ57" s="11">
        <v>0.78686792263078609</v>
      </c>
      <c r="BA57" s="11">
        <v>0.52147794764382882</v>
      </c>
      <c r="BB57" s="10" t="s">
        <v>19</v>
      </c>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row>
    <row r="58" spans="1:80" x14ac:dyDescent="0.2">
      <c r="A58" s="7"/>
      <c r="B58" s="101" t="s">
        <v>166</v>
      </c>
      <c r="C58" s="11">
        <v>80.055201140195308</v>
      </c>
      <c r="D58" s="11">
        <v>78.60694100238068</v>
      </c>
      <c r="E58" s="11">
        <v>77.256648408687198</v>
      </c>
      <c r="F58" s="11">
        <v>75.994708052312262</v>
      </c>
      <c r="G58" s="11">
        <v>74.812723060199474</v>
      </c>
      <c r="H58" s="11">
        <v>73.703327922287627</v>
      </c>
      <c r="I58" s="11">
        <v>71.302230129308782</v>
      </c>
      <c r="J58" s="11">
        <v>68.97731000927088</v>
      </c>
      <c r="K58" s="11">
        <v>66.724998931271699</v>
      </c>
      <c r="L58" s="11">
        <v>64.541947739394004</v>
      </c>
      <c r="M58" s="11">
        <v>62.425010135734979</v>
      </c>
      <c r="N58" s="11">
        <v>60.838094483206902</v>
      </c>
      <c r="O58" s="11">
        <v>59.321406386685787</v>
      </c>
      <c r="P58" s="11">
        <v>57.870384976747907</v>
      </c>
      <c r="Q58" s="11">
        <v>56.480855951299723</v>
      </c>
      <c r="R58" s="11">
        <v>55.148991469850586</v>
      </c>
      <c r="S58" s="11">
        <v>53.309255353601884</v>
      </c>
      <c r="T58" s="11">
        <v>51.566659010192168</v>
      </c>
      <c r="U58" s="11">
        <v>49.913706724848076</v>
      </c>
      <c r="V58" s="11">
        <v>48.343654645147851</v>
      </c>
      <c r="W58" s="11">
        <v>46.850418817117109</v>
      </c>
      <c r="X58" s="11">
        <v>44.836713086721147</v>
      </c>
      <c r="Y58" s="11">
        <v>42.938778110679841</v>
      </c>
      <c r="Z58" s="11">
        <v>41.146909125696865</v>
      </c>
      <c r="AA58" s="11">
        <v>39.452456583478927</v>
      </c>
      <c r="AB58" s="11">
        <v>37.847686527019356</v>
      </c>
      <c r="AC58" s="11">
        <v>35.746396476876413</v>
      </c>
      <c r="AD58" s="11">
        <v>33.75203082945648</v>
      </c>
      <c r="AE58" s="11">
        <v>31.856630784932559</v>
      </c>
      <c r="AF58" s="11">
        <v>30.05300829281931</v>
      </c>
      <c r="AG58" s="11">
        <v>28.334654955935004</v>
      </c>
      <c r="AH58" s="11">
        <v>26.272753120624596</v>
      </c>
      <c r="AI58" s="11">
        <v>24.305323688973221</v>
      </c>
      <c r="AJ58" s="11">
        <v>22.426019256333138</v>
      </c>
      <c r="AK58" s="11">
        <v>20.62904858735526</v>
      </c>
      <c r="AL58" s="11">
        <v>18.909117006257897</v>
      </c>
      <c r="AM58" s="11">
        <v>17.202220653152597</v>
      </c>
      <c r="AN58" s="11">
        <v>15.566194425368893</v>
      </c>
      <c r="AO58" s="11">
        <v>13.996714310881016</v>
      </c>
      <c r="AP58" s="11">
        <v>12.489801048537814</v>
      </c>
      <c r="AQ58" s="11">
        <v>11.04178644104959</v>
      </c>
      <c r="AR58" s="11">
        <v>9.9452790877896291</v>
      </c>
      <c r="AS58" s="11">
        <v>8.8909208451615278</v>
      </c>
      <c r="AT58" s="11">
        <v>7.87632726038367</v>
      </c>
      <c r="AU58" s="11">
        <v>6.8992904090081026</v>
      </c>
      <c r="AV58" s="11">
        <v>5.9577628556145488</v>
      </c>
      <c r="AW58" s="11">
        <v>5.3145695519954916</v>
      </c>
      <c r="AX58" s="11">
        <v>4.6938670616080689</v>
      </c>
      <c r="AY58" s="11">
        <v>4.0944959863178685</v>
      </c>
      <c r="AZ58" s="11">
        <v>3.5153752708748747</v>
      </c>
      <c r="BA58" s="11">
        <v>2.9554956956068548</v>
      </c>
      <c r="BB58" s="10" t="s">
        <v>19</v>
      </c>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row>
    <row r="59" spans="1:80" x14ac:dyDescent="0.2">
      <c r="A59" s="7"/>
      <c r="B59" s="101" t="s">
        <v>168</v>
      </c>
      <c r="C59" s="11">
        <v>55.077960410021561</v>
      </c>
      <c r="D59" s="11">
        <v>53.669752341103212</v>
      </c>
      <c r="E59" s="11">
        <v>52.389395387774542</v>
      </c>
      <c r="F59" s="11">
        <v>51.220234226638709</v>
      </c>
      <c r="G59" s="11">
        <v>50.148386085901393</v>
      </c>
      <c r="H59" s="11">
        <v>49.162186874752464</v>
      </c>
      <c r="I59" s="11">
        <v>47.314843694039261</v>
      </c>
      <c r="J59" s="11">
        <v>45.536686555530203</v>
      </c>
      <c r="K59" s="11">
        <v>43.823900206270991</v>
      </c>
      <c r="L59" s="11">
        <v>42.172944851931931</v>
      </c>
      <c r="M59" s="11">
        <v>40.580531737666547</v>
      </c>
      <c r="N59" s="11">
        <v>39.22549185971944</v>
      </c>
      <c r="O59" s="11">
        <v>37.931371403881947</v>
      </c>
      <c r="P59" s="11">
        <v>36.694152495281024</v>
      </c>
      <c r="Q59" s="11">
        <v>35.510162984539221</v>
      </c>
      <c r="R59" s="11">
        <v>34.37604004511882</v>
      </c>
      <c r="S59" s="11">
        <v>33.054935085518252</v>
      </c>
      <c r="T59" s="11">
        <v>31.808614513271543</v>
      </c>
      <c r="U59" s="11">
        <v>30.630903080335205</v>
      </c>
      <c r="V59" s="11">
        <v>29.516287213092479</v>
      </c>
      <c r="W59" s="11">
        <v>28.45982870182177</v>
      </c>
      <c r="X59" s="11">
        <v>27.129436107549363</v>
      </c>
      <c r="Y59" s="11">
        <v>25.879395066271179</v>
      </c>
      <c r="Z59" s="11">
        <v>24.7026394889767</v>
      </c>
      <c r="AA59" s="11">
        <v>23.592908211101381</v>
      </c>
      <c r="AB59" s="11">
        <v>22.544633551281354</v>
      </c>
      <c r="AC59" s="11">
        <v>21.202573146169399</v>
      </c>
      <c r="AD59" s="11">
        <v>19.929920902257148</v>
      </c>
      <c r="AE59" s="11">
        <v>18.721428108282304</v>
      </c>
      <c r="AF59" s="11">
        <v>17.572362257744174</v>
      </c>
      <c r="AG59" s="11">
        <v>16.478445111583454</v>
      </c>
      <c r="AH59" s="11">
        <v>15.194017817723505</v>
      </c>
      <c r="AI59" s="11">
        <v>13.967275145578338</v>
      </c>
      <c r="AJ59" s="11">
        <v>12.794416448764572</v>
      </c>
      <c r="AK59" s="11">
        <v>11.671967788152308</v>
      </c>
      <c r="AL59" s="11">
        <v>10.59674756531961</v>
      </c>
      <c r="AM59" s="11">
        <v>9.6122174449215336</v>
      </c>
      <c r="AN59" s="11">
        <v>8.6665617569154403</v>
      </c>
      <c r="AO59" s="11">
        <v>7.7575226268087354</v>
      </c>
      <c r="AP59" s="11">
        <v>6.8830137126451421</v>
      </c>
      <c r="AQ59" s="11">
        <v>6.041104219286197</v>
      </c>
      <c r="AR59" s="11">
        <v>5.3645681035686765</v>
      </c>
      <c r="AS59" s="11">
        <v>4.7122459083170503</v>
      </c>
      <c r="AT59" s="11">
        <v>4.0828605264969111</v>
      </c>
      <c r="AU59" s="11">
        <v>3.4752231101293205</v>
      </c>
      <c r="AV59" s="11">
        <v>2.8882255754574877</v>
      </c>
      <c r="AW59" s="11">
        <v>2.5116548248266639</v>
      </c>
      <c r="AX59" s="11">
        <v>2.1471167431865137</v>
      </c>
      <c r="AY59" s="11">
        <v>1.7940436749809507</v>
      </c>
      <c r="AZ59" s="11">
        <v>1.4519031182889948</v>
      </c>
      <c r="BA59" s="11">
        <v>1.1201950450802149</v>
      </c>
      <c r="BB59" s="10" t="s">
        <v>19</v>
      </c>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row>
    <row r="60" spans="1:80" x14ac:dyDescent="0.2">
      <c r="B60" s="101" t="s">
        <v>169</v>
      </c>
      <c r="C60" s="11">
        <v>23.755596735477077</v>
      </c>
      <c r="D60" s="11">
        <v>23.083296480643831</v>
      </c>
      <c r="E60" s="11">
        <v>22.457637558513614</v>
      </c>
      <c r="F60" s="11">
        <v>21.873929022084841</v>
      </c>
      <c r="G60" s="11">
        <v>21.328088574692995</v>
      </c>
      <c r="H60" s="11">
        <v>20.816546956018669</v>
      </c>
      <c r="I60" s="11">
        <v>20.053170720785097</v>
      </c>
      <c r="J60" s="11">
        <v>19.332973785731415</v>
      </c>
      <c r="K60" s="11">
        <v>18.652393348959684</v>
      </c>
      <c r="L60" s="11">
        <v>18.008248080859701</v>
      </c>
      <c r="M60" s="11">
        <v>17.397688399414832</v>
      </c>
      <c r="N60" s="11">
        <v>16.650492363569406</v>
      </c>
      <c r="O60" s="11">
        <v>15.9571061142204</v>
      </c>
      <c r="P60" s="11">
        <v>15.311918962217407</v>
      </c>
      <c r="Q60" s="11">
        <v>14.710074045602934</v>
      </c>
      <c r="R60" s="11">
        <v>14.147345842732044</v>
      </c>
      <c r="S60" s="11">
        <v>13.291300934349167</v>
      </c>
      <c r="T60" s="11">
        <v>12.504447143880222</v>
      </c>
      <c r="U60" s="11">
        <v>11.778721603691636</v>
      </c>
      <c r="V60" s="11">
        <v>11.10726736293063</v>
      </c>
      <c r="W60" s="11">
        <v>10.484216061039389</v>
      </c>
      <c r="X60" s="11">
        <v>9.5894484656848338</v>
      </c>
      <c r="Y60" s="11">
        <v>8.7773847691090641</v>
      </c>
      <c r="Z60" s="11">
        <v>8.0370649370222083</v>
      </c>
      <c r="AA60" s="11">
        <v>7.3593835929366049</v>
      </c>
      <c r="AB60" s="11">
        <v>6.7367136344270309</v>
      </c>
      <c r="AC60" s="11">
        <v>5.9923048000578012</v>
      </c>
      <c r="AD60" s="11">
        <v>5.3135396716761312</v>
      </c>
      <c r="AE60" s="11">
        <v>4.6921019999254749</v>
      </c>
      <c r="AF60" s="11">
        <v>4.1210233725351104</v>
      </c>
      <c r="AG60" s="11">
        <v>3.5944207878480627</v>
      </c>
      <c r="AH60" s="11">
        <v>3.0646480106500209</v>
      </c>
      <c r="AI60" s="11">
        <v>2.5815336010827918</v>
      </c>
      <c r="AJ60" s="11">
        <v>2.1391735755499814</v>
      </c>
      <c r="AK60" s="11">
        <v>1.7326197289192729</v>
      </c>
      <c r="AL60" s="11">
        <v>1.3576937475071533</v>
      </c>
      <c r="AM60" s="11">
        <v>0.82641387261225507</v>
      </c>
      <c r="AN60" s="11">
        <v>0.34014779909935905</v>
      </c>
      <c r="AO60" s="11">
        <v>-0.10659280104202537</v>
      </c>
      <c r="AP60" s="11">
        <v>-0.5184388786997407</v>
      </c>
      <c r="AQ60" s="11">
        <v>-0.89932513725789121</v>
      </c>
      <c r="AR60" s="11">
        <v>-1.1056793648565402</v>
      </c>
      <c r="AS60" s="11">
        <v>-1.2956468738557423</v>
      </c>
      <c r="AT60" s="11">
        <v>-1.4711050417898208</v>
      </c>
      <c r="AU60" s="11">
        <v>-1.6336550144729316</v>
      </c>
      <c r="AV60" s="11">
        <v>-1.7846707083707234</v>
      </c>
      <c r="AW60" s="11">
        <v>-1.7503660130163199</v>
      </c>
      <c r="AX60" s="11">
        <v>-1.7179402859837039</v>
      </c>
      <c r="AY60" s="11">
        <v>-1.6872432674851809</v>
      </c>
      <c r="AZ60" s="11">
        <v>-1.6581403033048778</v>
      </c>
      <c r="BA60" s="11">
        <v>-1.6305103701295123</v>
      </c>
      <c r="BB60" s="10" t="s">
        <v>19</v>
      </c>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row>
    <row r="61" spans="1:80" x14ac:dyDescent="0.2">
      <c r="B61" s="101" t="s">
        <v>170</v>
      </c>
      <c r="C61" s="11">
        <v>34.358634998724987</v>
      </c>
      <c r="D61" s="11">
        <v>32.656964169372706</v>
      </c>
      <c r="E61" s="11">
        <v>31.123433053997424</v>
      </c>
      <c r="F61" s="11">
        <v>29.734294394417269</v>
      </c>
      <c r="G61" s="11">
        <v>28.470071800654299</v>
      </c>
      <c r="H61" s="11">
        <v>27.314640935025768</v>
      </c>
      <c r="I61" s="11">
        <v>26.806907574920139</v>
      </c>
      <c r="J61" s="11">
        <v>26.341947688786558</v>
      </c>
      <c r="K61" s="11">
        <v>25.914574637280666</v>
      </c>
      <c r="L61" s="11">
        <v>25.520407767720847</v>
      </c>
      <c r="M61" s="11">
        <v>25.155721709257396</v>
      </c>
      <c r="N61" s="11">
        <v>23.666327906339045</v>
      </c>
      <c r="O61" s="11">
        <v>22.331644733817754</v>
      </c>
      <c r="P61" s="11">
        <v>21.128756545326379</v>
      </c>
      <c r="Q61" s="11">
        <v>20.039060430384367</v>
      </c>
      <c r="R61" s="11">
        <v>19.047297231404773</v>
      </c>
      <c r="S61" s="11">
        <v>17.689984657007763</v>
      </c>
      <c r="T61" s="11">
        <v>16.492127891881982</v>
      </c>
      <c r="U61" s="11">
        <v>15.427186811916808</v>
      </c>
      <c r="V61" s="11">
        <v>14.474201547724466</v>
      </c>
      <c r="W61" s="11">
        <v>13.616399114609541</v>
      </c>
      <c r="X61" s="11">
        <v>12.237088553136257</v>
      </c>
      <c r="Y61" s="11">
        <v>11.03868224279937</v>
      </c>
      <c r="Z61" s="11">
        <v>9.9877805589168478</v>
      </c>
      <c r="AA61" s="11">
        <v>9.0587291360395774</v>
      </c>
      <c r="AB61" s="11">
        <v>8.2314967706811633</v>
      </c>
      <c r="AC61" s="11">
        <v>7.2838402416262591</v>
      </c>
      <c r="AD61" s="11">
        <v>6.4417552841753736</v>
      </c>
      <c r="AE61" s="11">
        <v>5.6885312545980833</v>
      </c>
      <c r="AF61" s="11">
        <v>5.0108075316710226</v>
      </c>
      <c r="AG61" s="11">
        <v>4.3977740982770142</v>
      </c>
      <c r="AH61" s="11">
        <v>3.7931654368230054</v>
      </c>
      <c r="AI61" s="11">
        <v>3.2497492960109993</v>
      </c>
      <c r="AJ61" s="11">
        <v>2.7586831957511251</v>
      </c>
      <c r="AK61" s="11">
        <v>2.3127500470161193</v>
      </c>
      <c r="AL61" s="11">
        <v>1.9060010936081544</v>
      </c>
      <c r="AM61" s="11">
        <v>1.3695309179388229</v>
      </c>
      <c r="AN61" s="11">
        <v>0.87634277867557575</v>
      </c>
      <c r="AO61" s="11">
        <v>0.42140183322066882</v>
      </c>
      <c r="AP61" s="11">
        <v>4.2500235414446067E-4</v>
      </c>
      <c r="AQ61" s="11">
        <v>-0.39025429005946721</v>
      </c>
      <c r="AR61" s="11">
        <v>-0.61592838643431225</v>
      </c>
      <c r="AS61" s="11">
        <v>-0.82365791491222551</v>
      </c>
      <c r="AT61" s="11">
        <v>-1.0155013401277169</v>
      </c>
      <c r="AU61" s="11">
        <v>-1.1932138801762207</v>
      </c>
      <c r="AV61" s="11">
        <v>-1.3583013647209299</v>
      </c>
      <c r="AW61" s="11">
        <v>-1.363155786391969</v>
      </c>
      <c r="AX61" s="11">
        <v>-1.3676184121011248</v>
      </c>
      <c r="AY61" s="11">
        <v>-1.3717348342325424</v>
      </c>
      <c r="AZ61" s="11">
        <v>-1.3755438353453622</v>
      </c>
      <c r="BA61" s="11">
        <v>-1.3790786138284743</v>
      </c>
      <c r="BB61" s="10" t="s">
        <v>19</v>
      </c>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row>
    <row r="62" spans="1:80" x14ac:dyDescent="0.2">
      <c r="B62" s="101" t="s">
        <v>171</v>
      </c>
      <c r="C62" s="11">
        <v>21.683059518871652</v>
      </c>
      <c r="D62" s="11">
        <v>21.174686831044607</v>
      </c>
      <c r="E62" s="11">
        <v>20.698543216226422</v>
      </c>
      <c r="F62" s="11">
        <v>20.251658021085159</v>
      </c>
      <c r="G62" s="11">
        <v>19.83141479536426</v>
      </c>
      <c r="H62" s="11">
        <v>19.435500028623174</v>
      </c>
      <c r="I62" s="11">
        <v>18.610376946815958</v>
      </c>
      <c r="J62" s="11">
        <v>17.826881380203272</v>
      </c>
      <c r="K62" s="11">
        <v>17.081940670271109</v>
      </c>
      <c r="L62" s="11">
        <v>16.372777300243872</v>
      </c>
      <c r="M62" s="11">
        <v>15.696874289094557</v>
      </c>
      <c r="N62" s="11">
        <v>14.992985718011031</v>
      </c>
      <c r="O62" s="11">
        <v>14.334372909909188</v>
      </c>
      <c r="P62" s="11">
        <v>13.716803614112589</v>
      </c>
      <c r="Q62" s="11">
        <v>13.136557132269941</v>
      </c>
      <c r="R62" s="11">
        <v>12.590349296149414</v>
      </c>
      <c r="S62" s="11">
        <v>11.806515584886633</v>
      </c>
      <c r="T62" s="11">
        <v>11.078338428438686</v>
      </c>
      <c r="U62" s="11">
        <v>10.400093180086076</v>
      </c>
      <c r="V62" s="11">
        <v>9.7668142587633362</v>
      </c>
      <c r="W62" s="11">
        <v>9.1741733743676654</v>
      </c>
      <c r="X62" s="11">
        <v>8.4168845217645227</v>
      </c>
      <c r="Y62" s="11">
        <v>7.7207549929337711</v>
      </c>
      <c r="Z62" s="11">
        <v>7.0786634291419892</v>
      </c>
      <c r="AA62" s="11">
        <v>6.4845527723581107</v>
      </c>
      <c r="AB62" s="11">
        <v>5.9332385992434427</v>
      </c>
      <c r="AC62" s="11">
        <v>5.2708751897958566</v>
      </c>
      <c r="AD62" s="11">
        <v>4.6618008641249382</v>
      </c>
      <c r="AE62" s="11">
        <v>4.0998334153833271</v>
      </c>
      <c r="AF62" s="11">
        <v>3.5797113185957521</v>
      </c>
      <c r="AG62" s="11">
        <v>3.0969284925835288</v>
      </c>
      <c r="AH62" s="11">
        <v>2.667290755396043</v>
      </c>
      <c r="AI62" s="11">
        <v>2.2734968349308105</v>
      </c>
      <c r="AJ62" s="11">
        <v>1.9112407826623208</v>
      </c>
      <c r="AK62" s="11">
        <v>1.5768797982756324</v>
      </c>
      <c r="AL62" s="11">
        <v>1.2673113004531236</v>
      </c>
      <c r="AM62" s="11">
        <v>0.82244258100863488</v>
      </c>
      <c r="AN62" s="11">
        <v>0.41591407984454754</v>
      </c>
      <c r="AO62" s="11">
        <v>4.2974128844190308E-2</v>
      </c>
      <c r="AP62" s="11">
        <v>-0.30037489779504378</v>
      </c>
      <c r="AQ62" s="11">
        <v>-0.6175204497673763</v>
      </c>
      <c r="AR62" s="11">
        <v>-0.84799497422892212</v>
      </c>
      <c r="AS62" s="11">
        <v>-1.0601759973220903</v>
      </c>
      <c r="AT62" s="11">
        <v>-1.2561584010149658</v>
      </c>
      <c r="AU62" s="11">
        <v>-1.4377289671810014</v>
      </c>
      <c r="AV62" s="11">
        <v>-1.6064210102724443</v>
      </c>
      <c r="AW62" s="11">
        <v>-1.6644519974756413</v>
      </c>
      <c r="AX62" s="11">
        <v>-1.7198629157489054</v>
      </c>
      <c r="AY62" s="11">
        <v>-1.7728272899407638</v>
      </c>
      <c r="AZ62" s="11">
        <v>-1.8235036526772432</v>
      </c>
      <c r="BA62" s="11">
        <v>-1.8720371292539377</v>
      </c>
      <c r="BB62" s="10" t="s">
        <v>19</v>
      </c>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row>
    <row r="63" spans="1:80" x14ac:dyDescent="0.2">
      <c r="B63" s="101" t="s">
        <v>107</v>
      </c>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row>
    <row r="64" spans="1:80" x14ac:dyDescent="0.2">
      <c r="B64" s="101" t="s">
        <v>8</v>
      </c>
      <c r="C64" s="11">
        <v>30.430498497927442</v>
      </c>
      <c r="D64" s="11">
        <v>30.014262532818648</v>
      </c>
      <c r="E64" s="11">
        <v>29.631257702636045</v>
      </c>
      <c r="F64" s="11">
        <v>29.277657146740196</v>
      </c>
      <c r="G64" s="11">
        <v>28.950199878711324</v>
      </c>
      <c r="H64" s="11">
        <v>28.646089920967231</v>
      </c>
      <c r="I64" s="11">
        <v>27.770433557643415</v>
      </c>
      <c r="J64" s="11">
        <v>26.95598645373698</v>
      </c>
      <c r="K64" s="11">
        <v>26.196547459467862</v>
      </c>
      <c r="L64" s="11">
        <v>25.486725717965349</v>
      </c>
      <c r="M64" s="11">
        <v>24.821812502596551</v>
      </c>
      <c r="N64" s="11">
        <v>24.008703878411694</v>
      </c>
      <c r="O64" s="11">
        <v>23.246490709302471</v>
      </c>
      <c r="P64" s="11">
        <v>22.530539411594933</v>
      </c>
      <c r="Q64" s="11">
        <v>21.856762297995417</v>
      </c>
      <c r="R64" s="11">
        <v>21.221539485544199</v>
      </c>
      <c r="S64" s="11">
        <v>20.414142011764724</v>
      </c>
      <c r="T64" s="11">
        <v>19.656014836582774</v>
      </c>
      <c r="U64" s="11">
        <v>18.942781516833936</v>
      </c>
      <c r="V64" s="11">
        <v>18.270569021921578</v>
      </c>
      <c r="W64" s="11">
        <v>17.635937374105847</v>
      </c>
      <c r="X64" s="11">
        <v>16.814406808869165</v>
      </c>
      <c r="Y64" s="11">
        <v>16.040912976219669</v>
      </c>
      <c r="Z64" s="11">
        <v>15.311362332439883</v>
      </c>
      <c r="AA64" s="11">
        <v>14.622113605799527</v>
      </c>
      <c r="AB64" s="11">
        <v>13.969917014278613</v>
      </c>
      <c r="AC64" s="11">
        <v>13.170294174556682</v>
      </c>
      <c r="AD64" s="11">
        <v>12.416033630959706</v>
      </c>
      <c r="AE64" s="11">
        <v>11.703381775441942</v>
      </c>
      <c r="AF64" s="11">
        <v>11.02898801835995</v>
      </c>
      <c r="AG64" s="11">
        <v>10.389852113151303</v>
      </c>
      <c r="AH64" s="11">
        <v>9.7419637872312599</v>
      </c>
      <c r="AI64" s="11">
        <v>9.130622234683976</v>
      </c>
      <c r="AJ64" s="11">
        <v>8.5528199275653716</v>
      </c>
      <c r="AK64" s="11">
        <v>8.0058705238036207</v>
      </c>
      <c r="AL64" s="11">
        <v>7.4873671062573246</v>
      </c>
      <c r="AM64" s="11">
        <v>6.9641106324466096</v>
      </c>
      <c r="AN64" s="11">
        <v>6.4723051148627055</v>
      </c>
      <c r="AO64" s="11">
        <v>6.0091976895811818</v>
      </c>
      <c r="AP64" s="11">
        <v>5.5723476579672608</v>
      </c>
      <c r="AQ64" s="11">
        <v>5.1595834584041356</v>
      </c>
      <c r="AR64" s="11">
        <v>4.7911921978253069</v>
      </c>
      <c r="AS64" s="11">
        <v>4.4358143333788878</v>
      </c>
      <c r="AT64" s="11">
        <v>4.0927722867732621</v>
      </c>
      <c r="AU64" s="11">
        <v>3.7614347171948559</v>
      </c>
      <c r="AV64" s="11">
        <v>3.4412126434465402</v>
      </c>
      <c r="AW64" s="11">
        <v>3.2340074662275771</v>
      </c>
      <c r="AX64" s="11">
        <v>3.0334380424602916</v>
      </c>
      <c r="AY64" s="11">
        <v>2.8391906305635626</v>
      </c>
      <c r="AZ64" s="11">
        <v>2.6509709605492247</v>
      </c>
      <c r="BA64" s="11">
        <v>2.4685027465312852</v>
      </c>
      <c r="BB64" s="10" t="s">
        <v>20</v>
      </c>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row>
    <row r="65" spans="1:80" x14ac:dyDescent="0.2">
      <c r="A65" s="1"/>
      <c r="B65" s="101" t="s">
        <v>181</v>
      </c>
      <c r="C65" s="11">
        <v>500.2545375453937</v>
      </c>
      <c r="D65" s="11">
        <v>505.71403903096382</v>
      </c>
      <c r="E65" s="11">
        <v>510.56201342204764</v>
      </c>
      <c r="F65" s="11">
        <v>514.89575860135233</v>
      </c>
      <c r="G65" s="11">
        <v>518.79297106419926</v>
      </c>
      <c r="H65" s="11">
        <v>522.31644529527989</v>
      </c>
      <c r="I65" s="11">
        <v>514.06910180721525</v>
      </c>
      <c r="J65" s="11">
        <v>505.47811900714777</v>
      </c>
      <c r="K65" s="11">
        <v>496.52156247090721</v>
      </c>
      <c r="L65" s="11">
        <v>487.17559043309109</v>
      </c>
      <c r="M65" s="11">
        <v>477.41424186026092</v>
      </c>
      <c r="N65" s="11">
        <v>470.41197239670828</v>
      </c>
      <c r="O65" s="11">
        <v>463.11794170550769</v>
      </c>
      <c r="P65" s="11">
        <v>455.51352672957512</v>
      </c>
      <c r="Q65" s="11">
        <v>447.57848501555856</v>
      </c>
      <c r="R65" s="11">
        <v>439.29077478091898</v>
      </c>
      <c r="S65" s="11">
        <v>429.48442482651899</v>
      </c>
      <c r="T65" s="11">
        <v>419.26947695735242</v>
      </c>
      <c r="U65" s="11">
        <v>408.61985045545526</v>
      </c>
      <c r="V65" s="11">
        <v>397.50719671434524</v>
      </c>
      <c r="W65" s="11">
        <v>385.90064725140809</v>
      </c>
      <c r="X65" s="11">
        <v>365.84193816460737</v>
      </c>
      <c r="Y65" s="11">
        <v>344.94744953252331</v>
      </c>
      <c r="Z65" s="11">
        <v>323.16383372460587</v>
      </c>
      <c r="AA65" s="11">
        <v>300.43310418590943</v>
      </c>
      <c r="AB65" s="11">
        <v>276.69212000104864</v>
      </c>
      <c r="AC65" s="11">
        <v>227.13353531949431</v>
      </c>
      <c r="AD65" s="11">
        <v>175.51000960954187</v>
      </c>
      <c r="AE65" s="11">
        <v>121.68973812469777</v>
      </c>
      <c r="AF65" s="11">
        <v>65.529454836164859</v>
      </c>
      <c r="AG65" s="11">
        <v>6.8731589570304532</v>
      </c>
      <c r="AH65" s="11">
        <v>5.672007155197698</v>
      </c>
      <c r="AI65" s="11">
        <v>4.4208073616219128</v>
      </c>
      <c r="AJ65" s="11">
        <v>3.1163650236386466</v>
      </c>
      <c r="AK65" s="11">
        <v>1.7552078013952384</v>
      </c>
      <c r="AL65" s="11">
        <v>0.33355470260767844</v>
      </c>
      <c r="AM65" s="11">
        <v>0.32716102221792426</v>
      </c>
      <c r="AN65" s="11">
        <v>0.32050093847859712</v>
      </c>
      <c r="AO65" s="11">
        <v>0.31355744692057502</v>
      </c>
      <c r="AP65" s="11">
        <v>0.30631206442524772</v>
      </c>
      <c r="AQ65" s="11">
        <v>0.29874466493012808</v>
      </c>
      <c r="AR65" s="11">
        <v>0.28939375995778521</v>
      </c>
      <c r="AS65" s="11">
        <v>0.27965323394492803</v>
      </c>
      <c r="AT65" s="11">
        <v>0.26949821746343855</v>
      </c>
      <c r="AU65" s="11">
        <v>0.25890167852623225</v>
      </c>
      <c r="AV65" s="11">
        <v>0.24783418230292786</v>
      </c>
      <c r="AW65" s="11">
        <v>0.24216104431287369</v>
      </c>
      <c r="AX65" s="11">
        <v>0.23625152557323406</v>
      </c>
      <c r="AY65" s="11">
        <v>0.23009053795105647</v>
      </c>
      <c r="AZ65" s="11">
        <v>0.22366168130182776</v>
      </c>
      <c r="BA65" s="11">
        <v>0.21694709769041101</v>
      </c>
      <c r="BB65" s="10" t="s">
        <v>20</v>
      </c>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row>
    <row r="66" spans="1:80" x14ac:dyDescent="0.2">
      <c r="A66" s="3"/>
      <c r="B66" s="101" t="s">
        <v>172</v>
      </c>
      <c r="C66" s="11">
        <v>529.26983592528097</v>
      </c>
      <c r="D66" s="11">
        <v>521.35893647857517</v>
      </c>
      <c r="E66" s="11">
        <v>513.83054175436951</v>
      </c>
      <c r="F66" s="11">
        <v>506.65756452950342</v>
      </c>
      <c r="G66" s="11">
        <v>499.81541619069179</v>
      </c>
      <c r="H66" s="11">
        <v>493.28172512911317</v>
      </c>
      <c r="I66" s="11">
        <v>476.08562680930311</v>
      </c>
      <c r="J66" s="11">
        <v>459.51231440423305</v>
      </c>
      <c r="K66" s="11">
        <v>443.52855679962272</v>
      </c>
      <c r="L66" s="11">
        <v>428.10344579542459</v>
      </c>
      <c r="M66" s="11">
        <v>413.20819662207595</v>
      </c>
      <c r="N66" s="11">
        <v>399.35386662280371</v>
      </c>
      <c r="O66" s="11">
        <v>386.17656183001571</v>
      </c>
      <c r="P66" s="11">
        <v>373.62783918585683</v>
      </c>
      <c r="Q66" s="11">
        <v>361.66376961905922</v>
      </c>
      <c r="R66" s="11">
        <v>350.24442424032407</v>
      </c>
      <c r="S66" s="11">
        <v>338.54293172249015</v>
      </c>
      <c r="T66" s="11">
        <v>327.48303787776319</v>
      </c>
      <c r="U66" s="11">
        <v>317.01338200940768</v>
      </c>
      <c r="V66" s="11">
        <v>307.08794291860892</v>
      </c>
      <c r="W66" s="11">
        <v>297.66536260859596</v>
      </c>
      <c r="X66" s="11">
        <v>286.28856729219979</v>
      </c>
      <c r="Y66" s="11">
        <v>275.42336355515067</v>
      </c>
      <c r="Z66" s="11">
        <v>265.03600234596826</v>
      </c>
      <c r="AA66" s="11">
        <v>255.09563925123607</v>
      </c>
      <c r="AB66" s="11">
        <v>245.57402859021218</v>
      </c>
      <c r="AC66" s="11">
        <v>235.55907049773865</v>
      </c>
      <c r="AD66" s="11">
        <v>225.90396603794301</v>
      </c>
      <c r="AE66" s="11">
        <v>216.58966232723077</v>
      </c>
      <c r="AF66" s="11">
        <v>207.59842819261883</v>
      </c>
      <c r="AG66" s="11">
        <v>198.91374151561371</v>
      </c>
      <c r="AH66" s="11">
        <v>190.49669400259771</v>
      </c>
      <c r="AI66" s="11">
        <v>182.35413443837774</v>
      </c>
      <c r="AJ66" s="11">
        <v>174.47285127279602</v>
      </c>
      <c r="AK66" s="11">
        <v>166.84046742535043</v>
      </c>
      <c r="AL66" s="11">
        <v>159.44537542575841</v>
      </c>
      <c r="AM66" s="11">
        <v>152.41385038099244</v>
      </c>
      <c r="AN66" s="11">
        <v>145.61106071244785</v>
      </c>
      <c r="AO66" s="11">
        <v>139.02602391430815</v>
      </c>
      <c r="AP66" s="11">
        <v>132.64844949108547</v>
      </c>
      <c r="AQ66" s="11">
        <v>126.4686852982222</v>
      </c>
      <c r="AR66" s="11">
        <v>119.36106710606289</v>
      </c>
      <c r="AS66" s="11">
        <v>112.48904163605606</v>
      </c>
      <c r="AT66" s="11">
        <v>105.84108624192524</v>
      </c>
      <c r="AU66" s="11">
        <v>99.406417641041628</v>
      </c>
      <c r="AV66" s="11">
        <v>93.174933548077121</v>
      </c>
      <c r="AW66" s="11">
        <v>88.558037020340677</v>
      </c>
      <c r="AX66" s="11">
        <v>84.078186042075558</v>
      </c>
      <c r="AY66" s="11">
        <v>79.72936786989078</v>
      </c>
      <c r="AZ66" s="11">
        <v>75.505916428364188</v>
      </c>
      <c r="BA66" s="11">
        <v>71.402487680882956</v>
      </c>
      <c r="BB66" s="10" t="s">
        <v>20</v>
      </c>
      <c r="BC66" s="8"/>
    </row>
    <row r="67" spans="1:80" x14ac:dyDescent="0.2">
      <c r="A67" s="7"/>
      <c r="B67" s="101" t="s">
        <v>180</v>
      </c>
      <c r="C67" s="11">
        <v>101.01295631632219</v>
      </c>
      <c r="D67" s="11">
        <v>100.63570317666155</v>
      </c>
      <c r="E67" s="11">
        <v>100.2984497869339</v>
      </c>
      <c r="F67" s="11">
        <v>99.995154732968231</v>
      </c>
      <c r="G67" s="11">
        <v>99.720934915189304</v>
      </c>
      <c r="H67" s="11">
        <v>99.471800642950299</v>
      </c>
      <c r="I67" s="11">
        <v>97.820305716849461</v>
      </c>
      <c r="J67" s="11">
        <v>96.18525791831317</v>
      </c>
      <c r="K67" s="11">
        <v>94.566412770937632</v>
      </c>
      <c r="L67" s="11">
        <v>92.963530619751111</v>
      </c>
      <c r="M67" s="11">
        <v>91.376376512939871</v>
      </c>
      <c r="N67" s="11">
        <v>89.445643626106502</v>
      </c>
      <c r="O67" s="11">
        <v>87.554856001518701</v>
      </c>
      <c r="P67" s="11">
        <v>85.702786680036937</v>
      </c>
      <c r="Q67" s="11">
        <v>83.888258442967157</v>
      </c>
      <c r="R67" s="11">
        <v>82.1101413167776</v>
      </c>
      <c r="S67" s="11">
        <v>79.537090738379348</v>
      </c>
      <c r="T67" s="11">
        <v>77.099377124930868</v>
      </c>
      <c r="U67" s="11">
        <v>74.786596438558647</v>
      </c>
      <c r="V67" s="11">
        <v>72.589384412017594</v>
      </c>
      <c r="W67" s="11">
        <v>70.499289822681405</v>
      </c>
      <c r="X67" s="11">
        <v>67.987112832985616</v>
      </c>
      <c r="Y67" s="11">
        <v>65.559557703058559</v>
      </c>
      <c r="Z67" s="11">
        <v>63.212419563249576</v>
      </c>
      <c r="AA67" s="11">
        <v>60.941767592003771</v>
      </c>
      <c r="AB67" s="11">
        <v>58.743923047791888</v>
      </c>
      <c r="AC67" s="11">
        <v>56.315529669095575</v>
      </c>
      <c r="AD67" s="11">
        <v>53.932339352186794</v>
      </c>
      <c r="AE67" s="11">
        <v>51.593101594593918</v>
      </c>
      <c r="AF67" s="11">
        <v>49.296611597776234</v>
      </c>
      <c r="AG67" s="11">
        <v>47.041708198019741</v>
      </c>
      <c r="AH67" s="11">
        <v>44.85556273853728</v>
      </c>
      <c r="AI67" s="11">
        <v>42.695961671012505</v>
      </c>
      <c r="AJ67" s="11">
        <v>40.562424455919881</v>
      </c>
      <c r="AK67" s="11">
        <v>38.454482083257084</v>
      </c>
      <c r="AL67" s="11">
        <v>36.371676728823807</v>
      </c>
      <c r="AM67" s="11">
        <v>34.41899585931634</v>
      </c>
      <c r="AN67" s="11">
        <v>32.498398015351746</v>
      </c>
      <c r="AO67" s="11">
        <v>30.609098941716635</v>
      </c>
      <c r="AP67" s="11">
        <v>28.750339737629091</v>
      </c>
      <c r="AQ67" s="11">
        <v>26.921385840339319</v>
      </c>
      <c r="AR67" s="11">
        <v>25.115021902653623</v>
      </c>
      <c r="AS67" s="11">
        <v>23.339498070502938</v>
      </c>
      <c r="AT67" s="11">
        <v>21.594031227902292</v>
      </c>
      <c r="AU67" s="11">
        <v>19.877864550317224</v>
      </c>
      <c r="AV67" s="11">
        <v>18.190266410498143</v>
      </c>
      <c r="AW67" s="11">
        <v>17.102849307896722</v>
      </c>
      <c r="AX67" s="11">
        <v>16.030485169981041</v>
      </c>
      <c r="AY67" s="11">
        <v>14.972863581106482</v>
      </c>
      <c r="AZ67" s="11">
        <v>13.929682602367837</v>
      </c>
      <c r="BA67" s="11">
        <v>12.900648484210897</v>
      </c>
      <c r="BB67" s="10" t="s">
        <v>20</v>
      </c>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row>
    <row r="68" spans="1:80" x14ac:dyDescent="0.2">
      <c r="A68" s="7"/>
      <c r="B68" s="101" t="s">
        <v>179</v>
      </c>
      <c r="C68" s="11">
        <v>78.423152415518103</v>
      </c>
      <c r="D68" s="11">
        <v>77.992819602475549</v>
      </c>
      <c r="E68" s="11">
        <v>77.606433805190989</v>
      </c>
      <c r="F68" s="11">
        <v>77.257590049519592</v>
      </c>
      <c r="G68" s="11">
        <v>76.941070337791487</v>
      </c>
      <c r="H68" s="11">
        <v>76.65258085927475</v>
      </c>
      <c r="I68" s="11">
        <v>74.782667863173174</v>
      </c>
      <c r="J68" s="11">
        <v>73.084495148848902</v>
      </c>
      <c r="K68" s="11">
        <v>71.535441554609392</v>
      </c>
      <c r="L68" s="11">
        <v>70.116691623408698</v>
      </c>
      <c r="M68" s="11">
        <v>68.812467582173099</v>
      </c>
      <c r="N68" s="11">
        <v>66.540045965952672</v>
      </c>
      <c r="O68" s="11">
        <v>64.449596815384965</v>
      </c>
      <c r="P68" s="11">
        <v>62.52010345854697</v>
      </c>
      <c r="Q68" s="11">
        <v>60.733665638795522</v>
      </c>
      <c r="R68" s="11">
        <v>59.074942523568993</v>
      </c>
      <c r="S68" s="11">
        <v>56.578392402602319</v>
      </c>
      <c r="T68" s="11">
        <v>54.25965883775455</v>
      </c>
      <c r="U68" s="11">
        <v>52.100397657847829</v>
      </c>
      <c r="V68" s="11">
        <v>50.084704070994832</v>
      </c>
      <c r="W68" s="11">
        <v>48.198720229868663</v>
      </c>
      <c r="X68" s="11">
        <v>45.707270751411237</v>
      </c>
      <c r="Y68" s="11">
        <v>43.37600213857057</v>
      </c>
      <c r="Z68" s="11">
        <v>41.189947925379705</v>
      </c>
      <c r="AA68" s="11">
        <v>39.135949847742054</v>
      </c>
      <c r="AB68" s="11">
        <v>37.202392773019284</v>
      </c>
      <c r="AC68" s="11">
        <v>34.965998879329646</v>
      </c>
      <c r="AD68" s="11">
        <v>32.860876303791514</v>
      </c>
      <c r="AE68" s="11">
        <v>30.875796590009617</v>
      </c>
      <c r="AF68" s="11">
        <v>29.000776368321748</v>
      </c>
      <c r="AG68" s="11">
        <v>27.226909431459251</v>
      </c>
      <c r="AH68" s="11">
        <v>25.385234046971149</v>
      </c>
      <c r="AI68" s="11">
        <v>23.643148006500471</v>
      </c>
      <c r="AJ68" s="11">
        <v>21.992785969482291</v>
      </c>
      <c r="AK68" s="11">
        <v>20.427089599255694</v>
      </c>
      <c r="AL68" s="11">
        <v>18.939706650718612</v>
      </c>
      <c r="AM68" s="11">
        <v>17.449715353432897</v>
      </c>
      <c r="AN68" s="11">
        <v>16.034496633474689</v>
      </c>
      <c r="AO68" s="11">
        <v>14.688559767687229</v>
      </c>
      <c r="AP68" s="11">
        <v>13.40693878368092</v>
      </c>
      <c r="AQ68" s="11">
        <v>12.185131234349901</v>
      </c>
      <c r="AR68" s="11">
        <v>10.944338905077823</v>
      </c>
      <c r="AS68" s="11">
        <v>9.7616834541235296</v>
      </c>
      <c r="AT68" s="11">
        <v>8.6331724399085115</v>
      </c>
      <c r="AU68" s="11">
        <v>7.5551708045960071</v>
      </c>
      <c r="AV68" s="11">
        <v>6.5243617603637452</v>
      </c>
      <c r="AW68" s="11">
        <v>5.7902008644421015</v>
      </c>
      <c r="AX68" s="11">
        <v>5.088321739189726</v>
      </c>
      <c r="AY68" s="11">
        <v>4.4166409974744436</v>
      </c>
      <c r="AZ68" s="11">
        <v>3.773250752377078</v>
      </c>
      <c r="BA68" s="11">
        <v>3.1564005186203197</v>
      </c>
      <c r="BB68" s="10" t="s">
        <v>20</v>
      </c>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row>
    <row r="69" spans="1:80" x14ac:dyDescent="0.2">
      <c r="A69" s="7"/>
      <c r="B69" s="101" t="s">
        <v>137</v>
      </c>
      <c r="C69" s="11">
        <v>85.895890547370612</v>
      </c>
      <c r="D69" s="11">
        <v>85.494646364079287</v>
      </c>
      <c r="E69" s="11">
        <v>85.134898483498517</v>
      </c>
      <c r="F69" s="11">
        <v>84.810526143481923</v>
      </c>
      <c r="G69" s="11">
        <v>84.516555931207961</v>
      </c>
      <c r="H69" s="11">
        <v>84.248904976696096</v>
      </c>
      <c r="I69" s="11">
        <v>82.226699245927762</v>
      </c>
      <c r="J69" s="11">
        <v>80.338225547522157</v>
      </c>
      <c r="K69" s="11">
        <v>78.570642587369093</v>
      </c>
      <c r="L69" s="11">
        <v>76.912702152929612</v>
      </c>
      <c r="M69" s="11">
        <v>75.3545094991523</v>
      </c>
      <c r="N69" s="11">
        <v>73.030826782476424</v>
      </c>
      <c r="O69" s="11">
        <v>70.854963690930916</v>
      </c>
      <c r="P69" s="11">
        <v>68.813249860615016</v>
      </c>
      <c r="Q69" s="11">
        <v>66.893650166270461</v>
      </c>
      <c r="R69" s="11">
        <v>65.08552731339968</v>
      </c>
      <c r="S69" s="11">
        <v>62.52376344965441</v>
      </c>
      <c r="T69" s="11">
        <v>60.132191741649358</v>
      </c>
      <c r="U69" s="11">
        <v>57.894397246481759</v>
      </c>
      <c r="V69" s="11">
        <v>55.796010218535386</v>
      </c>
      <c r="W69" s="11">
        <v>53.824397208080129</v>
      </c>
      <c r="X69" s="11">
        <v>51.258665554795847</v>
      </c>
      <c r="Y69" s="11">
        <v>48.838552854957435</v>
      </c>
      <c r="Z69" s="11">
        <v>46.552004219959102</v>
      </c>
      <c r="AA69" s="11">
        <v>44.388259628969337</v>
      </c>
      <c r="AB69" s="11">
        <v>42.337684616387321</v>
      </c>
      <c r="AC69" s="11">
        <v>39.973555650557913</v>
      </c>
      <c r="AD69" s="11">
        <v>37.726314989203729</v>
      </c>
      <c r="AE69" s="11">
        <v>35.587502902696066</v>
      </c>
      <c r="AF69" s="11">
        <v>33.549456788830064</v>
      </c>
      <c r="AG69" s="11">
        <v>31.605219445822904</v>
      </c>
      <c r="AH69" s="11">
        <v>29.61396345877543</v>
      </c>
      <c r="AI69" s="11">
        <v>27.712551076076483</v>
      </c>
      <c r="AJ69" s="11">
        <v>25.895035955551233</v>
      </c>
      <c r="AK69" s="11">
        <v>24.155985176694703</v>
      </c>
      <c r="AL69" s="11">
        <v>22.490424998915898</v>
      </c>
      <c r="AM69" s="11">
        <v>20.85757143818396</v>
      </c>
      <c r="AN69" s="11">
        <v>19.295742570844062</v>
      </c>
      <c r="AO69" s="11">
        <v>17.800402964606775</v>
      </c>
      <c r="AP69" s="11">
        <v>16.367395298338163</v>
      </c>
      <c r="AQ69" s="11">
        <v>14.992901763442454</v>
      </c>
      <c r="AR69" s="11">
        <v>13.610343427224326</v>
      </c>
      <c r="AS69" s="11">
        <v>12.284912655140081</v>
      </c>
      <c r="AT69" s="11">
        <v>11.013140337172684</v>
      </c>
      <c r="AU69" s="11">
        <v>9.7918326758645087</v>
      </c>
      <c r="AV69" s="11">
        <v>8.6180444062402053</v>
      </c>
      <c r="AW69" s="11">
        <v>7.7943917365278752</v>
      </c>
      <c r="AX69" s="11">
        <v>7.0026145638096402</v>
      </c>
      <c r="AY69" s="11">
        <v>6.2408976327778163</v>
      </c>
      <c r="AZ69" s="11">
        <v>5.5075609546591453</v>
      </c>
      <c r="BA69" s="11">
        <v>4.8010474381480872</v>
      </c>
      <c r="BB69" s="10" t="s">
        <v>20</v>
      </c>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row>
    <row r="70" spans="1:80" x14ac:dyDescent="0.2">
      <c r="A70" s="7"/>
      <c r="B70" s="101" t="s">
        <v>173</v>
      </c>
      <c r="C70" s="11">
        <v>15.774084407900864</v>
      </c>
      <c r="D70" s="11">
        <v>15.399213782668419</v>
      </c>
      <c r="E70" s="11">
        <v>15.044537497521265</v>
      </c>
      <c r="F70" s="11">
        <v>14.708466544067722</v>
      </c>
      <c r="G70" s="11">
        <v>14.389574363025373</v>
      </c>
      <c r="H70" s="11">
        <v>14.086576602000289</v>
      </c>
      <c r="I70" s="11">
        <v>13.670089422855483</v>
      </c>
      <c r="J70" s="11">
        <v>13.291212442439724</v>
      </c>
      <c r="K70" s="11">
        <v>12.945071256410422</v>
      </c>
      <c r="L70" s="11">
        <v>12.627598896560702</v>
      </c>
      <c r="M70" s="11">
        <v>12.33537529119976</v>
      </c>
      <c r="N70" s="11">
        <v>11.878034058043383</v>
      </c>
      <c r="O70" s="11">
        <v>11.446219096896511</v>
      </c>
      <c r="P70" s="11">
        <v>11.037851325095438</v>
      </c>
      <c r="Q70" s="11">
        <v>10.65107147692018</v>
      </c>
      <c r="R70" s="11">
        <v>10.284211800728228</v>
      </c>
      <c r="S70" s="11">
        <v>9.7311169382528391</v>
      </c>
      <c r="T70" s="11">
        <v>9.207215632904898</v>
      </c>
      <c r="U70" s="11">
        <v>8.7102559655539906</v>
      </c>
      <c r="V70" s="11">
        <v>8.2382118210787425</v>
      </c>
      <c r="W70" s="11">
        <v>7.7892552782742088</v>
      </c>
      <c r="X70" s="11">
        <v>7.2448584900343169</v>
      </c>
      <c r="Y70" s="11">
        <v>6.7256494839198444</v>
      </c>
      <c r="Z70" s="11">
        <v>6.2299197276555525</v>
      </c>
      <c r="AA70" s="11">
        <v>5.7561117960745776</v>
      </c>
      <c r="AB70" s="11">
        <v>5.3028030271055</v>
      </c>
      <c r="AC70" s="11">
        <v>4.8180471596057428</v>
      </c>
      <c r="AD70" s="11">
        <v>4.3520977716973013</v>
      </c>
      <c r="AE70" s="11">
        <v>3.9038812708791077</v>
      </c>
      <c r="AF70" s="11">
        <v>3.4724042552980907</v>
      </c>
      <c r="AG70" s="11">
        <v>3.0567461638224818</v>
      </c>
      <c r="AH70" s="11">
        <v>2.6870362201981743</v>
      </c>
      <c r="AI70" s="11">
        <v>2.3295006875668531</v>
      </c>
      <c r="AJ70" s="11">
        <v>1.9835479583948812</v>
      </c>
      <c r="AK70" s="11">
        <v>1.6486241458521478</v>
      </c>
      <c r="AL70" s="11">
        <v>1.324210124656072</v>
      </c>
      <c r="AM70" s="11">
        <v>1.0370443164938532</v>
      </c>
      <c r="AN70" s="11">
        <v>0.75777588362678272</v>
      </c>
      <c r="AO70" s="11">
        <v>0.48608346519452839</v>
      </c>
      <c r="AP70" s="11">
        <v>0.22166290280362955</v>
      </c>
      <c r="AQ70" s="11">
        <v>-3.5773895333233253E-2</v>
      </c>
      <c r="AR70" s="11">
        <v>-0.25765756032145942</v>
      </c>
      <c r="AS70" s="11">
        <v>-0.47438476869445789</v>
      </c>
      <c r="AT70" s="11">
        <v>-0.6861332057004973</v>
      </c>
      <c r="AU70" s="11">
        <v>-0.89307248553619767</v>
      </c>
      <c r="AV70" s="11">
        <v>-1.095364604468283</v>
      </c>
      <c r="AW70" s="11">
        <v>-1.1728668607615695</v>
      </c>
      <c r="AX70" s="11">
        <v>-1.2488269520542417</v>
      </c>
      <c r="AY70" s="11">
        <v>-1.3232904546483799</v>
      </c>
      <c r="AZ70" s="11">
        <v>-1.396301166449138</v>
      </c>
      <c r="BA70" s="11">
        <v>-1.4679011928685277</v>
      </c>
      <c r="BB70" s="10" t="s">
        <v>20</v>
      </c>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row>
    <row r="71" spans="1:80" x14ac:dyDescent="0.2">
      <c r="A71" s="7"/>
      <c r="B71" s="101" t="s">
        <v>174</v>
      </c>
      <c r="C71" s="11">
        <v>11.401533991418907</v>
      </c>
      <c r="D71" s="11">
        <v>10.949911985660233</v>
      </c>
      <c r="E71" s="11">
        <v>10.533106172064887</v>
      </c>
      <c r="F71" s="11">
        <v>10.14723993195105</v>
      </c>
      <c r="G71" s="11">
        <v>9.7889915746896214</v>
      </c>
      <c r="H71" s="11">
        <v>9.4554984727452425</v>
      </c>
      <c r="I71" s="11">
        <v>9.1873484022521055</v>
      </c>
      <c r="J71" s="11">
        <v>8.9377126503675406</v>
      </c>
      <c r="K71" s="11">
        <v>8.7047377326287094</v>
      </c>
      <c r="L71" s="11">
        <v>8.4868095804415358</v>
      </c>
      <c r="M71" s="11">
        <v>8.2825160934725766</v>
      </c>
      <c r="N71" s="11">
        <v>8.0091619630775082</v>
      </c>
      <c r="O71" s="11">
        <v>7.7530991211146674</v>
      </c>
      <c r="P71" s="11">
        <v>7.5127372011233442</v>
      </c>
      <c r="Q71" s="11">
        <v>7.2866750671168257</v>
      </c>
      <c r="R71" s="11">
        <v>7.0736734820052956</v>
      </c>
      <c r="S71" s="11">
        <v>6.7973146633619601</v>
      </c>
      <c r="T71" s="11">
        <v>6.5376951323371681</v>
      </c>
      <c r="U71" s="11">
        <v>6.2933387259181144</v>
      </c>
      <c r="V71" s="11">
        <v>6.0629378930121423</v>
      </c>
      <c r="W71" s="11">
        <v>5.8453302885979568</v>
      </c>
      <c r="X71" s="11">
        <v>5.6168825271823204</v>
      </c>
      <c r="Y71" s="11">
        <v>5.4022359539487033</v>
      </c>
      <c r="Z71" s="11">
        <v>5.2001765846640797</v>
      </c>
      <c r="AA71" s="11">
        <v>5.0096287591201767</v>
      </c>
      <c r="AB71" s="11">
        <v>4.829635985610774</v>
      </c>
      <c r="AC71" s="11">
        <v>4.5788597310615149</v>
      </c>
      <c r="AD71" s="11">
        <v>4.3433165224904577</v>
      </c>
      <c r="AE71" s="11">
        <v>4.1216593077935286</v>
      </c>
      <c r="AF71" s="11">
        <v>3.9126953129809534</v>
      </c>
      <c r="AG71" s="11">
        <v>3.7153645701029365</v>
      </c>
      <c r="AH71" s="11">
        <v>3.5308616256165712</v>
      </c>
      <c r="AI71" s="11">
        <v>3.3577666387884073</v>
      </c>
      <c r="AJ71" s="11">
        <v>3.1950532944691608</v>
      </c>
      <c r="AK71" s="11">
        <v>3.0418148028615231</v>
      </c>
      <c r="AL71" s="11">
        <v>2.8972469917881001</v>
      </c>
      <c r="AM71" s="11">
        <v>2.7479599950701301</v>
      </c>
      <c r="AN71" s="11">
        <v>2.6087266804198652</v>
      </c>
      <c r="AO71" s="11">
        <v>2.478564538511594</v>
      </c>
      <c r="AP71" s="11">
        <v>2.3566150438819089</v>
      </c>
      <c r="AQ71" s="11">
        <v>2.242124695978235</v>
      </c>
      <c r="AR71" s="11">
        <v>2.1492819512001109</v>
      </c>
      <c r="AS71" s="11">
        <v>2.0596837720037811</v>
      </c>
      <c r="AT71" s="11">
        <v>1.9731629980217718</v>
      </c>
      <c r="AU71" s="11">
        <v>1.8895637578439739</v>
      </c>
      <c r="AV71" s="11">
        <v>1.8087405318588294</v>
      </c>
      <c r="AW71" s="11">
        <v>1.7702901160008651</v>
      </c>
      <c r="AX71" s="11">
        <v>1.7330484050291368</v>
      </c>
      <c r="AY71" s="11">
        <v>1.6969592866851835</v>
      </c>
      <c r="AZ71" s="11">
        <v>1.6619700690163777</v>
      </c>
      <c r="BA71" s="11">
        <v>1.6280312236829408</v>
      </c>
      <c r="BB71" s="10" t="s">
        <v>20</v>
      </c>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row>
    <row r="72" spans="1:80" x14ac:dyDescent="0.2">
      <c r="A72" s="7"/>
      <c r="B72" s="101" t="s">
        <v>175</v>
      </c>
      <c r="C72" s="8">
        <v>221.78746307046302</v>
      </c>
      <c r="D72" s="8">
        <v>219.48117848393764</v>
      </c>
      <c r="E72" s="8">
        <v>217.17489389741226</v>
      </c>
      <c r="F72" s="8">
        <v>214.86860931088688</v>
      </c>
      <c r="G72" s="8">
        <v>212.5623247243615</v>
      </c>
      <c r="H72" s="8">
        <v>210.25604013783612</v>
      </c>
      <c r="I72" s="8">
        <v>198.27239179276123</v>
      </c>
      <c r="J72" s="8">
        <v>186.28874344768633</v>
      </c>
      <c r="K72" s="8">
        <v>174.30509510261146</v>
      </c>
      <c r="L72" s="8">
        <v>162.32144675753656</v>
      </c>
      <c r="M72" s="8">
        <v>150.33779841246167</v>
      </c>
      <c r="N72" s="8">
        <v>147.13312548786433</v>
      </c>
      <c r="O72" s="8">
        <v>143.92845256326703</v>
      </c>
      <c r="P72" s="8">
        <v>140.7237796386697</v>
      </c>
      <c r="Q72" s="8">
        <v>137.51910671407239</v>
      </c>
      <c r="R72" s="8">
        <v>134.31443378947506</v>
      </c>
      <c r="S72" s="8">
        <v>131.09462859952592</v>
      </c>
      <c r="T72" s="8">
        <v>127.87482340957679</v>
      </c>
      <c r="U72" s="8">
        <v>124.65501821962766</v>
      </c>
      <c r="V72" s="8">
        <v>121.43521302967852</v>
      </c>
      <c r="W72" s="8">
        <v>118.21540783972939</v>
      </c>
      <c r="X72" s="8">
        <v>112.80705098087475</v>
      </c>
      <c r="Y72" s="8">
        <v>107.3986941220201</v>
      </c>
      <c r="Z72" s="8">
        <v>101.99033726316546</v>
      </c>
      <c r="AA72" s="8">
        <v>96.581980404310798</v>
      </c>
      <c r="AB72" s="8">
        <v>91.173623545456152</v>
      </c>
      <c r="AC72" s="8">
        <v>85.740560474128117</v>
      </c>
      <c r="AD72" s="8">
        <v>80.307497402800081</v>
      </c>
      <c r="AE72" s="8">
        <v>74.874434331472045</v>
      </c>
      <c r="AF72" s="8">
        <v>69.44137126014401</v>
      </c>
      <c r="AG72" s="8">
        <v>64.008308188815974</v>
      </c>
      <c r="AH72" s="8">
        <v>59.550485485533969</v>
      </c>
      <c r="AI72" s="8">
        <v>55.092662782251956</v>
      </c>
      <c r="AJ72" s="8">
        <v>50.634840078969951</v>
      </c>
      <c r="AK72" s="8">
        <v>46.177017375687939</v>
      </c>
      <c r="AL72" s="8">
        <v>41.719194672405933</v>
      </c>
      <c r="AM72" s="8">
        <v>38.955824766841815</v>
      </c>
      <c r="AN72" s="8">
        <v>36.192454861277696</v>
      </c>
      <c r="AO72" s="8">
        <v>33.429084955713577</v>
      </c>
      <c r="AP72" s="8">
        <v>30.665715050149458</v>
      </c>
      <c r="AQ72" s="8">
        <v>27.90234514458534</v>
      </c>
      <c r="AR72" s="8">
        <v>26.399503000242454</v>
      </c>
      <c r="AS72" s="8">
        <v>24.896660855899565</v>
      </c>
      <c r="AT72" s="8">
        <v>23.39381871155668</v>
      </c>
      <c r="AU72" s="8">
        <v>21.890976567213791</v>
      </c>
      <c r="AV72" s="8">
        <v>20.388134422870905</v>
      </c>
      <c r="AW72" s="8">
        <v>20.153621374648669</v>
      </c>
      <c r="AX72" s="8">
        <v>19.919108326426432</v>
      </c>
      <c r="AY72" s="8">
        <v>19.684595278204192</v>
      </c>
      <c r="AZ72" s="8">
        <v>19.450082229981955</v>
      </c>
      <c r="BA72" s="8">
        <v>19.215569181759719</v>
      </c>
      <c r="BB72" s="10" t="s">
        <v>21</v>
      </c>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row>
    <row r="73" spans="1:80" x14ac:dyDescent="0.2">
      <c r="A73" s="7"/>
      <c r="B73" s="101" t="s">
        <v>176</v>
      </c>
      <c r="C73" s="8">
        <v>274.26497997862447</v>
      </c>
      <c r="D73" s="8">
        <v>270.38834431160308</v>
      </c>
      <c r="E73" s="8">
        <v>266.51170864458163</v>
      </c>
      <c r="F73" s="8">
        <v>262.63507297756024</v>
      </c>
      <c r="G73" s="8">
        <v>258.75843731053885</v>
      </c>
      <c r="H73" s="8">
        <v>254.88180164351743</v>
      </c>
      <c r="I73" s="8">
        <v>246.79712361548101</v>
      </c>
      <c r="J73" s="8">
        <v>238.71244558744462</v>
      </c>
      <c r="K73" s="8">
        <v>230.6277675594082</v>
      </c>
      <c r="L73" s="8">
        <v>222.54308953137178</v>
      </c>
      <c r="M73" s="8">
        <v>214.45841150333538</v>
      </c>
      <c r="N73" s="8">
        <v>209.0917807887617</v>
      </c>
      <c r="O73" s="8">
        <v>203.72515007418804</v>
      </c>
      <c r="P73" s="8">
        <v>198.35851935961435</v>
      </c>
      <c r="Q73" s="8">
        <v>192.99188864504069</v>
      </c>
      <c r="R73" s="8">
        <v>187.625257930467</v>
      </c>
      <c r="S73" s="8">
        <v>181.02761511035536</v>
      </c>
      <c r="T73" s="8">
        <v>174.42997229024368</v>
      </c>
      <c r="U73" s="8">
        <v>167.83232947013204</v>
      </c>
      <c r="V73" s="8">
        <v>161.23468665002036</v>
      </c>
      <c r="W73" s="8">
        <v>154.63704382990872</v>
      </c>
      <c r="X73" s="8">
        <v>147.19689855651029</v>
      </c>
      <c r="Y73" s="8">
        <v>139.75675328311183</v>
      </c>
      <c r="Z73" s="8">
        <v>132.31660800971338</v>
      </c>
      <c r="AA73" s="8">
        <v>124.87646273631495</v>
      </c>
      <c r="AB73" s="8">
        <v>117.43631746291651</v>
      </c>
      <c r="AC73" s="8">
        <v>110.04310949630866</v>
      </c>
      <c r="AD73" s="8">
        <v>102.6499015297008</v>
      </c>
      <c r="AE73" s="8">
        <v>95.256693563092952</v>
      </c>
      <c r="AF73" s="8">
        <v>87.863485596485106</v>
      </c>
      <c r="AG73" s="8">
        <v>80.470277629877245</v>
      </c>
      <c r="AH73" s="8">
        <v>74.302796972927027</v>
      </c>
      <c r="AI73" s="8">
        <v>68.135316315976809</v>
      </c>
      <c r="AJ73" s="8">
        <v>61.967835659026584</v>
      </c>
      <c r="AK73" s="8">
        <v>55.800355002076358</v>
      </c>
      <c r="AL73" s="8">
        <v>49.63287434512614</v>
      </c>
      <c r="AM73" s="8">
        <v>45.703055353727798</v>
      </c>
      <c r="AN73" s="8">
        <v>41.773236362329456</v>
      </c>
      <c r="AO73" s="8">
        <v>37.843417370931121</v>
      </c>
      <c r="AP73" s="8">
        <v>33.913598379532779</v>
      </c>
      <c r="AQ73" s="8">
        <v>29.983779388134437</v>
      </c>
      <c r="AR73" s="8">
        <v>26.317721126202191</v>
      </c>
      <c r="AS73" s="8">
        <v>22.651662864269948</v>
      </c>
      <c r="AT73" s="8">
        <v>18.985604602337702</v>
      </c>
      <c r="AU73" s="8">
        <v>15.319546340405457</v>
      </c>
      <c r="AV73" s="8">
        <v>11.653488078473213</v>
      </c>
      <c r="AW73" s="8">
        <v>11.02032319227113</v>
      </c>
      <c r="AX73" s="8">
        <v>10.387158306069047</v>
      </c>
      <c r="AY73" s="8">
        <v>9.753993419866962</v>
      </c>
      <c r="AZ73" s="8">
        <v>9.1208285336648789</v>
      </c>
      <c r="BA73" s="8">
        <v>8.4876636474627958</v>
      </c>
      <c r="BB73" s="10" t="s">
        <v>21</v>
      </c>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row>
    <row r="74" spans="1:80" x14ac:dyDescent="0.2">
      <c r="A74" s="7"/>
      <c r="B74" s="101" t="s">
        <v>177</v>
      </c>
      <c r="C74" s="8">
        <v>802.22850019909527</v>
      </c>
      <c r="D74" s="8">
        <v>801.34952669633014</v>
      </c>
      <c r="E74" s="8">
        <v>800.47055319356502</v>
      </c>
      <c r="F74" s="8">
        <v>799.59157969080002</v>
      </c>
      <c r="G74" s="8">
        <v>798.7126061880349</v>
      </c>
      <c r="H74" s="8">
        <v>797.83363268526978</v>
      </c>
      <c r="I74" s="8">
        <v>783.3044431598521</v>
      </c>
      <c r="J74" s="8">
        <v>768.77525363443453</v>
      </c>
      <c r="K74" s="8">
        <v>754.24606410901686</v>
      </c>
      <c r="L74" s="8">
        <v>739.71687458359929</v>
      </c>
      <c r="M74" s="8">
        <v>725.18768505818161</v>
      </c>
      <c r="N74" s="8">
        <v>714.03792074274315</v>
      </c>
      <c r="O74" s="8">
        <v>702.88815642730458</v>
      </c>
      <c r="P74" s="8">
        <v>691.73839211186612</v>
      </c>
      <c r="Q74" s="8">
        <v>680.58862779642755</v>
      </c>
      <c r="R74" s="8">
        <v>669.43886348098908</v>
      </c>
      <c r="S74" s="8">
        <v>650.64242375365052</v>
      </c>
      <c r="T74" s="8">
        <v>631.84598402631195</v>
      </c>
      <c r="U74" s="8">
        <v>613.04954429897339</v>
      </c>
      <c r="V74" s="8">
        <v>594.25310457163482</v>
      </c>
      <c r="W74" s="8">
        <v>575.45666484429626</v>
      </c>
      <c r="X74" s="8">
        <v>558.0443385023965</v>
      </c>
      <c r="Y74" s="8">
        <v>540.63201216049663</v>
      </c>
      <c r="Z74" s="8">
        <v>523.21968581859687</v>
      </c>
      <c r="AA74" s="8">
        <v>505.80735947669712</v>
      </c>
      <c r="AB74" s="8">
        <v>488.3950331347973</v>
      </c>
      <c r="AC74" s="8">
        <v>471.12705137388753</v>
      </c>
      <c r="AD74" s="8">
        <v>453.85906961297775</v>
      </c>
      <c r="AE74" s="8">
        <v>436.59108785206797</v>
      </c>
      <c r="AF74" s="8">
        <v>419.32310609115825</v>
      </c>
      <c r="AG74" s="8">
        <v>402.05512433024847</v>
      </c>
      <c r="AH74" s="8">
        <v>387.62432197898636</v>
      </c>
      <c r="AI74" s="8">
        <v>373.19351962772424</v>
      </c>
      <c r="AJ74" s="8">
        <v>358.76271727646213</v>
      </c>
      <c r="AK74" s="8">
        <v>344.33191492519995</v>
      </c>
      <c r="AL74" s="8">
        <v>329.90111257393784</v>
      </c>
      <c r="AM74" s="8">
        <v>317.11515957092439</v>
      </c>
      <c r="AN74" s="8">
        <v>304.32920656791089</v>
      </c>
      <c r="AO74" s="8">
        <v>291.54325356489744</v>
      </c>
      <c r="AP74" s="8">
        <v>278.75730056188394</v>
      </c>
      <c r="AQ74" s="8">
        <v>265.97134755887049</v>
      </c>
      <c r="AR74" s="8">
        <v>254.53503581643434</v>
      </c>
      <c r="AS74" s="8">
        <v>243.0987240739982</v>
      </c>
      <c r="AT74" s="8">
        <v>231.66241233156205</v>
      </c>
      <c r="AU74" s="8">
        <v>220.22610058912591</v>
      </c>
      <c r="AV74" s="8">
        <v>208.78978884668976</v>
      </c>
      <c r="AW74" s="8">
        <v>204.16909093484975</v>
      </c>
      <c r="AX74" s="8">
        <v>199.54839302300974</v>
      </c>
      <c r="AY74" s="8">
        <v>194.9276951111697</v>
      </c>
      <c r="AZ74" s="8">
        <v>190.30699719932969</v>
      </c>
      <c r="BA74" s="8">
        <v>185.68629928748967</v>
      </c>
      <c r="BB74" s="10" t="s">
        <v>21</v>
      </c>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row>
    <row r="75" spans="1:80" x14ac:dyDescent="0.2">
      <c r="A75" s="7"/>
      <c r="B75" s="101" t="s">
        <v>178</v>
      </c>
      <c r="C75" s="8">
        <v>1200.1541825633744</v>
      </c>
      <c r="D75" s="8">
        <v>1193.5122870797986</v>
      </c>
      <c r="E75" s="8">
        <v>1186.8703915962228</v>
      </c>
      <c r="F75" s="8">
        <v>1180.228496112647</v>
      </c>
      <c r="G75" s="8">
        <v>1173.5866006290712</v>
      </c>
      <c r="H75" s="8">
        <v>1166.9447051454954</v>
      </c>
      <c r="I75" s="8">
        <v>1152.1730857692362</v>
      </c>
      <c r="J75" s="8">
        <v>1137.401466392977</v>
      </c>
      <c r="K75" s="8">
        <v>1122.6298470167176</v>
      </c>
      <c r="L75" s="8">
        <v>1107.8582276404584</v>
      </c>
      <c r="M75" s="8">
        <v>1093.0866082641992</v>
      </c>
      <c r="N75" s="8">
        <v>1070.8158454623431</v>
      </c>
      <c r="O75" s="8">
        <v>1048.545082660487</v>
      </c>
      <c r="P75" s="8">
        <v>1026.2743198586306</v>
      </c>
      <c r="Q75" s="8">
        <v>1004.0035570567745</v>
      </c>
      <c r="R75" s="8">
        <v>981.73279425491842</v>
      </c>
      <c r="S75" s="8">
        <v>955.22972008082604</v>
      </c>
      <c r="T75" s="8">
        <v>928.72664590673355</v>
      </c>
      <c r="U75" s="8">
        <v>902.22357173264118</v>
      </c>
      <c r="V75" s="8">
        <v>875.72049755854869</v>
      </c>
      <c r="W75" s="8">
        <v>849.21742338445631</v>
      </c>
      <c r="X75" s="8">
        <v>827.33540400546326</v>
      </c>
      <c r="Y75" s="8">
        <v>805.4533846264701</v>
      </c>
      <c r="Z75" s="8">
        <v>783.57136524747705</v>
      </c>
      <c r="AA75" s="8">
        <v>761.68934586848388</v>
      </c>
      <c r="AB75" s="8">
        <v>739.80732648949083</v>
      </c>
      <c r="AC75" s="8">
        <v>719.03720454873769</v>
      </c>
      <c r="AD75" s="8">
        <v>698.26708260798455</v>
      </c>
      <c r="AE75" s="8">
        <v>677.49696066723141</v>
      </c>
      <c r="AF75" s="8">
        <v>656.72683872647826</v>
      </c>
      <c r="AG75" s="8">
        <v>635.95671678572512</v>
      </c>
      <c r="AH75" s="8">
        <v>622.86730261181367</v>
      </c>
      <c r="AI75" s="8">
        <v>609.77788843790211</v>
      </c>
      <c r="AJ75" s="8">
        <v>596.68847426399066</v>
      </c>
      <c r="AK75" s="8">
        <v>583.59906009007909</v>
      </c>
      <c r="AL75" s="8">
        <v>570.50964591616764</v>
      </c>
      <c r="AM75" s="8">
        <v>560.64031504526463</v>
      </c>
      <c r="AN75" s="8">
        <v>550.77098417436162</v>
      </c>
      <c r="AO75" s="8">
        <v>540.90165330345872</v>
      </c>
      <c r="AP75" s="8">
        <v>531.0323224325557</v>
      </c>
      <c r="AQ75" s="8">
        <v>521.16299156165269</v>
      </c>
      <c r="AR75" s="8">
        <v>512.15188401220746</v>
      </c>
      <c r="AS75" s="8">
        <v>503.14077646276218</v>
      </c>
      <c r="AT75" s="8">
        <v>494.12966891331689</v>
      </c>
      <c r="AU75" s="8">
        <v>485.11856136387166</v>
      </c>
      <c r="AV75" s="8">
        <v>476.10745381442638</v>
      </c>
      <c r="AW75" s="8">
        <v>473.68168266661695</v>
      </c>
      <c r="AX75" s="8">
        <v>471.25591151880752</v>
      </c>
      <c r="AY75" s="8">
        <v>468.83014037099804</v>
      </c>
      <c r="AZ75" s="8">
        <v>466.40436922318861</v>
      </c>
      <c r="BA75" s="8">
        <v>463.97859807537918</v>
      </c>
      <c r="BB75" s="10" t="s">
        <v>21</v>
      </c>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row>
    <row r="76" spans="1:80" x14ac:dyDescent="0.2">
      <c r="A76" s="7"/>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10"/>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row>
    <row r="77" spans="1:80" x14ac:dyDescent="0.2">
      <c r="A77" s="7"/>
      <c r="B77" s="1" t="s">
        <v>22</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10"/>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row>
    <row r="78" spans="1:80" x14ac:dyDescent="0.2">
      <c r="A78" s="7"/>
      <c r="B78" s="5" t="s">
        <v>1</v>
      </c>
      <c r="C78" s="6">
        <v>2010</v>
      </c>
      <c r="D78" s="3">
        <v>2011</v>
      </c>
      <c r="E78" s="3">
        <v>2012</v>
      </c>
      <c r="F78" s="3">
        <v>2013</v>
      </c>
      <c r="G78" s="3">
        <v>2014</v>
      </c>
      <c r="H78" s="6">
        <v>2015</v>
      </c>
      <c r="I78" s="3">
        <v>2016</v>
      </c>
      <c r="J78" s="3">
        <v>2017</v>
      </c>
      <c r="K78" s="3">
        <v>2018</v>
      </c>
      <c r="L78" s="3">
        <v>2019</v>
      </c>
      <c r="M78" s="6">
        <v>2020</v>
      </c>
      <c r="N78" s="3">
        <v>2021</v>
      </c>
      <c r="O78" s="3">
        <v>2022</v>
      </c>
      <c r="P78" s="3">
        <v>2023</v>
      </c>
      <c r="Q78" s="3">
        <v>2024</v>
      </c>
      <c r="R78" s="6">
        <v>2025</v>
      </c>
      <c r="S78" s="3">
        <v>2026</v>
      </c>
      <c r="T78" s="3">
        <v>2027</v>
      </c>
      <c r="U78" s="3">
        <v>2028</v>
      </c>
      <c r="V78" s="3">
        <v>2029</v>
      </c>
      <c r="W78" s="6">
        <v>2030</v>
      </c>
      <c r="X78" s="3">
        <v>2031</v>
      </c>
      <c r="Y78" s="3">
        <v>2032</v>
      </c>
      <c r="Z78" s="3">
        <v>2033</v>
      </c>
      <c r="AA78" s="3">
        <v>2034</v>
      </c>
      <c r="AB78" s="6">
        <v>2035</v>
      </c>
      <c r="AC78" s="3">
        <v>2036</v>
      </c>
      <c r="AD78" s="3">
        <v>2037</v>
      </c>
      <c r="AE78" s="3">
        <v>2038</v>
      </c>
      <c r="AF78" s="3">
        <v>2039</v>
      </c>
      <c r="AG78" s="6">
        <v>2040</v>
      </c>
      <c r="AH78" s="3">
        <v>2041</v>
      </c>
      <c r="AI78" s="3">
        <v>2042</v>
      </c>
      <c r="AJ78" s="3">
        <v>2043</v>
      </c>
      <c r="AK78" s="3">
        <v>2044</v>
      </c>
      <c r="AL78" s="6">
        <v>2045</v>
      </c>
      <c r="AM78" s="3">
        <v>2046</v>
      </c>
      <c r="AN78" s="3">
        <v>2047</v>
      </c>
      <c r="AO78" s="3">
        <v>2048</v>
      </c>
      <c r="AP78" s="3">
        <v>2049</v>
      </c>
      <c r="AQ78" s="6">
        <v>2050</v>
      </c>
      <c r="AR78" s="3">
        <v>2051</v>
      </c>
      <c r="AS78" s="3">
        <v>2052</v>
      </c>
      <c r="AT78" s="3">
        <v>2053</v>
      </c>
      <c r="AU78" s="3">
        <v>2054</v>
      </c>
      <c r="AV78" s="6">
        <v>2055</v>
      </c>
      <c r="AW78" s="3">
        <v>2056</v>
      </c>
      <c r="AX78" s="3">
        <v>2057</v>
      </c>
      <c r="AY78" s="3">
        <v>2058</v>
      </c>
      <c r="AZ78" s="3">
        <v>2059</v>
      </c>
      <c r="BA78" s="6">
        <v>2060</v>
      </c>
      <c r="BD78" s="8"/>
      <c r="BE78" s="8"/>
      <c r="BF78" s="8"/>
      <c r="BG78" s="8"/>
      <c r="BH78" s="8"/>
      <c r="BI78" s="8"/>
      <c r="BJ78" s="8"/>
      <c r="BK78" s="8"/>
      <c r="BL78" s="8"/>
      <c r="BM78" s="8"/>
      <c r="BN78" s="8"/>
      <c r="BO78" s="8"/>
      <c r="BP78" s="8"/>
      <c r="BQ78" s="8"/>
      <c r="BR78" s="8"/>
      <c r="BS78" s="8"/>
      <c r="BT78" s="8"/>
      <c r="BU78" s="8"/>
      <c r="BV78" s="8"/>
      <c r="BW78" s="8"/>
      <c r="BX78" s="8"/>
      <c r="BY78" s="8"/>
      <c r="BZ78" s="8"/>
      <c r="CA78" s="8"/>
      <c r="CB78" s="8"/>
    </row>
    <row r="79" spans="1:80" x14ac:dyDescent="0.2">
      <c r="A79" s="7"/>
      <c r="B79" s="101" t="s">
        <v>2</v>
      </c>
      <c r="C79" s="8">
        <v>801.4720303784452</v>
      </c>
      <c r="D79" s="8">
        <v>822.98561147944281</v>
      </c>
      <c r="E79" s="8">
        <v>844.49919258044042</v>
      </c>
      <c r="F79" s="8">
        <v>866.01277368143803</v>
      </c>
      <c r="G79" s="8">
        <v>887.52635478243565</v>
      </c>
      <c r="H79" s="8">
        <v>909.03993588343326</v>
      </c>
      <c r="I79" s="8">
        <v>895.88903106851967</v>
      </c>
      <c r="J79" s="8">
        <v>882.73812625360597</v>
      </c>
      <c r="K79" s="8">
        <v>869.58722143869238</v>
      </c>
      <c r="L79" s="8">
        <v>856.43631662377868</v>
      </c>
      <c r="M79" s="8">
        <v>843.28541180886509</v>
      </c>
      <c r="N79" s="8">
        <v>832.84802870345857</v>
      </c>
      <c r="O79" s="8">
        <v>822.41064559805193</v>
      </c>
      <c r="P79" s="8">
        <v>811.9732624926454</v>
      </c>
      <c r="Q79" s="8">
        <v>801.53587938723877</v>
      </c>
      <c r="R79" s="8">
        <v>791.09849628183224</v>
      </c>
      <c r="S79" s="8">
        <v>764.85516690745033</v>
      </c>
      <c r="T79" s="8">
        <v>738.61183753306841</v>
      </c>
      <c r="U79" s="8">
        <v>712.3685081586865</v>
      </c>
      <c r="V79" s="8">
        <v>686.12517878430458</v>
      </c>
      <c r="W79" s="8">
        <v>659.88184940992267</v>
      </c>
      <c r="X79" s="8">
        <v>607.99479318575345</v>
      </c>
      <c r="Y79" s="8">
        <v>556.10773696158424</v>
      </c>
      <c r="Z79" s="8">
        <v>504.22068073741508</v>
      </c>
      <c r="AA79" s="8">
        <v>452.33362451324592</v>
      </c>
      <c r="AB79" s="8">
        <v>400.44656828907671</v>
      </c>
      <c r="AC79" s="8">
        <v>342.85303621082198</v>
      </c>
      <c r="AD79" s="8">
        <v>285.25950413256732</v>
      </c>
      <c r="AE79" s="8">
        <v>227.66597205431259</v>
      </c>
      <c r="AF79" s="8">
        <v>170.07243997605789</v>
      </c>
      <c r="AG79" s="8">
        <v>112.47890789780323</v>
      </c>
      <c r="AH79" s="8">
        <v>55.154462021176215</v>
      </c>
      <c r="AI79" s="8">
        <v>-2.1699838554507949</v>
      </c>
      <c r="AJ79" s="8">
        <v>-59.494429732077805</v>
      </c>
      <c r="AK79" s="8">
        <v>-116.81887560870481</v>
      </c>
      <c r="AL79" s="8">
        <v>-174.14332148533185</v>
      </c>
      <c r="AM79" s="8">
        <v>-221.55608476640342</v>
      </c>
      <c r="AN79" s="8">
        <v>-268.96884804747498</v>
      </c>
      <c r="AO79" s="8">
        <v>-316.38161132854651</v>
      </c>
      <c r="AP79" s="8">
        <v>-363.7943746096181</v>
      </c>
      <c r="AQ79" s="8">
        <v>-411.20713789068964</v>
      </c>
      <c r="AR79" s="8">
        <v>-445.18841962362649</v>
      </c>
      <c r="AS79" s="8">
        <v>-479.16970135656339</v>
      </c>
      <c r="AT79" s="8">
        <v>-513.15098308950019</v>
      </c>
      <c r="AU79" s="8">
        <v>-547.13226482243715</v>
      </c>
      <c r="AV79" s="8">
        <v>-581.113546555374</v>
      </c>
      <c r="AW79" s="8">
        <v>-599.10905594812391</v>
      </c>
      <c r="AX79" s="8">
        <v>-617.10456534087382</v>
      </c>
      <c r="AY79" s="8">
        <v>-635.10007473362384</v>
      </c>
      <c r="AZ79" s="8">
        <v>-653.09558412637375</v>
      </c>
      <c r="BA79" s="8">
        <v>-671.09109351912366</v>
      </c>
      <c r="BB79" s="102" t="s">
        <v>3</v>
      </c>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row>
    <row r="80" spans="1:80" x14ac:dyDescent="0.2">
      <c r="A80" s="7"/>
      <c r="B80" s="101" t="s">
        <v>182</v>
      </c>
      <c r="C80" s="8">
        <v>78.134329395005722</v>
      </c>
      <c r="D80" s="8">
        <v>84.052133230324785</v>
      </c>
      <c r="E80" s="8">
        <v>89.969937065643833</v>
      </c>
      <c r="F80" s="8">
        <v>95.887740900962896</v>
      </c>
      <c r="G80" s="8">
        <v>101.80554473628195</v>
      </c>
      <c r="H80" s="8">
        <v>107.72334857160101</v>
      </c>
      <c r="I80" s="8">
        <v>102.38189353429212</v>
      </c>
      <c r="J80" s="8">
        <v>97.040438496983228</v>
      </c>
      <c r="K80" s="8">
        <v>91.698983459674338</v>
      </c>
      <c r="L80" s="8">
        <v>86.357528422365448</v>
      </c>
      <c r="M80" s="8">
        <v>81.016073385056558</v>
      </c>
      <c r="N80" s="8">
        <v>78.676701197156049</v>
      </c>
      <c r="O80" s="8">
        <v>76.337329009255527</v>
      </c>
      <c r="P80" s="8">
        <v>73.997956821355018</v>
      </c>
      <c r="Q80" s="8">
        <v>71.658584633454495</v>
      </c>
      <c r="R80" s="8">
        <v>69.319212445553987</v>
      </c>
      <c r="S80" s="8">
        <v>66.490792279634675</v>
      </c>
      <c r="T80" s="8">
        <v>63.662372113715364</v>
      </c>
      <c r="U80" s="8">
        <v>60.833951947796052</v>
      </c>
      <c r="V80" s="8">
        <v>58.005531781876734</v>
      </c>
      <c r="W80" s="8">
        <v>55.177111615957422</v>
      </c>
      <c r="X80" s="8">
        <v>51.24902618813362</v>
      </c>
      <c r="Y80" s="8">
        <v>47.320940760309817</v>
      </c>
      <c r="Z80" s="8">
        <v>43.392855332486015</v>
      </c>
      <c r="AA80" s="8">
        <v>39.464769904662212</v>
      </c>
      <c r="AB80" s="8">
        <v>35.53668447683841</v>
      </c>
      <c r="AC80" s="8">
        <v>32.92848478108538</v>
      </c>
      <c r="AD80" s="8">
        <v>30.320285085332355</v>
      </c>
      <c r="AE80" s="8">
        <v>27.712085389579325</v>
      </c>
      <c r="AF80" s="8">
        <v>25.1038856938263</v>
      </c>
      <c r="AG80" s="8">
        <v>22.49568599807327</v>
      </c>
      <c r="AH80" s="8">
        <v>20.227406297531878</v>
      </c>
      <c r="AI80" s="8">
        <v>17.959126596990487</v>
      </c>
      <c r="AJ80" s="8">
        <v>15.690846896449095</v>
      </c>
      <c r="AK80" s="8">
        <v>13.422567195907703</v>
      </c>
      <c r="AL80" s="8">
        <v>11.154287495366312</v>
      </c>
      <c r="AM80" s="8">
        <v>8.591511023830682</v>
      </c>
      <c r="AN80" s="8">
        <v>6.0287345522950515</v>
      </c>
      <c r="AO80" s="8">
        <v>3.465958080759421</v>
      </c>
      <c r="AP80" s="8">
        <v>0.90318160922379143</v>
      </c>
      <c r="AQ80" s="8">
        <v>-1.6595948623118375</v>
      </c>
      <c r="AR80" s="8">
        <v>-2.7852158032561816</v>
      </c>
      <c r="AS80" s="8">
        <v>-3.910836744200525</v>
      </c>
      <c r="AT80" s="8">
        <v>-5.0364576851448692</v>
      </c>
      <c r="AU80" s="8">
        <v>-6.1620786260892126</v>
      </c>
      <c r="AV80" s="8">
        <v>-7.287699567033556</v>
      </c>
      <c r="AW80" s="8">
        <v>-7.3799491472367142</v>
      </c>
      <c r="AX80" s="8">
        <v>-7.4721987274398725</v>
      </c>
      <c r="AY80" s="8">
        <v>-7.5644483076430307</v>
      </c>
      <c r="AZ80" s="8">
        <v>-7.6566978878461889</v>
      </c>
      <c r="BA80" s="8">
        <v>-7.7489474680493471</v>
      </c>
      <c r="BB80" s="102" t="s">
        <v>3</v>
      </c>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row>
    <row r="81" spans="1:80" x14ac:dyDescent="0.2">
      <c r="B81" s="101" t="s">
        <v>165</v>
      </c>
      <c r="C81" s="8">
        <v>423.9888273411874</v>
      </c>
      <c r="D81" s="8">
        <v>433.1526161497402</v>
      </c>
      <c r="E81" s="8">
        <v>442.31640495829305</v>
      </c>
      <c r="F81" s="8">
        <v>451.48019376684584</v>
      </c>
      <c r="G81" s="8">
        <v>460.6439825753987</v>
      </c>
      <c r="H81" s="8">
        <v>469.80777138395149</v>
      </c>
      <c r="I81" s="8">
        <v>465.52061442037336</v>
      </c>
      <c r="J81" s="8">
        <v>461.23345745679524</v>
      </c>
      <c r="K81" s="8">
        <v>456.94630049321705</v>
      </c>
      <c r="L81" s="8">
        <v>452.65914352963892</v>
      </c>
      <c r="M81" s="8">
        <v>448.3719865660608</v>
      </c>
      <c r="N81" s="8">
        <v>447.86639661370009</v>
      </c>
      <c r="O81" s="8">
        <v>447.36080666133938</v>
      </c>
      <c r="P81" s="8">
        <v>446.85521670897867</v>
      </c>
      <c r="Q81" s="8">
        <v>446.34962675661797</v>
      </c>
      <c r="R81" s="8">
        <v>445.84403680425726</v>
      </c>
      <c r="S81" s="8">
        <v>439.76190984265793</v>
      </c>
      <c r="T81" s="8">
        <v>433.6797828810586</v>
      </c>
      <c r="U81" s="8">
        <v>427.59765591945933</v>
      </c>
      <c r="V81" s="8">
        <v>421.51552895786</v>
      </c>
      <c r="W81" s="8">
        <v>415.43340199626067</v>
      </c>
      <c r="X81" s="8">
        <v>393.19301781031692</v>
      </c>
      <c r="Y81" s="8">
        <v>370.95263362437316</v>
      </c>
      <c r="Z81" s="8">
        <v>348.71224943842935</v>
      </c>
      <c r="AA81" s="8">
        <v>326.4718652524856</v>
      </c>
      <c r="AB81" s="8">
        <v>304.23148106654185</v>
      </c>
      <c r="AC81" s="8">
        <v>276.45544482404358</v>
      </c>
      <c r="AD81" s="8">
        <v>248.67940858154535</v>
      </c>
      <c r="AE81" s="8">
        <v>220.90337233904708</v>
      </c>
      <c r="AF81" s="8">
        <v>193.12733609654885</v>
      </c>
      <c r="AG81" s="8">
        <v>165.35129985405058</v>
      </c>
      <c r="AH81" s="8">
        <v>139.01005495422584</v>
      </c>
      <c r="AI81" s="8">
        <v>112.66881005440112</v>
      </c>
      <c r="AJ81" s="8">
        <v>86.327565154576376</v>
      </c>
      <c r="AK81" s="8">
        <v>59.986320254751647</v>
      </c>
      <c r="AL81" s="8">
        <v>33.645075354926917</v>
      </c>
      <c r="AM81" s="8">
        <v>8.1133366427415119</v>
      </c>
      <c r="AN81" s="8">
        <v>-17.418402069443893</v>
      </c>
      <c r="AO81" s="8">
        <v>-42.950140781629301</v>
      </c>
      <c r="AP81" s="8">
        <v>-68.481879493814702</v>
      </c>
      <c r="AQ81" s="8">
        <v>-94.013618206000103</v>
      </c>
      <c r="AR81" s="8">
        <v>-110.70083466668116</v>
      </c>
      <c r="AS81" s="8">
        <v>-127.38805112736222</v>
      </c>
      <c r="AT81" s="8">
        <v>-144.07526758804326</v>
      </c>
      <c r="AU81" s="8">
        <v>-160.76248404872433</v>
      </c>
      <c r="AV81" s="8">
        <v>-177.44970050940537</v>
      </c>
      <c r="AW81" s="8">
        <v>-180.44404730582713</v>
      </c>
      <c r="AX81" s="8">
        <v>-183.43839410224891</v>
      </c>
      <c r="AY81" s="8">
        <v>-186.43274089867066</v>
      </c>
      <c r="AZ81" s="8">
        <v>-189.42708769509244</v>
      </c>
      <c r="BA81" s="8">
        <v>-192.42143449151419</v>
      </c>
      <c r="BB81" s="102" t="s">
        <v>3</v>
      </c>
      <c r="BC81" s="8"/>
      <c r="BD81" s="8"/>
      <c r="BE81" s="8"/>
      <c r="BF81" s="8"/>
      <c r="BG81" s="8"/>
      <c r="BH81" s="8"/>
      <c r="BI81" s="8"/>
      <c r="BJ81" s="8"/>
      <c r="BK81" s="8"/>
      <c r="BL81" s="8"/>
      <c r="BM81" s="8"/>
      <c r="BN81" s="8"/>
      <c r="BO81" s="8"/>
      <c r="BP81" s="8"/>
      <c r="BQ81" s="8"/>
      <c r="BR81" s="8"/>
      <c r="BS81" s="8"/>
      <c r="BT81" s="8"/>
      <c r="BU81" s="8"/>
      <c r="BV81" s="8"/>
      <c r="BW81" s="8"/>
    </row>
    <row r="82" spans="1:80" x14ac:dyDescent="0.2">
      <c r="B82" s="101" t="s">
        <v>167</v>
      </c>
      <c r="C82" s="8">
        <v>43.481784477998545</v>
      </c>
      <c r="D82" s="8">
        <v>45.881196357380801</v>
      </c>
      <c r="E82" s="8">
        <v>48.280608236763065</v>
      </c>
      <c r="F82" s="8">
        <v>50.680020116145322</v>
      </c>
      <c r="G82" s="8">
        <v>53.079431995527585</v>
      </c>
      <c r="H82" s="8">
        <v>55.478843874909842</v>
      </c>
      <c r="I82" s="8">
        <v>53.640129367477435</v>
      </c>
      <c r="J82" s="8">
        <v>51.801414860045028</v>
      </c>
      <c r="K82" s="8">
        <v>49.962700352612615</v>
      </c>
      <c r="L82" s="8">
        <v>48.123985845180208</v>
      </c>
      <c r="M82" s="8">
        <v>46.285271337747801</v>
      </c>
      <c r="N82" s="8">
        <v>44.689276734763816</v>
      </c>
      <c r="O82" s="8">
        <v>43.093282131779823</v>
      </c>
      <c r="P82" s="8">
        <v>41.497287528795837</v>
      </c>
      <c r="Q82" s="8">
        <v>39.901292925811845</v>
      </c>
      <c r="R82" s="8">
        <v>38.305298322827859</v>
      </c>
      <c r="S82" s="8">
        <v>35.898903415802494</v>
      </c>
      <c r="T82" s="8">
        <v>33.492508508777135</v>
      </c>
      <c r="U82" s="8">
        <v>31.086113601751769</v>
      </c>
      <c r="V82" s="8">
        <v>28.679718694726407</v>
      </c>
      <c r="W82" s="8">
        <v>26.273323787701045</v>
      </c>
      <c r="X82" s="8">
        <v>23.095076960727273</v>
      </c>
      <c r="Y82" s="8">
        <v>19.9168301337535</v>
      </c>
      <c r="Z82" s="8">
        <v>16.738583306779731</v>
      </c>
      <c r="AA82" s="8">
        <v>13.560336479805956</v>
      </c>
      <c r="AB82" s="8">
        <v>10.382089652832184</v>
      </c>
      <c r="AC82" s="8">
        <v>6.8594676233810814</v>
      </c>
      <c r="AD82" s="8">
        <v>3.3368455939299793</v>
      </c>
      <c r="AE82" s="8">
        <v>-0.185776435521122</v>
      </c>
      <c r="AF82" s="8">
        <v>-3.708398464972225</v>
      </c>
      <c r="AG82" s="8">
        <v>-7.2310204944233298</v>
      </c>
      <c r="AH82" s="8">
        <v>-9.7821682316671374</v>
      </c>
      <c r="AI82" s="8">
        <v>-12.333315968910945</v>
      </c>
      <c r="AJ82" s="8">
        <v>-14.884463706154754</v>
      </c>
      <c r="AK82" s="8">
        <v>-17.435611443398564</v>
      </c>
      <c r="AL82" s="8">
        <v>-19.98675918064237</v>
      </c>
      <c r="AM82" s="8">
        <v>-21.898541579968636</v>
      </c>
      <c r="AN82" s="8">
        <v>-23.8103239792949</v>
      </c>
      <c r="AO82" s="8">
        <v>-25.722106378621167</v>
      </c>
      <c r="AP82" s="8">
        <v>-27.633888777947433</v>
      </c>
      <c r="AQ82" s="8">
        <v>-29.545671177273697</v>
      </c>
      <c r="AR82" s="8">
        <v>-31.675022263850188</v>
      </c>
      <c r="AS82" s="8">
        <v>-33.80437335042668</v>
      </c>
      <c r="AT82" s="8">
        <v>-35.933724437003178</v>
      </c>
      <c r="AU82" s="8">
        <v>-38.06307552357967</v>
      </c>
      <c r="AV82" s="8">
        <v>-40.192426610156161</v>
      </c>
      <c r="AW82" s="8">
        <v>-40.847594495585597</v>
      </c>
      <c r="AX82" s="8">
        <v>-41.502762381015032</v>
      </c>
      <c r="AY82" s="8">
        <v>-42.157930266444474</v>
      </c>
      <c r="AZ82" s="8">
        <v>-42.813098151873909</v>
      </c>
      <c r="BA82" s="8">
        <v>-43.468266037303344</v>
      </c>
      <c r="BB82" s="102" t="s">
        <v>3</v>
      </c>
      <c r="BC82" s="8"/>
      <c r="BD82" s="8"/>
      <c r="BE82" s="8"/>
      <c r="BF82" s="8"/>
      <c r="BG82" s="8"/>
      <c r="BH82" s="8"/>
      <c r="BI82" s="8"/>
      <c r="BJ82" s="8"/>
      <c r="BK82" s="8"/>
      <c r="BL82" s="8"/>
      <c r="BM82" s="8"/>
      <c r="BN82" s="8"/>
      <c r="BO82" s="8"/>
      <c r="BP82" s="8"/>
      <c r="BQ82" s="8"/>
      <c r="BR82" s="8"/>
      <c r="BS82" s="8"/>
      <c r="BT82" s="8"/>
      <c r="BU82" s="8"/>
      <c r="BV82" s="8"/>
      <c r="BW82" s="8"/>
    </row>
    <row r="83" spans="1:80" x14ac:dyDescent="0.2">
      <c r="B83" s="101" t="s">
        <v>166</v>
      </c>
      <c r="C83" s="8">
        <v>31.506171872123684</v>
      </c>
      <c r="D83" s="8">
        <v>31.882225904261428</v>
      </c>
      <c r="E83" s="8">
        <v>32.25827993639917</v>
      </c>
      <c r="F83" s="8">
        <v>32.634333968536914</v>
      </c>
      <c r="G83" s="8">
        <v>33.010388000674659</v>
      </c>
      <c r="H83" s="8">
        <v>33.386442032812404</v>
      </c>
      <c r="I83" s="8">
        <v>32.723044672326374</v>
      </c>
      <c r="J83" s="8">
        <v>32.059647311840344</v>
      </c>
      <c r="K83" s="8">
        <v>31.39624995135431</v>
      </c>
      <c r="L83" s="8">
        <v>30.732852590868276</v>
      </c>
      <c r="M83" s="8">
        <v>30.069455230382246</v>
      </c>
      <c r="N83" s="8">
        <v>30.237423340769947</v>
      </c>
      <c r="O83" s="8">
        <v>30.405391451157648</v>
      </c>
      <c r="P83" s="8">
        <v>30.573359561545349</v>
      </c>
      <c r="Q83" s="8">
        <v>30.74132767193305</v>
      </c>
      <c r="R83" s="8">
        <v>30.909295782320751</v>
      </c>
      <c r="S83" s="8">
        <v>30.620703787411443</v>
      </c>
      <c r="T83" s="8">
        <v>30.332111792502136</v>
      </c>
      <c r="U83" s="8">
        <v>30.043519797592829</v>
      </c>
      <c r="V83" s="8">
        <v>29.754927802683522</v>
      </c>
      <c r="W83" s="8">
        <v>29.466335807774215</v>
      </c>
      <c r="X83" s="8">
        <v>28.380553684711899</v>
      </c>
      <c r="Y83" s="8">
        <v>27.294771561649583</v>
      </c>
      <c r="Z83" s="8">
        <v>26.208989438587267</v>
      </c>
      <c r="AA83" s="8">
        <v>25.123207315524951</v>
      </c>
      <c r="AB83" s="8">
        <v>24.037425192462635</v>
      </c>
      <c r="AC83" s="8">
        <v>22.17666073495705</v>
      </c>
      <c r="AD83" s="8">
        <v>20.315896277451465</v>
      </c>
      <c r="AE83" s="8">
        <v>18.455131819945883</v>
      </c>
      <c r="AF83" s="8">
        <v>16.594367362440298</v>
      </c>
      <c r="AG83" s="8">
        <v>14.733602904934713</v>
      </c>
      <c r="AH83" s="8">
        <v>12.965501056431187</v>
      </c>
      <c r="AI83" s="8">
        <v>11.19739920792766</v>
      </c>
      <c r="AJ83" s="8">
        <v>9.4292973594241349</v>
      </c>
      <c r="AK83" s="8">
        <v>7.6611955109206082</v>
      </c>
      <c r="AL83" s="8">
        <v>5.8930936624170815</v>
      </c>
      <c r="AM83" s="8">
        <v>4.2591782101957474</v>
      </c>
      <c r="AN83" s="8">
        <v>2.6252627579744123</v>
      </c>
      <c r="AO83" s="8">
        <v>0.99134730575307728</v>
      </c>
      <c r="AP83" s="8">
        <v>-0.64256814646825688</v>
      </c>
      <c r="AQ83" s="8">
        <v>-2.276483598689591</v>
      </c>
      <c r="AR83" s="8">
        <v>-3.6183406031242162</v>
      </c>
      <c r="AS83" s="8">
        <v>-4.9601976075588414</v>
      </c>
      <c r="AT83" s="8">
        <v>-6.3020546119934675</v>
      </c>
      <c r="AU83" s="8">
        <v>-7.6439116164280927</v>
      </c>
      <c r="AV83" s="8">
        <v>-8.9857686208627179</v>
      </c>
      <c r="AW83" s="8">
        <v>-9.3237254549158557</v>
      </c>
      <c r="AX83" s="8">
        <v>-9.6616822889689953</v>
      </c>
      <c r="AY83" s="8">
        <v>-9.9996391230221331</v>
      </c>
      <c r="AZ83" s="8">
        <v>-10.337595957075273</v>
      </c>
      <c r="BA83" s="8">
        <v>-10.67555279112841</v>
      </c>
      <c r="BB83" s="102" t="s">
        <v>3</v>
      </c>
      <c r="BC83" s="8"/>
      <c r="BD83" s="8"/>
      <c r="BE83" s="8"/>
      <c r="BF83" s="8"/>
      <c r="BG83" s="8"/>
      <c r="BH83" s="8"/>
      <c r="BI83" s="8"/>
      <c r="BJ83" s="8"/>
      <c r="BK83" s="8"/>
      <c r="BL83" s="8"/>
      <c r="BM83" s="8"/>
      <c r="BN83" s="8"/>
      <c r="BO83" s="8"/>
      <c r="BP83" s="8"/>
      <c r="BQ83" s="8"/>
      <c r="BR83" s="8"/>
      <c r="BS83" s="8"/>
      <c r="BT83" s="8"/>
      <c r="BU83" s="8"/>
      <c r="BV83" s="8"/>
      <c r="BW83" s="8"/>
    </row>
    <row r="84" spans="1:80" x14ac:dyDescent="0.2">
      <c r="B84" s="101" t="s">
        <v>168</v>
      </c>
      <c r="C84" s="8">
        <v>74.987956350122232</v>
      </c>
      <c r="D84" s="8">
        <v>77.763423435872355</v>
      </c>
      <c r="E84" s="8">
        <v>80.538890521622491</v>
      </c>
      <c r="F84" s="8">
        <v>83.314357607372614</v>
      </c>
      <c r="G84" s="8">
        <v>86.08982469312275</v>
      </c>
      <c r="H84" s="8">
        <v>88.865291778872873</v>
      </c>
      <c r="I84" s="8">
        <v>86.367147428362983</v>
      </c>
      <c r="J84" s="8">
        <v>83.86900307785308</v>
      </c>
      <c r="K84" s="8">
        <v>81.37085872734319</v>
      </c>
      <c r="L84" s="8">
        <v>78.872714376833287</v>
      </c>
      <c r="M84" s="8">
        <v>76.374570026323397</v>
      </c>
      <c r="N84" s="8">
        <v>74.987459536995431</v>
      </c>
      <c r="O84" s="8">
        <v>73.600349047667478</v>
      </c>
      <c r="P84" s="8">
        <v>72.213238558339512</v>
      </c>
      <c r="Q84" s="8">
        <v>70.82612806901156</v>
      </c>
      <c r="R84" s="8">
        <v>69.439017579683593</v>
      </c>
      <c r="S84" s="8">
        <v>66.790610811332172</v>
      </c>
      <c r="T84" s="8">
        <v>64.142204042980751</v>
      </c>
      <c r="U84" s="8">
        <v>61.49379727462933</v>
      </c>
      <c r="V84" s="8">
        <v>58.845390506277909</v>
      </c>
      <c r="W84" s="8">
        <v>56.196983737926487</v>
      </c>
      <c r="X84" s="8">
        <v>51.882577618323289</v>
      </c>
      <c r="Y84" s="8">
        <v>47.568171498720091</v>
      </c>
      <c r="Z84" s="8">
        <v>43.253765379116899</v>
      </c>
      <c r="AA84" s="8">
        <v>38.939359259513701</v>
      </c>
      <c r="AB84" s="8">
        <v>34.624953139910502</v>
      </c>
      <c r="AC84" s="8">
        <v>29.218694757349546</v>
      </c>
      <c r="AD84" s="8">
        <v>23.812436374788593</v>
      </c>
      <c r="AE84" s="8">
        <v>18.40617799222764</v>
      </c>
      <c r="AF84" s="8">
        <v>12.999919609666684</v>
      </c>
      <c r="AG84" s="8">
        <v>7.5936612271057289</v>
      </c>
      <c r="AH84" s="8">
        <v>2.9622024616550409</v>
      </c>
      <c r="AI84" s="8">
        <v>-1.6692563037956472</v>
      </c>
      <c r="AJ84" s="8">
        <v>-6.3007150692463352</v>
      </c>
      <c r="AK84" s="8">
        <v>-10.932173834697023</v>
      </c>
      <c r="AL84" s="8">
        <v>-15.563632600147713</v>
      </c>
      <c r="AM84" s="8">
        <v>-19.382095363918133</v>
      </c>
      <c r="AN84" s="8">
        <v>-23.200558127688556</v>
      </c>
      <c r="AO84" s="8">
        <v>-27.019020891458975</v>
      </c>
      <c r="AP84" s="8">
        <v>-30.837483655229398</v>
      </c>
      <c r="AQ84" s="8">
        <v>-34.655946418999818</v>
      </c>
      <c r="AR84" s="8">
        <v>-38.240118299645374</v>
      </c>
      <c r="AS84" s="8">
        <v>-41.82429018029093</v>
      </c>
      <c r="AT84" s="8">
        <v>-45.408462060936486</v>
      </c>
      <c r="AU84" s="8">
        <v>-48.992633941582035</v>
      </c>
      <c r="AV84" s="8">
        <v>-52.576805822227591</v>
      </c>
      <c r="AW84" s="8">
        <v>-53.247019303321089</v>
      </c>
      <c r="AX84" s="8">
        <v>-53.917232784414587</v>
      </c>
      <c r="AY84" s="8">
        <v>-54.587446265508078</v>
      </c>
      <c r="AZ84" s="8">
        <v>-55.257659746601576</v>
      </c>
      <c r="BA84" s="8">
        <v>-55.927873227695073</v>
      </c>
      <c r="BB84" s="102" t="s">
        <v>3</v>
      </c>
      <c r="BC84" s="8"/>
      <c r="BD84" s="8"/>
      <c r="BE84" s="8"/>
      <c r="BF84" s="8"/>
      <c r="BG84" s="8"/>
      <c r="BH84" s="8"/>
      <c r="BI84" s="8"/>
      <c r="BJ84" s="8"/>
      <c r="BK84" s="8"/>
      <c r="BL84" s="8"/>
      <c r="BM84" s="8"/>
      <c r="BN84" s="8"/>
      <c r="BO84" s="8"/>
      <c r="BP84" s="8"/>
      <c r="BQ84" s="8"/>
      <c r="BR84" s="8"/>
      <c r="BS84" s="8"/>
      <c r="BT84" s="8"/>
      <c r="BU84" s="8"/>
      <c r="BV84" s="8"/>
      <c r="BW84" s="8"/>
    </row>
    <row r="85" spans="1:80" x14ac:dyDescent="0.2">
      <c r="B85" s="101" t="s">
        <v>169</v>
      </c>
      <c r="C85" s="8">
        <v>69.422498575135904</v>
      </c>
      <c r="D85" s="8">
        <v>69.873391847788426</v>
      </c>
      <c r="E85" s="8">
        <v>70.324285120440933</v>
      </c>
      <c r="F85" s="8">
        <v>70.775178393093455</v>
      </c>
      <c r="G85" s="8">
        <v>71.226071665745962</v>
      </c>
      <c r="H85" s="8">
        <v>71.676964938398484</v>
      </c>
      <c r="I85" s="8">
        <v>71.193311415502833</v>
      </c>
      <c r="J85" s="8">
        <v>70.709657892607183</v>
      </c>
      <c r="K85" s="8">
        <v>70.226004369711546</v>
      </c>
      <c r="L85" s="8">
        <v>69.742350846815896</v>
      </c>
      <c r="M85" s="8">
        <v>69.258697323920245</v>
      </c>
      <c r="N85" s="8">
        <v>69.073223943735243</v>
      </c>
      <c r="O85" s="8">
        <v>68.887750563550242</v>
      </c>
      <c r="P85" s="8">
        <v>68.702277183365254</v>
      </c>
      <c r="Q85" s="8">
        <v>68.516803803180252</v>
      </c>
      <c r="R85" s="8">
        <v>68.331330422995251</v>
      </c>
      <c r="S85" s="8">
        <v>67.181562601619305</v>
      </c>
      <c r="T85" s="8">
        <v>66.031794780243359</v>
      </c>
      <c r="U85" s="8">
        <v>64.882026958867399</v>
      </c>
      <c r="V85" s="8">
        <v>63.732259137491454</v>
      </c>
      <c r="W85" s="8">
        <v>62.582491316115508</v>
      </c>
      <c r="X85" s="8">
        <v>60.340139382634533</v>
      </c>
      <c r="Y85" s="8">
        <v>58.09778744915355</v>
      </c>
      <c r="Z85" s="8">
        <v>55.855435515672575</v>
      </c>
      <c r="AA85" s="8">
        <v>53.613083582191592</v>
      </c>
      <c r="AB85" s="8">
        <v>51.370731648710617</v>
      </c>
      <c r="AC85" s="8">
        <v>48.333884030867438</v>
      </c>
      <c r="AD85" s="8">
        <v>45.297036413024259</v>
      </c>
      <c r="AE85" s="8">
        <v>42.26018879518108</v>
      </c>
      <c r="AF85" s="8">
        <v>39.223341177337907</v>
      </c>
      <c r="AG85" s="8">
        <v>36.186493559494728</v>
      </c>
      <c r="AH85" s="8">
        <v>32.130726940556542</v>
      </c>
      <c r="AI85" s="8">
        <v>28.074960321618349</v>
      </c>
      <c r="AJ85" s="8">
        <v>24.019193702680163</v>
      </c>
      <c r="AK85" s="8">
        <v>19.963427083741973</v>
      </c>
      <c r="AL85" s="8">
        <v>15.907660464803781</v>
      </c>
      <c r="AM85" s="8">
        <v>9.3882111858656749</v>
      </c>
      <c r="AN85" s="8">
        <v>2.8687619069275687</v>
      </c>
      <c r="AO85" s="8">
        <v>-3.6506873720105393</v>
      </c>
      <c r="AP85" s="8">
        <v>-10.170136650948644</v>
      </c>
      <c r="AQ85" s="8">
        <v>-16.689585929886746</v>
      </c>
      <c r="AR85" s="8">
        <v>-20.74277801290561</v>
      </c>
      <c r="AS85" s="8">
        <v>-24.795970095924474</v>
      </c>
      <c r="AT85" s="8">
        <v>-28.849162178943338</v>
      </c>
      <c r="AU85" s="8">
        <v>-32.902354261962202</v>
      </c>
      <c r="AV85" s="8">
        <v>-36.955546344981066</v>
      </c>
      <c r="AW85" s="8">
        <v>-37.088072668734405</v>
      </c>
      <c r="AX85" s="8">
        <v>-37.220598992487744</v>
      </c>
      <c r="AY85" s="8">
        <v>-37.353125316241091</v>
      </c>
      <c r="AZ85" s="8">
        <v>-37.48565163999443</v>
      </c>
      <c r="BA85" s="8">
        <v>-37.618177963747769</v>
      </c>
      <c r="BB85" s="102" t="s">
        <v>3</v>
      </c>
      <c r="BC85" s="8"/>
      <c r="BD85" s="8"/>
      <c r="BE85" s="8"/>
      <c r="BF85" s="8"/>
      <c r="BG85" s="8"/>
      <c r="BH85" s="8"/>
      <c r="BI85" s="8"/>
      <c r="BJ85" s="8"/>
      <c r="BK85" s="8"/>
      <c r="BL85" s="8"/>
      <c r="BM85" s="8"/>
      <c r="BN85" s="8"/>
      <c r="BO85" s="8"/>
      <c r="BP85" s="8"/>
      <c r="BQ85" s="8"/>
      <c r="BR85" s="8"/>
      <c r="BS85" s="8"/>
      <c r="BT85" s="8"/>
      <c r="BU85" s="8"/>
      <c r="BV85" s="8"/>
      <c r="BW85" s="8"/>
    </row>
    <row r="86" spans="1:80" x14ac:dyDescent="0.2">
      <c r="A86" s="1"/>
      <c r="B86" s="101" t="s">
        <v>170</v>
      </c>
      <c r="C86" s="8">
        <v>19.679233400000001</v>
      </c>
      <c r="D86" s="8">
        <v>19.729991200000001</v>
      </c>
      <c r="E86" s="8">
        <v>19.780749</v>
      </c>
      <c r="F86" s="8">
        <v>19.8315068</v>
      </c>
      <c r="G86" s="8">
        <v>19.882264599999999</v>
      </c>
      <c r="H86" s="8">
        <v>19.933022399999999</v>
      </c>
      <c r="I86" s="8">
        <v>20.462316339999997</v>
      </c>
      <c r="J86" s="8">
        <v>20.99161028</v>
      </c>
      <c r="K86" s="8">
        <v>21.520904219999998</v>
      </c>
      <c r="L86" s="8">
        <v>22.050198160000001</v>
      </c>
      <c r="M86" s="8">
        <v>22.5794921</v>
      </c>
      <c r="N86" s="8">
        <v>22.473805299999999</v>
      </c>
      <c r="O86" s="8">
        <v>22.368118499999998</v>
      </c>
      <c r="P86" s="8">
        <v>22.2624317</v>
      </c>
      <c r="Q86" s="8">
        <v>22.1567449</v>
      </c>
      <c r="R86" s="8">
        <v>22.051058099999999</v>
      </c>
      <c r="S86" s="8">
        <v>21.842801179999999</v>
      </c>
      <c r="T86" s="8">
        <v>21.634544259999998</v>
      </c>
      <c r="U86" s="8">
        <v>21.426287340000002</v>
      </c>
      <c r="V86" s="8">
        <v>21.218030420000002</v>
      </c>
      <c r="W86" s="8">
        <v>21.009773500000001</v>
      </c>
      <c r="X86" s="8">
        <v>20.30665226</v>
      </c>
      <c r="Y86" s="8">
        <v>19.603531020000002</v>
      </c>
      <c r="Z86" s="8">
        <v>18.90040978</v>
      </c>
      <c r="AA86" s="8">
        <v>18.197288540000002</v>
      </c>
      <c r="AB86" s="8">
        <v>17.494167300000001</v>
      </c>
      <c r="AC86" s="8">
        <v>16.450506539999999</v>
      </c>
      <c r="AD86" s="8">
        <v>15.406845780000001</v>
      </c>
      <c r="AE86" s="8">
        <v>14.36318502</v>
      </c>
      <c r="AF86" s="8">
        <v>13.31952426</v>
      </c>
      <c r="AG86" s="8">
        <v>12.2758635</v>
      </c>
      <c r="AH86" s="8">
        <v>11.184321934</v>
      </c>
      <c r="AI86" s="8">
        <v>10.092780368</v>
      </c>
      <c r="AJ86" s="8">
        <v>9.0012388019999996</v>
      </c>
      <c r="AK86" s="8">
        <v>7.9096972360000004</v>
      </c>
      <c r="AL86" s="8">
        <v>6.8181556700000003</v>
      </c>
      <c r="AM86" s="8">
        <v>5.1140635440000004</v>
      </c>
      <c r="AN86" s="8">
        <v>3.409971418</v>
      </c>
      <c r="AO86" s="8">
        <v>1.7058792919999997</v>
      </c>
      <c r="AP86" s="8">
        <v>1.7871659999997291E-3</v>
      </c>
      <c r="AQ86" s="8">
        <v>-1.70230496</v>
      </c>
      <c r="AR86" s="8">
        <v>-2.8027490039999998</v>
      </c>
      <c r="AS86" s="8">
        <v>-3.9031930480000003</v>
      </c>
      <c r="AT86" s="8">
        <v>-5.003637092</v>
      </c>
      <c r="AU86" s="8">
        <v>-6.1040811360000005</v>
      </c>
      <c r="AV86" s="8">
        <v>-7.2045251800000001</v>
      </c>
      <c r="AW86" s="8">
        <v>-7.547664084</v>
      </c>
      <c r="AX86" s="8">
        <v>-7.8908029879999999</v>
      </c>
      <c r="AY86" s="8">
        <v>-8.2339418920000007</v>
      </c>
      <c r="AZ86" s="8">
        <v>-8.5770807960000006</v>
      </c>
      <c r="BA86" s="8">
        <v>-8.9202197000000005</v>
      </c>
      <c r="BB86" s="102" t="s">
        <v>3</v>
      </c>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row>
    <row r="87" spans="1:80" x14ac:dyDescent="0.2">
      <c r="A87" s="3"/>
      <c r="B87" s="101" t="s">
        <v>171</v>
      </c>
      <c r="C87" s="8">
        <v>13.792873800000001</v>
      </c>
      <c r="D87" s="8">
        <v>14.00089526</v>
      </c>
      <c r="E87" s="8">
        <v>14.20891672</v>
      </c>
      <c r="F87" s="8">
        <v>14.416938180000001</v>
      </c>
      <c r="G87" s="8">
        <v>14.62495964</v>
      </c>
      <c r="H87" s="8">
        <v>14.8329811</v>
      </c>
      <c r="I87" s="8">
        <v>14.642419179999999</v>
      </c>
      <c r="J87" s="8">
        <v>14.451857259999999</v>
      </c>
      <c r="K87" s="8">
        <v>14.26129534</v>
      </c>
      <c r="L87" s="8">
        <v>14.07073342</v>
      </c>
      <c r="M87" s="8">
        <v>13.880171499999999</v>
      </c>
      <c r="N87" s="8">
        <v>13.58241604</v>
      </c>
      <c r="O87" s="8">
        <v>13.284660580000001</v>
      </c>
      <c r="P87" s="8">
        <v>12.986905119999999</v>
      </c>
      <c r="Q87" s="8">
        <v>12.68914966</v>
      </c>
      <c r="R87" s="8">
        <v>12.391394200000001</v>
      </c>
      <c r="S87" s="8">
        <v>11.9910692</v>
      </c>
      <c r="T87" s="8">
        <v>11.5907442</v>
      </c>
      <c r="U87" s="8">
        <v>11.190419200000001</v>
      </c>
      <c r="V87" s="8">
        <v>10.7900942</v>
      </c>
      <c r="W87" s="8">
        <v>10.3897692</v>
      </c>
      <c r="X87" s="8">
        <v>9.8031247599999993</v>
      </c>
      <c r="Y87" s="8">
        <v>9.2164803200000005</v>
      </c>
      <c r="Z87" s="8">
        <v>8.6298358799999999</v>
      </c>
      <c r="AA87" s="8">
        <v>8.0431914399999993</v>
      </c>
      <c r="AB87" s="8">
        <v>7.4565469999999996</v>
      </c>
      <c r="AC87" s="8">
        <v>6.5232404839999996</v>
      </c>
      <c r="AD87" s="8">
        <v>5.5899339679999995</v>
      </c>
      <c r="AE87" s="8">
        <v>4.6566274519999995</v>
      </c>
      <c r="AF87" s="8">
        <v>3.7233209359999995</v>
      </c>
      <c r="AG87" s="8">
        <v>2.7900144199999999</v>
      </c>
      <c r="AH87" s="8">
        <v>2.7058681679999999</v>
      </c>
      <c r="AI87" s="8">
        <v>2.6217219159999998</v>
      </c>
      <c r="AJ87" s="8">
        <v>2.5375756640000002</v>
      </c>
      <c r="AK87" s="8">
        <v>2.4534294120000002</v>
      </c>
      <c r="AL87" s="8">
        <v>2.3692831600000002</v>
      </c>
      <c r="AM87" s="8">
        <v>2.2516933020000001</v>
      </c>
      <c r="AN87" s="8">
        <v>2.134103444</v>
      </c>
      <c r="AO87" s="8">
        <v>2.0165135860000003</v>
      </c>
      <c r="AP87" s="8">
        <v>1.8989237280000002</v>
      </c>
      <c r="AQ87" s="8">
        <v>1.7813338700000001</v>
      </c>
      <c r="AR87" s="8">
        <v>1.6232235720000001</v>
      </c>
      <c r="AS87" s="8">
        <v>1.4651132740000001</v>
      </c>
      <c r="AT87" s="8">
        <v>1.3070029759999999</v>
      </c>
      <c r="AU87" s="8">
        <v>1.1488926779999999</v>
      </c>
      <c r="AV87" s="8">
        <v>0.99078237999999996</v>
      </c>
      <c r="AW87" s="8">
        <v>0.79262590637999997</v>
      </c>
      <c r="AX87" s="8">
        <v>0.59446943275999997</v>
      </c>
      <c r="AY87" s="8">
        <v>0.39631295913999998</v>
      </c>
      <c r="AZ87" s="8">
        <v>0.19815648551999998</v>
      </c>
      <c r="BA87" s="8">
        <v>1.1900000000000001E-8</v>
      </c>
      <c r="BB87" s="102" t="s">
        <v>3</v>
      </c>
      <c r="BC87" s="8"/>
    </row>
    <row r="88" spans="1:80" x14ac:dyDescent="0.2">
      <c r="A88" s="7"/>
      <c r="B88" s="101" t="s">
        <v>107</v>
      </c>
      <c r="C88" s="8">
        <v>154.93841871699402</v>
      </c>
      <c r="D88" s="8">
        <v>158.1440468157171</v>
      </c>
      <c r="E88" s="8">
        <v>161.34967491444016</v>
      </c>
      <c r="F88" s="8">
        <v>164.55530301316324</v>
      </c>
      <c r="G88" s="8">
        <v>167.76093111188629</v>
      </c>
      <c r="H88" s="8">
        <v>170.96655921060938</v>
      </c>
      <c r="I88" s="8">
        <v>170.4260642699883</v>
      </c>
      <c r="J88" s="8">
        <v>169.88556932936723</v>
      </c>
      <c r="K88" s="8">
        <v>169.34507438874613</v>
      </c>
      <c r="L88" s="8">
        <v>168.80457944812505</v>
      </c>
      <c r="M88" s="8">
        <v>168.26408450750398</v>
      </c>
      <c r="N88" s="8">
        <v>162.24424741187164</v>
      </c>
      <c r="O88" s="8">
        <v>156.2244103162393</v>
      </c>
      <c r="P88" s="8">
        <v>150.20457322060696</v>
      </c>
      <c r="Q88" s="8">
        <v>144.18473612497459</v>
      </c>
      <c r="R88" s="8">
        <v>138.16489902934225</v>
      </c>
      <c r="S88" s="8">
        <v>124.63029137220633</v>
      </c>
      <c r="T88" s="8">
        <v>111.09568371507042</v>
      </c>
      <c r="U88" s="8">
        <v>97.5610760579345</v>
      </c>
      <c r="V88" s="8">
        <v>84.026468400798592</v>
      </c>
      <c r="W88" s="8">
        <v>70.49186074366267</v>
      </c>
      <c r="X88" s="8">
        <v>51.330032186345221</v>
      </c>
      <c r="Y88" s="8">
        <v>32.168203629027765</v>
      </c>
      <c r="Z88" s="8">
        <v>13.006375071710309</v>
      </c>
      <c r="AA88" s="8">
        <v>-6.1554534856071399</v>
      </c>
      <c r="AB88" s="8">
        <v>-25.317282042924589</v>
      </c>
      <c r="AC88" s="8">
        <v>-44.083472182523892</v>
      </c>
      <c r="AD88" s="8">
        <v>-62.849662322123187</v>
      </c>
      <c r="AE88" s="8">
        <v>-81.615852461722483</v>
      </c>
      <c r="AF88" s="8">
        <v>-100.38204260132179</v>
      </c>
      <c r="AG88" s="8">
        <v>-119.14823274092109</v>
      </c>
      <c r="AH88" s="8">
        <v>-139.1759286327931</v>
      </c>
      <c r="AI88" s="8">
        <v>-159.20362452466512</v>
      </c>
      <c r="AJ88" s="8">
        <v>-179.23132041653713</v>
      </c>
      <c r="AK88" s="8">
        <v>-199.25901630840914</v>
      </c>
      <c r="AL88" s="8">
        <v>-219.28671220028116</v>
      </c>
      <c r="AM88" s="8">
        <v>-228.26704825492317</v>
      </c>
      <c r="AN88" s="8">
        <v>-237.24738430956515</v>
      </c>
      <c r="AO88" s="8">
        <v>-246.22772036420716</v>
      </c>
      <c r="AP88" s="8">
        <v>-255.20805641884914</v>
      </c>
      <c r="AQ88" s="8">
        <v>-264.18839247349115</v>
      </c>
      <c r="AR88" s="8">
        <v>-272.71947284113821</v>
      </c>
      <c r="AS88" s="8">
        <v>-281.25055320878528</v>
      </c>
      <c r="AT88" s="8">
        <v>-289.78163357643228</v>
      </c>
      <c r="AU88" s="8">
        <v>-298.31271394407935</v>
      </c>
      <c r="AV88" s="8">
        <v>-306.84379431172641</v>
      </c>
      <c r="AW88" s="8">
        <v>-320.9499675230046</v>
      </c>
      <c r="AX88" s="8">
        <v>-335.05614073428279</v>
      </c>
      <c r="AY88" s="8">
        <v>-349.16231394556098</v>
      </c>
      <c r="AZ88" s="8">
        <v>-363.26848715683917</v>
      </c>
      <c r="BA88" s="8">
        <v>-377.37466036811736</v>
      </c>
      <c r="BB88" s="102" t="s">
        <v>3</v>
      </c>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row>
    <row r="89" spans="1:80" x14ac:dyDescent="0.2">
      <c r="A89" s="7"/>
      <c r="B89" s="101" t="s">
        <v>8</v>
      </c>
      <c r="C89" s="8">
        <v>586.11369171095112</v>
      </c>
      <c r="D89" s="8">
        <v>601.8794441078004</v>
      </c>
      <c r="E89" s="8">
        <v>617.64519650464979</v>
      </c>
      <c r="F89" s="8">
        <v>633.41094890149907</v>
      </c>
      <c r="G89" s="8">
        <v>649.17670129834846</v>
      </c>
      <c r="H89" s="8">
        <v>664.94245369519774</v>
      </c>
      <c r="I89" s="8">
        <v>670.14151646191613</v>
      </c>
      <c r="J89" s="8">
        <v>675.34057922863451</v>
      </c>
      <c r="K89" s="8">
        <v>680.53964199535278</v>
      </c>
      <c r="L89" s="8">
        <v>685.73870476207117</v>
      </c>
      <c r="M89" s="8">
        <v>690.93776752878955</v>
      </c>
      <c r="N89" s="8">
        <v>687.14733408275947</v>
      </c>
      <c r="O89" s="8">
        <v>683.35690063672939</v>
      </c>
      <c r="P89" s="8">
        <v>679.56646719069931</v>
      </c>
      <c r="Q89" s="8">
        <v>675.77603374466923</v>
      </c>
      <c r="R89" s="8">
        <v>671.98560029863916</v>
      </c>
      <c r="S89" s="8">
        <v>656.03776783986029</v>
      </c>
      <c r="T89" s="8">
        <v>640.08993538108143</v>
      </c>
      <c r="U89" s="8">
        <v>624.14210292230246</v>
      </c>
      <c r="V89" s="8">
        <v>608.19427046352359</v>
      </c>
      <c r="W89" s="8">
        <v>592.24643800474473</v>
      </c>
      <c r="X89" s="8">
        <v>558.8649359847152</v>
      </c>
      <c r="Y89" s="8">
        <v>525.48343396468556</v>
      </c>
      <c r="Z89" s="8">
        <v>492.10193194465597</v>
      </c>
      <c r="AA89" s="8">
        <v>458.72042992462639</v>
      </c>
      <c r="AB89" s="8">
        <v>425.3389279045968</v>
      </c>
      <c r="AC89" s="8">
        <v>371.82149727311884</v>
      </c>
      <c r="AD89" s="8">
        <v>318.30406664164093</v>
      </c>
      <c r="AE89" s="8">
        <v>264.78663601016297</v>
      </c>
      <c r="AF89" s="8">
        <v>211.26920537868503</v>
      </c>
      <c r="AG89" s="8">
        <v>157.75177474720709</v>
      </c>
      <c r="AH89" s="8">
        <v>102.30889057484579</v>
      </c>
      <c r="AI89" s="8">
        <v>46.866006402484487</v>
      </c>
      <c r="AJ89" s="8">
        <v>-8.5768777698768304</v>
      </c>
      <c r="AK89" s="8">
        <v>-64.019761942238119</v>
      </c>
      <c r="AL89" s="8">
        <v>-119.46264611459938</v>
      </c>
      <c r="AM89" s="8">
        <v>-171.75235523762962</v>
      </c>
      <c r="AN89" s="8">
        <v>-224.04206436065988</v>
      </c>
      <c r="AO89" s="8">
        <v>-276.33177348369009</v>
      </c>
      <c r="AP89" s="8">
        <v>-328.62148260672041</v>
      </c>
      <c r="AQ89" s="8">
        <v>-380.91119172975061</v>
      </c>
      <c r="AR89" s="8">
        <v>-434.66091894096724</v>
      </c>
      <c r="AS89" s="8">
        <v>-488.41064615218392</v>
      </c>
      <c r="AT89" s="8">
        <v>-542.16037336340059</v>
      </c>
      <c r="AU89" s="8">
        <v>-595.91010057461722</v>
      </c>
      <c r="AV89" s="8">
        <v>-649.65982778583384</v>
      </c>
      <c r="AW89" s="8">
        <v>-670.12452744443249</v>
      </c>
      <c r="AX89" s="8">
        <v>-690.58922710303113</v>
      </c>
      <c r="AY89" s="8">
        <v>-711.05392676162967</v>
      </c>
      <c r="AZ89" s="8">
        <v>-731.51862642022832</v>
      </c>
      <c r="BA89" s="8">
        <v>-751.98332607882696</v>
      </c>
      <c r="BB89" s="102" t="s">
        <v>3</v>
      </c>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row>
    <row r="90" spans="1:80" x14ac:dyDescent="0.2">
      <c r="A90" s="7"/>
      <c r="B90" s="101" t="s">
        <v>181</v>
      </c>
      <c r="C90" s="8">
        <v>0.19308262357078237</v>
      </c>
      <c r="D90" s="8">
        <v>0.20752183671124849</v>
      </c>
      <c r="E90" s="8">
        <v>0.22196104985171461</v>
      </c>
      <c r="F90" s="8">
        <v>0.23640026299218075</v>
      </c>
      <c r="G90" s="8">
        <v>0.25083947613264684</v>
      </c>
      <c r="H90" s="8">
        <v>0.26527868927311299</v>
      </c>
      <c r="I90" s="8">
        <v>0.25104086154482275</v>
      </c>
      <c r="J90" s="8">
        <v>0.23680303381653256</v>
      </c>
      <c r="K90" s="8">
        <v>0.22256520608824232</v>
      </c>
      <c r="L90" s="8">
        <v>0.2083273783599521</v>
      </c>
      <c r="M90" s="8">
        <v>0.19408955063166189</v>
      </c>
      <c r="N90" s="8">
        <v>0.18314132754597637</v>
      </c>
      <c r="O90" s="8">
        <v>0.17219310446029087</v>
      </c>
      <c r="P90" s="8">
        <v>0.16124488137460535</v>
      </c>
      <c r="Q90" s="8">
        <v>0.15029665828891986</v>
      </c>
      <c r="R90" s="8">
        <v>0.13934843520323434</v>
      </c>
      <c r="S90" s="8">
        <v>0.12933566804626562</v>
      </c>
      <c r="T90" s="8">
        <v>0.1193229008892969</v>
      </c>
      <c r="U90" s="8">
        <v>0.10931013373232817</v>
      </c>
      <c r="V90" s="8">
        <v>9.9297366575359453E-2</v>
      </c>
      <c r="W90" s="8">
        <v>8.9284599418390731E-2</v>
      </c>
      <c r="X90" s="8">
        <v>8.1065482850623163E-2</v>
      </c>
      <c r="Y90" s="8">
        <v>7.2846366282855596E-2</v>
      </c>
      <c r="Z90" s="8">
        <v>6.4627249715088014E-2</v>
      </c>
      <c r="AA90" s="8">
        <v>5.6408133147320447E-2</v>
      </c>
      <c r="AB90" s="8">
        <v>4.8189016579552872E-2</v>
      </c>
      <c r="AC90" s="8">
        <v>3.8685826754836533E-2</v>
      </c>
      <c r="AD90" s="8">
        <v>2.9182636930120194E-2</v>
      </c>
      <c r="AE90" s="8">
        <v>1.9679447105403855E-2</v>
      </c>
      <c r="AF90" s="8">
        <v>1.0176257280687516E-2</v>
      </c>
      <c r="AG90" s="8">
        <v>6.7306745597117397E-4</v>
      </c>
      <c r="AH90" s="8">
        <v>5.3771652310756967E-4</v>
      </c>
      <c r="AI90" s="8">
        <v>4.0236559024396532E-4</v>
      </c>
      <c r="AJ90" s="8">
        <v>2.6701465738036096E-4</v>
      </c>
      <c r="AK90" s="8">
        <v>1.3166372451675666E-4</v>
      </c>
      <c r="AL90" s="8">
        <v>-3.6872083468476623E-6</v>
      </c>
      <c r="AM90" s="8">
        <v>-9.6671957766182691E-6</v>
      </c>
      <c r="AN90" s="8">
        <v>-1.5647183206388876E-5</v>
      </c>
      <c r="AO90" s="8">
        <v>-2.162717063615948E-5</v>
      </c>
      <c r="AP90" s="8">
        <v>-2.7607158065930087E-5</v>
      </c>
      <c r="AQ90" s="8">
        <v>-3.3587145495700695E-5</v>
      </c>
      <c r="AR90" s="8">
        <v>-4.2689118643729434E-5</v>
      </c>
      <c r="AS90" s="8">
        <v>-5.1791091791758174E-5</v>
      </c>
      <c r="AT90" s="8">
        <v>-6.089306493978692E-5</v>
      </c>
      <c r="AU90" s="8">
        <v>-6.9995038087815667E-5</v>
      </c>
      <c r="AV90" s="8">
        <v>-7.90970112358444E-5</v>
      </c>
      <c r="AW90" s="8">
        <v>-8.1467481456318902E-5</v>
      </c>
      <c r="AX90" s="8">
        <v>-8.3837951676793418E-5</v>
      </c>
      <c r="AY90" s="8">
        <v>-8.620842189726792E-5</v>
      </c>
      <c r="AZ90" s="8">
        <v>-8.8578892117742436E-5</v>
      </c>
      <c r="BA90" s="8">
        <v>-9.0949362338216939E-5</v>
      </c>
      <c r="BB90" s="102" t="s">
        <v>3</v>
      </c>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row>
    <row r="91" spans="1:80" x14ac:dyDescent="0.2">
      <c r="A91" s="7"/>
      <c r="B91" s="101" t="s">
        <v>172</v>
      </c>
      <c r="C91" s="8">
        <v>83.919343991137737</v>
      </c>
      <c r="D91" s="8">
        <v>84.540982095452406</v>
      </c>
      <c r="E91" s="8">
        <v>85.162620199767076</v>
      </c>
      <c r="F91" s="8">
        <v>85.78425830408176</v>
      </c>
      <c r="G91" s="8">
        <v>86.40589640839643</v>
      </c>
      <c r="H91" s="8">
        <v>87.0275345127111</v>
      </c>
      <c r="I91" s="8">
        <v>84.442195166154661</v>
      </c>
      <c r="J91" s="8">
        <v>81.856855819598223</v>
      </c>
      <c r="K91" s="8">
        <v>79.2715164730418</v>
      </c>
      <c r="L91" s="8">
        <v>76.686177126485362</v>
      </c>
      <c r="M91" s="8">
        <v>74.100837779928924</v>
      </c>
      <c r="N91" s="8">
        <v>72.06999936664559</v>
      </c>
      <c r="O91" s="8">
        <v>70.03916095336227</v>
      </c>
      <c r="P91" s="8">
        <v>68.008322540078936</v>
      </c>
      <c r="Q91" s="8">
        <v>65.977484126795602</v>
      </c>
      <c r="R91" s="8">
        <v>63.946645713512275</v>
      </c>
      <c r="S91" s="8">
        <v>62.295773356155891</v>
      </c>
      <c r="T91" s="8">
        <v>60.644900998799514</v>
      </c>
      <c r="U91" s="8">
        <v>58.99402864144313</v>
      </c>
      <c r="V91" s="8">
        <v>57.343156284086753</v>
      </c>
      <c r="W91" s="8">
        <v>55.692283926730369</v>
      </c>
      <c r="X91" s="8">
        <v>52.503709976331749</v>
      </c>
      <c r="Y91" s="8">
        <v>49.315136025933128</v>
      </c>
      <c r="Z91" s="8">
        <v>46.126562075534508</v>
      </c>
      <c r="AA91" s="8">
        <v>42.937988125135881</v>
      </c>
      <c r="AB91" s="8">
        <v>39.749414174737261</v>
      </c>
      <c r="AC91" s="8">
        <v>34.222191502532574</v>
      </c>
      <c r="AD91" s="8">
        <v>28.694968830327888</v>
      </c>
      <c r="AE91" s="8">
        <v>23.167746158123197</v>
      </c>
      <c r="AF91" s="8">
        <v>17.640523485918511</v>
      </c>
      <c r="AG91" s="8">
        <v>12.113300813713824</v>
      </c>
      <c r="AH91" s="8">
        <v>5.5528291449474896</v>
      </c>
      <c r="AI91" s="8">
        <v>-1.0076425238188449</v>
      </c>
      <c r="AJ91" s="8">
        <v>-7.5681141925851811</v>
      </c>
      <c r="AK91" s="8">
        <v>-14.128585861351514</v>
      </c>
      <c r="AL91" s="8">
        <v>-20.689057530117843</v>
      </c>
      <c r="AM91" s="8">
        <v>-26.807346656521602</v>
      </c>
      <c r="AN91" s="8">
        <v>-32.925635782925355</v>
      </c>
      <c r="AO91" s="8">
        <v>-39.043924909329114</v>
      </c>
      <c r="AP91" s="8">
        <v>-45.162214035732873</v>
      </c>
      <c r="AQ91" s="8">
        <v>-51.280503162136633</v>
      </c>
      <c r="AR91" s="8">
        <v>-59.360155617159407</v>
      </c>
      <c r="AS91" s="8">
        <v>-67.439808072182174</v>
      </c>
      <c r="AT91" s="8">
        <v>-75.519460527204942</v>
      </c>
      <c r="AU91" s="8">
        <v>-83.599112982227723</v>
      </c>
      <c r="AV91" s="8">
        <v>-91.67876543725049</v>
      </c>
      <c r="AW91" s="8">
        <v>-93.435484485535284</v>
      </c>
      <c r="AX91" s="8">
        <v>-95.192203533820077</v>
      </c>
      <c r="AY91" s="8">
        <v>-96.948922582104885</v>
      </c>
      <c r="AZ91" s="8">
        <v>-98.705641630389678</v>
      </c>
      <c r="BA91" s="8">
        <v>-100.46236067867447</v>
      </c>
      <c r="BB91" s="102" t="s">
        <v>3</v>
      </c>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row>
    <row r="92" spans="1:80" x14ac:dyDescent="0.2">
      <c r="A92" s="7"/>
      <c r="B92" s="101" t="s">
        <v>180</v>
      </c>
      <c r="C92" s="8">
        <v>107.37058251725161</v>
      </c>
      <c r="D92" s="8">
        <v>113.60961798375708</v>
      </c>
      <c r="E92" s="8">
        <v>119.84865345026255</v>
      </c>
      <c r="F92" s="8">
        <v>126.087688916768</v>
      </c>
      <c r="G92" s="8">
        <v>132.32672438327347</v>
      </c>
      <c r="H92" s="8">
        <v>138.56575984977894</v>
      </c>
      <c r="I92" s="8">
        <v>136.54565250164484</v>
      </c>
      <c r="J92" s="8">
        <v>134.52554515351073</v>
      </c>
      <c r="K92" s="8">
        <v>132.50543780537666</v>
      </c>
      <c r="L92" s="8">
        <v>130.48533045724255</v>
      </c>
      <c r="M92" s="8">
        <v>128.46522310910845</v>
      </c>
      <c r="N92" s="8">
        <v>126.51458509887701</v>
      </c>
      <c r="O92" s="8">
        <v>124.56394708864556</v>
      </c>
      <c r="P92" s="8">
        <v>122.6133090784141</v>
      </c>
      <c r="Q92" s="8">
        <v>120.66267106818266</v>
      </c>
      <c r="R92" s="8">
        <v>118.71203305795122</v>
      </c>
      <c r="S92" s="8">
        <v>117.2769591799545</v>
      </c>
      <c r="T92" s="8">
        <v>115.84188530195779</v>
      </c>
      <c r="U92" s="8">
        <v>114.40681142396106</v>
      </c>
      <c r="V92" s="8">
        <v>112.97173754596434</v>
      </c>
      <c r="W92" s="8">
        <v>111.53666366796763</v>
      </c>
      <c r="X92" s="8">
        <v>107.13624310107713</v>
      </c>
      <c r="Y92" s="8">
        <v>102.73582253418662</v>
      </c>
      <c r="Z92" s="8">
        <v>98.335401967296121</v>
      </c>
      <c r="AA92" s="8">
        <v>93.934981400405619</v>
      </c>
      <c r="AB92" s="8">
        <v>89.534560833515116</v>
      </c>
      <c r="AC92" s="8">
        <v>81.58069596885629</v>
      </c>
      <c r="AD92" s="8">
        <v>73.626831104197464</v>
      </c>
      <c r="AE92" s="8">
        <v>65.672966239538638</v>
      </c>
      <c r="AF92" s="8">
        <v>57.719101374879813</v>
      </c>
      <c r="AG92" s="8">
        <v>49.765236510220987</v>
      </c>
      <c r="AH92" s="8">
        <v>41.256576125951213</v>
      </c>
      <c r="AI92" s="8">
        <v>32.747915741681432</v>
      </c>
      <c r="AJ92" s="8">
        <v>24.239255357411654</v>
      </c>
      <c r="AK92" s="8">
        <v>15.730594973141876</v>
      </c>
      <c r="AL92" s="8">
        <v>7.2219345888720996</v>
      </c>
      <c r="AM92" s="8">
        <v>-1.1709540346687364</v>
      </c>
      <c r="AN92" s="8">
        <v>-9.5638426582095732</v>
      </c>
      <c r="AO92" s="8">
        <v>-17.956731281750411</v>
      </c>
      <c r="AP92" s="8">
        <v>-26.349619905291245</v>
      </c>
      <c r="AQ92" s="8">
        <v>-34.742508528832076</v>
      </c>
      <c r="AR92" s="8">
        <v>-44.611433158760725</v>
      </c>
      <c r="AS92" s="8">
        <v>-54.480357788689375</v>
      </c>
      <c r="AT92" s="8">
        <v>-64.349282418618031</v>
      </c>
      <c r="AU92" s="8">
        <v>-74.218207048546674</v>
      </c>
      <c r="AV92" s="8">
        <v>-84.08713167847533</v>
      </c>
      <c r="AW92" s="8">
        <v>-87.828691695234554</v>
      </c>
      <c r="AX92" s="8">
        <v>-91.570251711993777</v>
      </c>
      <c r="AY92" s="8">
        <v>-95.311811728752986</v>
      </c>
      <c r="AZ92" s="8">
        <v>-99.053371745512209</v>
      </c>
      <c r="BA92" s="8">
        <v>-102.79493176227143</v>
      </c>
      <c r="BB92" s="102" t="s">
        <v>3</v>
      </c>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row>
    <row r="93" spans="1:80" x14ac:dyDescent="0.2">
      <c r="A93" s="7"/>
      <c r="B93" s="101" t="s">
        <v>179</v>
      </c>
      <c r="C93" s="8">
        <v>165.5964055397381</v>
      </c>
      <c r="D93" s="8">
        <v>174.57422280809052</v>
      </c>
      <c r="E93" s="8">
        <v>183.55204007644295</v>
      </c>
      <c r="F93" s="8">
        <v>192.5298573447954</v>
      </c>
      <c r="G93" s="8">
        <v>201.50767461314783</v>
      </c>
      <c r="H93" s="8">
        <v>210.48549188150025</v>
      </c>
      <c r="I93" s="8">
        <v>217.63716059247636</v>
      </c>
      <c r="J93" s="8">
        <v>224.78882930345247</v>
      </c>
      <c r="K93" s="8">
        <v>231.94049801442858</v>
      </c>
      <c r="L93" s="8">
        <v>239.0921667254047</v>
      </c>
      <c r="M93" s="8">
        <v>246.24383543638081</v>
      </c>
      <c r="N93" s="8">
        <v>248.74887658397537</v>
      </c>
      <c r="O93" s="8">
        <v>251.25391773156994</v>
      </c>
      <c r="P93" s="8">
        <v>253.75895887916454</v>
      </c>
      <c r="Q93" s="8">
        <v>256.26400002675911</v>
      </c>
      <c r="R93" s="8">
        <v>258.76904117435367</v>
      </c>
      <c r="S93" s="8">
        <v>255.24847761993311</v>
      </c>
      <c r="T93" s="8">
        <v>251.72791406551252</v>
      </c>
      <c r="U93" s="8">
        <v>248.20735051109196</v>
      </c>
      <c r="V93" s="8">
        <v>244.68678695667137</v>
      </c>
      <c r="W93" s="8">
        <v>241.16622340225081</v>
      </c>
      <c r="X93" s="8">
        <v>229.14451992733993</v>
      </c>
      <c r="Y93" s="8">
        <v>217.12281645242905</v>
      </c>
      <c r="Z93" s="8">
        <v>205.10111297751814</v>
      </c>
      <c r="AA93" s="8">
        <v>193.07940950260726</v>
      </c>
      <c r="AB93" s="8">
        <v>181.05770602769638</v>
      </c>
      <c r="AC93" s="8">
        <v>161.18001021033166</v>
      </c>
      <c r="AD93" s="8">
        <v>141.30231439296691</v>
      </c>
      <c r="AE93" s="8">
        <v>121.42461857560217</v>
      </c>
      <c r="AF93" s="8">
        <v>101.54692275823743</v>
      </c>
      <c r="AG93" s="8">
        <v>81.66922694087269</v>
      </c>
      <c r="AH93" s="8">
        <v>60.652288614295536</v>
      </c>
      <c r="AI93" s="8">
        <v>39.635350287718381</v>
      </c>
      <c r="AJ93" s="8">
        <v>18.618411961141227</v>
      </c>
      <c r="AK93" s="8">
        <v>-2.3985263654359272</v>
      </c>
      <c r="AL93" s="8">
        <v>-23.415464692013085</v>
      </c>
      <c r="AM93" s="8">
        <v>-42.940808387251479</v>
      </c>
      <c r="AN93" s="8">
        <v>-62.466152082489884</v>
      </c>
      <c r="AO93" s="8">
        <v>-81.991495777728275</v>
      </c>
      <c r="AP93" s="8">
        <v>-101.51683947296668</v>
      </c>
      <c r="AQ93" s="8">
        <v>-121.04218316820507</v>
      </c>
      <c r="AR93" s="8">
        <v>-142.0534535865535</v>
      </c>
      <c r="AS93" s="8">
        <v>-163.0647240049019</v>
      </c>
      <c r="AT93" s="8">
        <v>-184.07599442325034</v>
      </c>
      <c r="AU93" s="8">
        <v>-205.08726484159877</v>
      </c>
      <c r="AV93" s="8">
        <v>-226.0985352599472</v>
      </c>
      <c r="AW93" s="8">
        <v>-232.85154310741737</v>
      </c>
      <c r="AX93" s="8">
        <v>-239.60455095488754</v>
      </c>
      <c r="AY93" s="8">
        <v>-246.35755880235769</v>
      </c>
      <c r="AZ93" s="8">
        <v>-253.11056664982786</v>
      </c>
      <c r="BA93" s="8">
        <v>-259.86357449729803</v>
      </c>
      <c r="BB93" s="102" t="s">
        <v>3</v>
      </c>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row>
    <row r="94" spans="1:80" x14ac:dyDescent="0.2">
      <c r="A94" s="7"/>
      <c r="B94" s="101" t="s">
        <v>137</v>
      </c>
      <c r="C94" s="8">
        <v>272.96698805698969</v>
      </c>
      <c r="D94" s="8">
        <v>288.18384079184762</v>
      </c>
      <c r="E94" s="8">
        <v>303.40069352670548</v>
      </c>
      <c r="F94" s="8">
        <v>318.6175462615634</v>
      </c>
      <c r="G94" s="8">
        <v>333.83439899642127</v>
      </c>
      <c r="H94" s="8">
        <v>349.05125173127919</v>
      </c>
      <c r="I94" s="8">
        <v>354.18281309412123</v>
      </c>
      <c r="J94" s="8">
        <v>359.31437445696321</v>
      </c>
      <c r="K94" s="8">
        <v>364.44593581980524</v>
      </c>
      <c r="L94" s="8">
        <v>369.57749718264722</v>
      </c>
      <c r="M94" s="8">
        <v>374.70905854548926</v>
      </c>
      <c r="N94" s="8">
        <v>375.26346168285238</v>
      </c>
      <c r="O94" s="8">
        <v>375.8178648202155</v>
      </c>
      <c r="P94" s="8">
        <v>376.37226795757863</v>
      </c>
      <c r="Q94" s="8">
        <v>376.92667109494175</v>
      </c>
      <c r="R94" s="8">
        <v>377.48107423230488</v>
      </c>
      <c r="S94" s="8">
        <v>372.52543679988759</v>
      </c>
      <c r="T94" s="8">
        <v>367.5697993674703</v>
      </c>
      <c r="U94" s="8">
        <v>362.614161935053</v>
      </c>
      <c r="V94" s="8">
        <v>357.65852450263571</v>
      </c>
      <c r="W94" s="8">
        <v>352.70288707021842</v>
      </c>
      <c r="X94" s="8">
        <v>336.28076302841703</v>
      </c>
      <c r="Y94" s="8">
        <v>319.85863898661563</v>
      </c>
      <c r="Z94" s="8">
        <v>303.43651494481423</v>
      </c>
      <c r="AA94" s="8">
        <v>287.0143909030129</v>
      </c>
      <c r="AB94" s="8">
        <v>270.5922668612115</v>
      </c>
      <c r="AC94" s="8">
        <v>242.76070617918793</v>
      </c>
      <c r="AD94" s="8">
        <v>214.92914549716437</v>
      </c>
      <c r="AE94" s="8">
        <v>187.09758481514081</v>
      </c>
      <c r="AF94" s="8">
        <v>159.26602413311724</v>
      </c>
      <c r="AG94" s="8">
        <v>131.43446345109368</v>
      </c>
      <c r="AH94" s="8">
        <v>101.90886474024674</v>
      </c>
      <c r="AI94" s="8">
        <v>72.38326602939982</v>
      </c>
      <c r="AJ94" s="8">
        <v>42.857667318552899</v>
      </c>
      <c r="AK94" s="8">
        <v>13.332068607705963</v>
      </c>
      <c r="AL94" s="8">
        <v>-16.193530103140986</v>
      </c>
      <c r="AM94" s="8">
        <v>-44.111762421920218</v>
      </c>
      <c r="AN94" s="8">
        <v>-72.029994740699465</v>
      </c>
      <c r="AO94" s="8">
        <v>-99.948227059478697</v>
      </c>
      <c r="AP94" s="8">
        <v>-127.86645937825793</v>
      </c>
      <c r="AQ94" s="8">
        <v>-155.78469169703715</v>
      </c>
      <c r="AR94" s="8">
        <v>-186.66488674531422</v>
      </c>
      <c r="AS94" s="8">
        <v>-217.54508179359129</v>
      </c>
      <c r="AT94" s="8">
        <v>-248.42527684186837</v>
      </c>
      <c r="AU94" s="8">
        <v>-279.30547189014544</v>
      </c>
      <c r="AV94" s="8">
        <v>-310.18566693842251</v>
      </c>
      <c r="AW94" s="8">
        <v>-320.68023480265191</v>
      </c>
      <c r="AX94" s="8">
        <v>-331.17480266688131</v>
      </c>
      <c r="AY94" s="8">
        <v>-341.66937053111064</v>
      </c>
      <c r="AZ94" s="8">
        <v>-352.16393839534004</v>
      </c>
      <c r="BA94" s="8">
        <v>-362.65850625956944</v>
      </c>
      <c r="BB94" s="102" t="s">
        <v>3</v>
      </c>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row>
    <row r="95" spans="1:80" x14ac:dyDescent="0.2">
      <c r="A95" s="7"/>
      <c r="B95" s="101" t="s">
        <v>173</v>
      </c>
      <c r="C95" s="8">
        <v>77.599063886973951</v>
      </c>
      <c r="D95" s="8">
        <v>77.368792005647052</v>
      </c>
      <c r="E95" s="8">
        <v>77.138520124320152</v>
      </c>
      <c r="F95" s="8">
        <v>76.908248242993267</v>
      </c>
      <c r="G95" s="8">
        <v>76.677976361666367</v>
      </c>
      <c r="H95" s="8">
        <v>76.447704480339468</v>
      </c>
      <c r="I95" s="8">
        <v>78.842756544359034</v>
      </c>
      <c r="J95" s="8">
        <v>81.2378086083786</v>
      </c>
      <c r="K95" s="8">
        <v>83.632860672398152</v>
      </c>
      <c r="L95" s="8">
        <v>86.027912736417719</v>
      </c>
      <c r="M95" s="8">
        <v>88.422964800437285</v>
      </c>
      <c r="N95" s="8">
        <v>88.207145807037648</v>
      </c>
      <c r="O95" s="8">
        <v>87.991326813637997</v>
      </c>
      <c r="P95" s="8">
        <v>87.77550782023836</v>
      </c>
      <c r="Q95" s="8">
        <v>87.559688826838709</v>
      </c>
      <c r="R95" s="8">
        <v>87.343869833439072</v>
      </c>
      <c r="S95" s="8">
        <v>84.509800562126159</v>
      </c>
      <c r="T95" s="8">
        <v>81.67573129081326</v>
      </c>
      <c r="U95" s="8">
        <v>78.841662019500347</v>
      </c>
      <c r="V95" s="8">
        <v>76.007592748187449</v>
      </c>
      <c r="W95" s="8">
        <v>73.173523476874536</v>
      </c>
      <c r="X95" s="8">
        <v>68.485898307300175</v>
      </c>
      <c r="Y95" s="8">
        <v>63.798273137725822</v>
      </c>
      <c r="Z95" s="8">
        <v>59.110647968151461</v>
      </c>
      <c r="AA95" s="8">
        <v>54.423022798577108</v>
      </c>
      <c r="AB95" s="8">
        <v>49.735397629002748</v>
      </c>
      <c r="AC95" s="8">
        <v>43.910681498300988</v>
      </c>
      <c r="AD95" s="8">
        <v>38.085965367599236</v>
      </c>
      <c r="AE95" s="8">
        <v>32.261249236897477</v>
      </c>
      <c r="AF95" s="8">
        <v>26.436533106195721</v>
      </c>
      <c r="AG95" s="8">
        <v>20.611816975493966</v>
      </c>
      <c r="AH95" s="8">
        <v>15.607739958510431</v>
      </c>
      <c r="AI95" s="8">
        <v>10.603662941526895</v>
      </c>
      <c r="AJ95" s="8">
        <v>5.5995859245433603</v>
      </c>
      <c r="AK95" s="8">
        <v>0.59550890755982522</v>
      </c>
      <c r="AL95" s="8">
        <v>-4.4085681094237135</v>
      </c>
      <c r="AM95" s="8">
        <v>-8.5993161371141529</v>
      </c>
      <c r="AN95" s="8">
        <v>-12.790064164804592</v>
      </c>
      <c r="AO95" s="8">
        <v>-16.98081219249503</v>
      </c>
      <c r="AP95" s="8">
        <v>-21.171560220185469</v>
      </c>
      <c r="AQ95" s="8">
        <v>-25.362308247875909</v>
      </c>
      <c r="AR95" s="8">
        <v>-28.668045571174321</v>
      </c>
      <c r="AS95" s="8">
        <v>-31.973782894472734</v>
      </c>
      <c r="AT95" s="8">
        <v>-35.27952021777115</v>
      </c>
      <c r="AU95" s="8">
        <v>-38.585257541069566</v>
      </c>
      <c r="AV95" s="8">
        <v>-41.890994864367975</v>
      </c>
      <c r="AW95" s="8">
        <v>-41.796681080115462</v>
      </c>
      <c r="AX95" s="8">
        <v>-41.702367295862956</v>
      </c>
      <c r="AY95" s="8">
        <v>-41.608053511610443</v>
      </c>
      <c r="AZ95" s="8">
        <v>-41.513739727357937</v>
      </c>
      <c r="BA95" s="8">
        <v>-41.419425943105423</v>
      </c>
      <c r="BB95" s="102" t="s">
        <v>3</v>
      </c>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row>
    <row r="96" spans="1:80" x14ac:dyDescent="0.2">
      <c r="A96" s="7"/>
      <c r="B96" s="101" t="s">
        <v>174</v>
      </c>
      <c r="C96" s="8">
        <v>151.43521315227889</v>
      </c>
      <c r="D96" s="8">
        <v>151.57830737814209</v>
      </c>
      <c r="E96" s="8">
        <v>151.72140160400528</v>
      </c>
      <c r="F96" s="8">
        <v>151.86449582986845</v>
      </c>
      <c r="G96" s="8">
        <v>152.00759005573164</v>
      </c>
      <c r="H96" s="8">
        <v>152.15068428159483</v>
      </c>
      <c r="I96" s="8">
        <v>152.42271079573632</v>
      </c>
      <c r="J96" s="8">
        <v>152.69473730987784</v>
      </c>
      <c r="K96" s="8">
        <v>152.96676382401932</v>
      </c>
      <c r="L96" s="8">
        <v>153.23879033816084</v>
      </c>
      <c r="M96" s="8">
        <v>153.51081685230233</v>
      </c>
      <c r="N96" s="8">
        <v>151.42358589867783</v>
      </c>
      <c r="O96" s="8">
        <v>149.33635494505333</v>
      </c>
      <c r="P96" s="8">
        <v>147.2491239914288</v>
      </c>
      <c r="Q96" s="8">
        <v>145.1618930378043</v>
      </c>
      <c r="R96" s="8">
        <v>143.07466208417981</v>
      </c>
      <c r="S96" s="8">
        <v>136.57742145364446</v>
      </c>
      <c r="T96" s="8">
        <v>130.08018082310909</v>
      </c>
      <c r="U96" s="8">
        <v>123.58294019257374</v>
      </c>
      <c r="V96" s="8">
        <v>117.0856995620384</v>
      </c>
      <c r="W96" s="8">
        <v>110.58845893150304</v>
      </c>
      <c r="X96" s="8">
        <v>101.51349918981558</v>
      </c>
      <c r="Y96" s="8">
        <v>92.438539448128125</v>
      </c>
      <c r="Z96" s="8">
        <v>83.36357970644066</v>
      </c>
      <c r="AA96" s="8">
        <v>74.288619964753195</v>
      </c>
      <c r="AB96" s="8">
        <v>65.21366022306573</v>
      </c>
      <c r="AC96" s="8">
        <v>50.889232266342518</v>
      </c>
      <c r="AD96" s="8">
        <v>36.564804309619298</v>
      </c>
      <c r="AE96" s="8">
        <v>22.240376352896078</v>
      </c>
      <c r="AF96" s="8">
        <v>7.9159483961728654</v>
      </c>
      <c r="AG96" s="8">
        <v>-6.4084795605503455</v>
      </c>
      <c r="AH96" s="8">
        <v>-20.761080985381973</v>
      </c>
      <c r="AI96" s="8">
        <v>-35.113682410213606</v>
      </c>
      <c r="AJ96" s="8">
        <v>-49.466283835045232</v>
      </c>
      <c r="AK96" s="8">
        <v>-63.818885259876865</v>
      </c>
      <c r="AL96" s="8">
        <v>-78.171486684708498</v>
      </c>
      <c r="AM96" s="8">
        <v>-92.233920354877881</v>
      </c>
      <c r="AN96" s="8">
        <v>-106.29635402504726</v>
      </c>
      <c r="AO96" s="8">
        <v>-120.35878769521665</v>
      </c>
      <c r="AP96" s="8">
        <v>-134.42122136538603</v>
      </c>
      <c r="AQ96" s="8">
        <v>-148.48365503555542</v>
      </c>
      <c r="AR96" s="8">
        <v>-159.96778831820063</v>
      </c>
      <c r="AS96" s="8">
        <v>-171.45192160084588</v>
      </c>
      <c r="AT96" s="8">
        <v>-182.9360548834911</v>
      </c>
      <c r="AU96" s="8">
        <v>-194.42018816613631</v>
      </c>
      <c r="AV96" s="8">
        <v>-205.90432144878156</v>
      </c>
      <c r="AW96" s="8">
        <v>-214.21204560864831</v>
      </c>
      <c r="AX96" s="8">
        <v>-222.51976976851509</v>
      </c>
      <c r="AY96" s="8">
        <v>-230.82749392838184</v>
      </c>
      <c r="AZ96" s="8">
        <v>-239.13521808824862</v>
      </c>
      <c r="BA96" s="8">
        <v>-247.44294224811537</v>
      </c>
      <c r="BB96" s="102" t="s">
        <v>3</v>
      </c>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row>
    <row r="97" spans="1:80" x14ac:dyDescent="0.2">
      <c r="A97" s="7"/>
      <c r="B97" s="101" t="s">
        <v>175</v>
      </c>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2"/>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row>
    <row r="98" spans="1:80" x14ac:dyDescent="0.2">
      <c r="A98" s="7"/>
      <c r="B98" s="101" t="s">
        <v>176</v>
      </c>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2"/>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row>
    <row r="99" spans="1:80" x14ac:dyDescent="0.2">
      <c r="A99" s="7"/>
      <c r="B99" s="101" t="s">
        <v>177</v>
      </c>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2"/>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row>
    <row r="100" spans="1:80" x14ac:dyDescent="0.2">
      <c r="A100" s="7"/>
      <c r="B100" s="101" t="s">
        <v>178</v>
      </c>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07"/>
      <c r="AY100" s="107"/>
      <c r="AZ100" s="107"/>
      <c r="BA100" s="107"/>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row>
    <row r="101" spans="1:80" x14ac:dyDescent="0.2">
      <c r="A101" s="7"/>
      <c r="B101" s="101"/>
      <c r="C101" s="8"/>
      <c r="H101" s="8"/>
      <c r="M101" s="8"/>
      <c r="R101" s="8"/>
      <c r="W101" s="8"/>
      <c r="AB101" s="8"/>
      <c r="AG101" s="8"/>
      <c r="AL101" s="8"/>
      <c r="AQ101" s="8"/>
      <c r="AV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row>
    <row r="102" spans="1:80" x14ac:dyDescent="0.2">
      <c r="B102" s="1" t="s">
        <v>23</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10"/>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row>
    <row r="103" spans="1:80" x14ac:dyDescent="0.2">
      <c r="B103" s="5" t="s">
        <v>1</v>
      </c>
      <c r="C103" s="6">
        <v>2010</v>
      </c>
      <c r="D103" s="3">
        <v>2011</v>
      </c>
      <c r="E103" s="3">
        <v>2012</v>
      </c>
      <c r="F103" s="3">
        <v>2013</v>
      </c>
      <c r="G103" s="3">
        <v>2014</v>
      </c>
      <c r="H103" s="6">
        <v>2015</v>
      </c>
      <c r="I103" s="3">
        <v>2016</v>
      </c>
      <c r="J103" s="3">
        <v>2017</v>
      </c>
      <c r="K103" s="3">
        <v>2018</v>
      </c>
      <c r="L103" s="3">
        <v>2019</v>
      </c>
      <c r="M103" s="6">
        <v>2020</v>
      </c>
      <c r="N103" s="3">
        <v>2021</v>
      </c>
      <c r="O103" s="3">
        <v>2022</v>
      </c>
      <c r="P103" s="3">
        <v>2023</v>
      </c>
      <c r="Q103" s="3">
        <v>2024</v>
      </c>
      <c r="R103" s="6">
        <v>2025</v>
      </c>
      <c r="S103" s="3">
        <v>2026</v>
      </c>
      <c r="T103" s="3">
        <v>2027</v>
      </c>
      <c r="U103" s="3">
        <v>2028</v>
      </c>
      <c r="V103" s="3">
        <v>2029</v>
      </c>
      <c r="W103" s="6">
        <v>2030</v>
      </c>
      <c r="X103" s="3">
        <v>2031</v>
      </c>
      <c r="Y103" s="3">
        <v>2032</v>
      </c>
      <c r="Z103" s="3">
        <v>2033</v>
      </c>
      <c r="AA103" s="3">
        <v>2034</v>
      </c>
      <c r="AB103" s="6">
        <v>2035</v>
      </c>
      <c r="AC103" s="3">
        <v>2036</v>
      </c>
      <c r="AD103" s="3">
        <v>2037</v>
      </c>
      <c r="AE103" s="3">
        <v>2038</v>
      </c>
      <c r="AF103" s="3">
        <v>2039</v>
      </c>
      <c r="AG103" s="6">
        <v>2040</v>
      </c>
      <c r="AH103" s="3">
        <v>2041</v>
      </c>
      <c r="AI103" s="3">
        <v>2042</v>
      </c>
      <c r="AJ103" s="3">
        <v>2043</v>
      </c>
      <c r="AK103" s="3">
        <v>2044</v>
      </c>
      <c r="AL103" s="6">
        <v>2045</v>
      </c>
      <c r="AM103" s="3">
        <v>2046</v>
      </c>
      <c r="AN103" s="3">
        <v>2047</v>
      </c>
      <c r="AO103" s="3">
        <v>2048</v>
      </c>
      <c r="AP103" s="3">
        <v>2049</v>
      </c>
      <c r="AQ103" s="6">
        <v>2050</v>
      </c>
      <c r="AR103" s="3">
        <v>2051</v>
      </c>
      <c r="AS103" s="3">
        <v>2052</v>
      </c>
      <c r="AT103" s="3">
        <v>2053</v>
      </c>
      <c r="AU103" s="3">
        <v>2054</v>
      </c>
      <c r="AV103" s="6">
        <v>2055</v>
      </c>
      <c r="AW103" s="3">
        <v>2056</v>
      </c>
      <c r="AX103" s="3">
        <v>2057</v>
      </c>
      <c r="AY103" s="3">
        <v>2058</v>
      </c>
      <c r="AZ103" s="3">
        <v>2059</v>
      </c>
      <c r="BA103" s="6">
        <v>2060</v>
      </c>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row>
    <row r="104" spans="1:80" x14ac:dyDescent="0.2">
      <c r="B104" s="101" t="s">
        <v>2</v>
      </c>
      <c r="C104" s="11">
        <v>20.000903208908529</v>
      </c>
      <c r="D104" s="11">
        <v>19.495666926600563</v>
      </c>
      <c r="E104" s="11">
        <v>19.039227266845614</v>
      </c>
      <c r="F104" s="11">
        <v>18.624840588646403</v>
      </c>
      <c r="G104" s="11">
        <v>18.246951147614293</v>
      </c>
      <c r="H104" s="11">
        <v>17.900940567726543</v>
      </c>
      <c r="I104" s="11">
        <v>17.259800883588031</v>
      </c>
      <c r="J104" s="11">
        <v>16.645849679938888</v>
      </c>
      <c r="K104" s="11">
        <v>16.057393413546226</v>
      </c>
      <c r="L104" s="11">
        <v>15.492876332368912</v>
      </c>
      <c r="M104" s="11">
        <v>14.950866741102237</v>
      </c>
      <c r="N104" s="11">
        <v>14.47758894505164</v>
      </c>
      <c r="O104" s="11">
        <v>14.022434241121372</v>
      </c>
      <c r="P104" s="11">
        <v>13.584381212107839</v>
      </c>
      <c r="Q104" s="11">
        <v>13.16248378148558</v>
      </c>
      <c r="R104" s="11">
        <v>12.755864392685274</v>
      </c>
      <c r="S104" s="11">
        <v>12.144777728145264</v>
      </c>
      <c r="T104" s="11">
        <v>11.55203568876386</v>
      </c>
      <c r="U104" s="11">
        <v>10.976824440437991</v>
      </c>
      <c r="V104" s="11">
        <v>10.418377587067136</v>
      </c>
      <c r="W104" s="11">
        <v>9.8759727637749517</v>
      </c>
      <c r="X104" s="11">
        <v>8.9576274390817776</v>
      </c>
      <c r="Y104" s="11">
        <v>8.0674627732536734</v>
      </c>
      <c r="Z104" s="11">
        <v>7.2042012258021035</v>
      </c>
      <c r="AA104" s="11">
        <v>6.366641327964647</v>
      </c>
      <c r="AB104" s="11">
        <v>5.553652103600907</v>
      </c>
      <c r="AC104" s="11">
        <v>4.6728519763667551</v>
      </c>
      <c r="AD104" s="11">
        <v>3.8219361864313313</v>
      </c>
      <c r="AE104" s="11">
        <v>2.9994092027363886</v>
      </c>
      <c r="AF104" s="11">
        <v>2.2038736466712696</v>
      </c>
      <c r="AG104" s="11">
        <v>1.434022369815843</v>
      </c>
      <c r="AH104" s="11">
        <v>0.68907768983258866</v>
      </c>
      <c r="AI104" s="11">
        <v>-2.6577945739481322E-2</v>
      </c>
      <c r="AJ104" s="11">
        <v>-0.71463857386149354</v>
      </c>
      <c r="AK104" s="11">
        <v>-1.3766700616093697</v>
      </c>
      <c r="AL104" s="11">
        <v>-2.0141220027290818</v>
      </c>
      <c r="AM104" s="11">
        <v>-2.5139526052021011</v>
      </c>
      <c r="AN104" s="11">
        <v>-2.9951991352327245</v>
      </c>
      <c r="AO104" s="11">
        <v>-3.4588791308038336</v>
      </c>
      <c r="AP104" s="11">
        <v>-3.9059371767181572</v>
      </c>
      <c r="AQ104" s="11">
        <v>-4.3372513275182172</v>
      </c>
      <c r="AR104" s="11">
        <v>-4.6134398205707985</v>
      </c>
      <c r="AS104" s="11">
        <v>-4.8801213315616057</v>
      </c>
      <c r="AT104" s="11">
        <v>-5.1377784300942073</v>
      </c>
      <c r="AU104" s="11">
        <v>-5.386861569193754</v>
      </c>
      <c r="AV104" s="11">
        <v>-5.6277917134083904</v>
      </c>
      <c r="AW104" s="11">
        <v>-5.7104808960788471</v>
      </c>
      <c r="AX104" s="11">
        <v>-5.7906000760314713</v>
      </c>
      <c r="AY104" s="11">
        <v>-5.8682672344180791</v>
      </c>
      <c r="AZ104" s="11">
        <v>-5.9435932396816415</v>
      </c>
      <c r="BA104" s="11">
        <v>-6.016682375601035</v>
      </c>
      <c r="BB104" s="10" t="s">
        <v>19</v>
      </c>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row>
    <row r="105" spans="1:80" x14ac:dyDescent="0.2">
      <c r="B105" s="101" t="s">
        <v>182</v>
      </c>
      <c r="C105" s="11">
        <v>12.829247642531154</v>
      </c>
      <c r="D105" s="11">
        <v>12.779551166857289</v>
      </c>
      <c r="E105" s="11">
        <v>12.736703624369179</v>
      </c>
      <c r="F105" s="11">
        <v>12.699380455944345</v>
      </c>
      <c r="G105" s="11">
        <v>12.666577970842482</v>
      </c>
      <c r="H105" s="11">
        <v>12.637521733787567</v>
      </c>
      <c r="I105" s="11">
        <v>11.764297991041129</v>
      </c>
      <c r="J105" s="11">
        <v>10.926208852305782</v>
      </c>
      <c r="K105" s="11">
        <v>10.12117564760675</v>
      </c>
      <c r="L105" s="11">
        <v>9.3472805096892273</v>
      </c>
      <c r="M105" s="11">
        <v>8.6027511197161157</v>
      </c>
      <c r="N105" s="11">
        <v>8.2609250493563398</v>
      </c>
      <c r="O105" s="11">
        <v>7.9266590290209757</v>
      </c>
      <c r="P105" s="11">
        <v>7.5997049973022435</v>
      </c>
      <c r="Q105" s="11">
        <v>7.2798256279449101</v>
      </c>
      <c r="R105" s="11">
        <v>6.9667937553412802</v>
      </c>
      <c r="S105" s="11">
        <v>6.6403186934878065</v>
      </c>
      <c r="T105" s="11">
        <v>6.3179420987192536</v>
      </c>
      <c r="U105" s="11">
        <v>5.9995872761030951</v>
      </c>
      <c r="V105" s="11">
        <v>5.6851794324419895</v>
      </c>
      <c r="W105" s="11">
        <v>5.3746456176924227</v>
      </c>
      <c r="X105" s="11">
        <v>4.9992359875409393</v>
      </c>
      <c r="Y105" s="11">
        <v>4.6227397728346622</v>
      </c>
      <c r="Z105" s="11">
        <v>4.2451522492257006</v>
      </c>
      <c r="AA105" s="11">
        <v>3.8664686649385018</v>
      </c>
      <c r="AB105" s="11">
        <v>3.4866842405705163</v>
      </c>
      <c r="AC105" s="11">
        <v>3.2352152948852186</v>
      </c>
      <c r="AD105" s="11">
        <v>2.9830550401061511</v>
      </c>
      <c r="AE105" s="11">
        <v>2.7302006216100247</v>
      </c>
      <c r="AF105" s="11">
        <v>2.4766491690350936</v>
      </c>
      <c r="AG105" s="11">
        <v>2.2223977961725332</v>
      </c>
      <c r="AH105" s="11">
        <v>1.9988262537322639</v>
      </c>
      <c r="AI105" s="11">
        <v>1.7751390536017777</v>
      </c>
      <c r="AJ105" s="11">
        <v>1.5513361060100652</v>
      </c>
      <c r="AK105" s="11">
        <v>1.3274173210931868</v>
      </c>
      <c r="AL105" s="11">
        <v>1.103382608894155</v>
      </c>
      <c r="AM105" s="11">
        <v>0.84864443822231028</v>
      </c>
      <c r="AN105" s="11">
        <v>0.5946414844261938</v>
      </c>
      <c r="AO105" s="11">
        <v>0.34137056915451774</v>
      </c>
      <c r="AP105" s="11">
        <v>8.8828532349700479E-2</v>
      </c>
      <c r="AQ105" s="11">
        <v>-0.16298776788356181</v>
      </c>
      <c r="AR105" s="11">
        <v>-0.27239995607094403</v>
      </c>
      <c r="AS105" s="11">
        <v>-0.38090843527592516</v>
      </c>
      <c r="AT105" s="11">
        <v>-0.48852435596099936</v>
      </c>
      <c r="AU105" s="11">
        <v>-0.59525868589924957</v>
      </c>
      <c r="AV105" s="11">
        <v>-0.70112221390057006</v>
      </c>
      <c r="AW105" s="11">
        <v>-0.70646999855542114</v>
      </c>
      <c r="AX105" s="11">
        <v>-0.71176491126380181</v>
      </c>
      <c r="AY105" s="11">
        <v>-0.71700773226239689</v>
      </c>
      <c r="AZ105" s="11">
        <v>-0.72219922651099566</v>
      </c>
      <c r="BA105" s="11">
        <v>-0.72734014406456993</v>
      </c>
      <c r="BB105" s="10" t="s">
        <v>19</v>
      </c>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row>
    <row r="106" spans="1:80" x14ac:dyDescent="0.2">
      <c r="B106" s="101" t="s">
        <v>165</v>
      </c>
      <c r="C106" s="11">
        <v>24.045320892530068</v>
      </c>
      <c r="D106" s="11">
        <v>23.498475431810174</v>
      </c>
      <c r="E106" s="11">
        <v>22.997139063099279</v>
      </c>
      <c r="F106" s="11">
        <v>22.535857755241221</v>
      </c>
      <c r="G106" s="11">
        <v>22.110015515732737</v>
      </c>
      <c r="H106" s="11">
        <v>21.715679384163501</v>
      </c>
      <c r="I106" s="11">
        <v>21.093656088243446</v>
      </c>
      <c r="J106" s="11">
        <v>20.495665100875513</v>
      </c>
      <c r="K106" s="11">
        <v>19.920340059475706</v>
      </c>
      <c r="L106" s="11">
        <v>19.36641625477592</v>
      </c>
      <c r="M106" s="11">
        <v>18.832721350058453</v>
      </c>
      <c r="N106" s="11">
        <v>18.500127875900645</v>
      </c>
      <c r="O106" s="11">
        <v>18.178364952391824</v>
      </c>
      <c r="P106" s="11">
        <v>17.866912027205128</v>
      </c>
      <c r="Q106" s="11">
        <v>17.565281381292305</v>
      </c>
      <c r="R106" s="11">
        <v>17.273015580414466</v>
      </c>
      <c r="S106" s="11">
        <v>16.958922242567748</v>
      </c>
      <c r="T106" s="11">
        <v>16.647708470466537</v>
      </c>
      <c r="U106" s="11">
        <v>16.3393348455918</v>
      </c>
      <c r="V106" s="11">
        <v>16.03376266562589</v>
      </c>
      <c r="W106" s="11">
        <v>15.730953928260142</v>
      </c>
      <c r="X106" s="11">
        <v>14.9050832673309</v>
      </c>
      <c r="Y106" s="11">
        <v>14.077403225974242</v>
      </c>
      <c r="Z106" s="11">
        <v>13.247907851476382</v>
      </c>
      <c r="AA106" s="11">
        <v>12.416591164982973</v>
      </c>
      <c r="AB106" s="11">
        <v>11.583447161355403</v>
      </c>
      <c r="AC106" s="11">
        <v>10.492088378366004</v>
      </c>
      <c r="AD106" s="11">
        <v>9.4077164393853714</v>
      </c>
      <c r="AE106" s="11">
        <v>8.3302644641684207</v>
      </c>
      <c r="AF106" s="11">
        <v>7.2596664233531181</v>
      </c>
      <c r="AG106" s="11">
        <v>6.1958571249716945</v>
      </c>
      <c r="AH106" s="11">
        <v>5.1447726212958074</v>
      </c>
      <c r="AI106" s="11">
        <v>4.1192253261173475</v>
      </c>
      <c r="AJ106" s="11">
        <v>3.118295729478147</v>
      </c>
      <c r="AK106" s="11">
        <v>2.1411079425308785</v>
      </c>
      <c r="AL106" s="11">
        <v>1.1868271411518057</v>
      </c>
      <c r="AM106" s="11">
        <v>0.28204017457848896</v>
      </c>
      <c r="AN106" s="11">
        <v>-0.59683865363046262</v>
      </c>
      <c r="AO106" s="11">
        <v>-1.4509064366756728</v>
      </c>
      <c r="AP106" s="11">
        <v>-2.2811991872980317</v>
      </c>
      <c r="AQ106" s="11">
        <v>-3.0886960302292552</v>
      </c>
      <c r="AR106" s="11">
        <v>-3.591229495868796</v>
      </c>
      <c r="AS106" s="11">
        <v>-4.0812895445615034</v>
      </c>
      <c r="AT106" s="11">
        <v>-4.5593348887228631</v>
      </c>
      <c r="AU106" s="11">
        <v>-5.0258020208275767</v>
      </c>
      <c r="AV106" s="11">
        <v>-5.4811065427236825</v>
      </c>
      <c r="AW106" s="11">
        <v>-5.5249470807571113</v>
      </c>
      <c r="AX106" s="11">
        <v>-5.5680289108789349</v>
      </c>
      <c r="AY106" s="11">
        <v>-5.6103715595172767</v>
      </c>
      <c r="AZ106" s="11">
        <v>-5.6519938887457366</v>
      </c>
      <c r="BA106" s="11">
        <v>-5.692914124299544</v>
      </c>
      <c r="BB106" s="10" t="s">
        <v>19</v>
      </c>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row>
    <row r="107" spans="1:80" x14ac:dyDescent="0.2">
      <c r="B107" s="101" t="s">
        <v>167</v>
      </c>
      <c r="C107" s="11">
        <v>7.5661586801236131</v>
      </c>
      <c r="D107" s="11">
        <v>7.5634535498105189</v>
      </c>
      <c r="E107" s="11">
        <v>7.5610189493563853</v>
      </c>
      <c r="F107" s="11">
        <v>7.5588162293488894</v>
      </c>
      <c r="G107" s="11">
        <v>7.5568137679389817</v>
      </c>
      <c r="H107" s="11">
        <v>7.5549854430270962</v>
      </c>
      <c r="I107" s="11">
        <v>7.156974429686036</v>
      </c>
      <c r="J107" s="11">
        <v>6.7747316127272859</v>
      </c>
      <c r="K107" s="11">
        <v>6.4073381487966605</v>
      </c>
      <c r="L107" s="11">
        <v>6.0539452246532059</v>
      </c>
      <c r="M107" s="11">
        <v>5.7137675101887071</v>
      </c>
      <c r="N107" s="11">
        <v>5.389126392751824</v>
      </c>
      <c r="O107" s="11">
        <v>5.0791657275319961</v>
      </c>
      <c r="P107" s="11">
        <v>4.782911744399577</v>
      </c>
      <c r="Q107" s="11">
        <v>4.4994749318582379</v>
      </c>
      <c r="R107" s="11">
        <v>4.2280411165722391</v>
      </c>
      <c r="S107" s="11">
        <v>3.8440447469178785</v>
      </c>
      <c r="T107" s="11">
        <v>3.4823278886790265</v>
      </c>
      <c r="U107" s="11">
        <v>3.1410062166938437</v>
      </c>
      <c r="V107" s="11">
        <v>2.8184020724814869</v>
      </c>
      <c r="W107" s="11">
        <v>2.5130168872165113</v>
      </c>
      <c r="X107" s="11">
        <v>2.1389820279234257</v>
      </c>
      <c r="Y107" s="11">
        <v>1.787936421150875</v>
      </c>
      <c r="Z107" s="11">
        <v>1.4578237816421258</v>
      </c>
      <c r="AA107" s="11">
        <v>1.1468259580956106</v>
      </c>
      <c r="AB107" s="11">
        <v>0.8533294308973538</v>
      </c>
      <c r="AC107" s="11">
        <v>0.54874022667621414</v>
      </c>
      <c r="AD107" s="11">
        <v>0.25999606216989185</v>
      </c>
      <c r="AE107" s="11">
        <v>-1.4108130772116955E-2</v>
      </c>
      <c r="AF107" s="11">
        <v>-0.27465824232190067</v>
      </c>
      <c r="AG107" s="11">
        <v>-0.52263536217353135</v>
      </c>
      <c r="AH107" s="11">
        <v>-0.6909053447966883</v>
      </c>
      <c r="AI107" s="11">
        <v>-0.8516738190120855</v>
      </c>
      <c r="AJ107" s="11">
        <v>-1.0054314753268359</v>
      </c>
      <c r="AK107" s="11">
        <v>-1.1526271212448052</v>
      </c>
      <c r="AL107" s="11">
        <v>-1.2936720565698054</v>
      </c>
      <c r="AM107" s="11">
        <v>-1.3894169305678843</v>
      </c>
      <c r="AN107" s="11">
        <v>-1.4814525987380949</v>
      </c>
      <c r="AO107" s="11">
        <v>-1.5699905100806084</v>
      </c>
      <c r="AP107" s="11">
        <v>-1.6552263413343653</v>
      </c>
      <c r="AQ107" s="11">
        <v>-1.7373414406480832</v>
      </c>
      <c r="AR107" s="11">
        <v>-1.8295554184261547</v>
      </c>
      <c r="AS107" s="11">
        <v>-1.9185590480977326</v>
      </c>
      <c r="AT107" s="11">
        <v>-2.0045171094774448</v>
      </c>
      <c r="AU107" s="11">
        <v>-2.0875832950484443</v>
      </c>
      <c r="AV107" s="11">
        <v>-2.1679011270596251</v>
      </c>
      <c r="AW107" s="11">
        <v>-2.1687438882859684</v>
      </c>
      <c r="AX107" s="11">
        <v>-2.1695606664100509</v>
      </c>
      <c r="AY107" s="11">
        <v>-2.1703526448138386</v>
      </c>
      <c r="AZ107" s="11">
        <v>-2.1711209360922239</v>
      </c>
      <c r="BA107" s="11">
        <v>-2.1718665872679308</v>
      </c>
      <c r="BB107" s="10" t="s">
        <v>19</v>
      </c>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row>
    <row r="108" spans="1:80" x14ac:dyDescent="0.2">
      <c r="B108" s="101" t="s">
        <v>166</v>
      </c>
      <c r="C108" s="11">
        <v>13.289907794682369</v>
      </c>
      <c r="D108" s="11">
        <v>12.977748436083731</v>
      </c>
      <c r="E108" s="11">
        <v>12.686705094516727</v>
      </c>
      <c r="F108" s="11">
        <v>12.414705277667416</v>
      </c>
      <c r="G108" s="11">
        <v>12.159939115582816</v>
      </c>
      <c r="H108" s="11">
        <v>11.920819039264501</v>
      </c>
      <c r="I108" s="11">
        <v>11.495618156830039</v>
      </c>
      <c r="J108" s="11">
        <v>11.083907276281801</v>
      </c>
      <c r="K108" s="11">
        <v>10.685054442930923</v>
      </c>
      <c r="L108" s="11">
        <v>10.298466568042903</v>
      </c>
      <c r="M108" s="11">
        <v>9.923586486204254</v>
      </c>
      <c r="N108" s="11">
        <v>9.7532169658335377</v>
      </c>
      <c r="O108" s="11">
        <v>9.5903869986927965</v>
      </c>
      <c r="P108" s="11">
        <v>9.4346069348532762</v>
      </c>
      <c r="Q108" s="11">
        <v>9.2854286258299457</v>
      </c>
      <c r="R108" s="11">
        <v>9.142441118874677</v>
      </c>
      <c r="S108" s="11">
        <v>8.8114855960883229</v>
      </c>
      <c r="T108" s="11">
        <v>8.4980048317846304</v>
      </c>
      <c r="U108" s="11">
        <v>8.2006503998607663</v>
      </c>
      <c r="V108" s="11">
        <v>7.9182091289362653</v>
      </c>
      <c r="W108" s="11">
        <v>7.6495865586967273</v>
      </c>
      <c r="X108" s="11">
        <v>7.1496545959513762</v>
      </c>
      <c r="Y108" s="11">
        <v>6.6784644198431673</v>
      </c>
      <c r="Z108" s="11">
        <v>6.233606680639677</v>
      </c>
      <c r="AA108" s="11">
        <v>5.8129340011994231</v>
      </c>
      <c r="AB108" s="11">
        <v>5.4145263133377766</v>
      </c>
      <c r="AC108" s="11">
        <v>4.8649683103396431</v>
      </c>
      <c r="AD108" s="11">
        <v>4.3433746339361319</v>
      </c>
      <c r="AE108" s="11">
        <v>3.8476637903615969</v>
      </c>
      <c r="AF108" s="11">
        <v>3.3759558627193154</v>
      </c>
      <c r="AG108" s="11">
        <v>2.9265486863044869</v>
      </c>
      <c r="AH108" s="11">
        <v>2.5149669563691459</v>
      </c>
      <c r="AI108" s="11">
        <v>2.1222431151379388</v>
      </c>
      <c r="AJ108" s="11">
        <v>1.7471101402236817</v>
      </c>
      <c r="AK108" s="11">
        <v>1.3884120276776795</v>
      </c>
      <c r="AL108" s="11">
        <v>1.0450918931321322</v>
      </c>
      <c r="AM108" s="11">
        <v>0.73931732891038426</v>
      </c>
      <c r="AN108" s="11">
        <v>0.44623848674998245</v>
      </c>
      <c r="AO108" s="11">
        <v>0.16508076021951526</v>
      </c>
      <c r="AP108" s="11">
        <v>-0.10486869820816917</v>
      </c>
      <c r="AQ108" s="11">
        <v>-0.36426701187023103</v>
      </c>
      <c r="AR108" s="11">
        <v>-0.56763567643297674</v>
      </c>
      <c r="AS108" s="11">
        <v>-0.76318696675174258</v>
      </c>
      <c r="AT108" s="11">
        <v>-0.95136312607867668</v>
      </c>
      <c r="AU108" s="11">
        <v>-1.1325736570451126</v>
      </c>
      <c r="AV108" s="11">
        <v>-1.3071982964635411</v>
      </c>
      <c r="AW108" s="11">
        <v>-1.3322260867952371</v>
      </c>
      <c r="AX108" s="11">
        <v>-1.3563787197601151</v>
      </c>
      <c r="AY108" s="11">
        <v>-1.3797013095925037</v>
      </c>
      <c r="AZ108" s="11">
        <v>-1.4022359220663827</v>
      </c>
      <c r="BA108" s="11">
        <v>-1.4240218277062</v>
      </c>
      <c r="BB108" s="10" t="s">
        <v>19</v>
      </c>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row>
    <row r="109" spans="1:80" x14ac:dyDescent="0.2">
      <c r="B109" s="101" t="s">
        <v>168</v>
      </c>
      <c r="C109" s="11">
        <v>9.2377445439136139</v>
      </c>
      <c r="D109" s="11">
        <v>9.1241059098616919</v>
      </c>
      <c r="E109" s="11">
        <v>9.020784519730114</v>
      </c>
      <c r="F109" s="11">
        <v>8.9264363333572803</v>
      </c>
      <c r="G109" s="11">
        <v>8.8399410480987353</v>
      </c>
      <c r="H109" s="11">
        <v>8.7603574029459761</v>
      </c>
      <c r="I109" s="11">
        <v>8.3516140248528714</v>
      </c>
      <c r="J109" s="11">
        <v>7.9581787589192503</v>
      </c>
      <c r="K109" s="11">
        <v>7.5792074418098405</v>
      </c>
      <c r="L109" s="11">
        <v>7.2139168581983411</v>
      </c>
      <c r="M109" s="11">
        <v>6.8615793377852121</v>
      </c>
      <c r="N109" s="11">
        <v>6.5820383088570598</v>
      </c>
      <c r="O109" s="11">
        <v>6.3150647904615349</v>
      </c>
      <c r="P109" s="11">
        <v>6.0598299059770753</v>
      </c>
      <c r="Q109" s="11">
        <v>5.8155761010083769</v>
      </c>
      <c r="R109" s="11">
        <v>5.581609633617834</v>
      </c>
      <c r="S109" s="11">
        <v>5.2123456841862268</v>
      </c>
      <c r="T109" s="11">
        <v>4.8639848265411008</v>
      </c>
      <c r="U109" s="11">
        <v>4.5348010082104855</v>
      </c>
      <c r="V109" s="11">
        <v>4.2232531222941185</v>
      </c>
      <c r="W109" s="11">
        <v>3.9279608826825081</v>
      </c>
      <c r="X109" s="11">
        <v>3.5134782202273311</v>
      </c>
      <c r="Y109" s="11">
        <v>3.1240290146335643</v>
      </c>
      <c r="Z109" s="11">
        <v>2.7574118319794918</v>
      </c>
      <c r="AA109" s="11">
        <v>2.41167601185859</v>
      </c>
      <c r="AB109" s="11">
        <v>2.0850869479558991</v>
      </c>
      <c r="AC109" s="11">
        <v>1.7128193565087315</v>
      </c>
      <c r="AD109" s="11">
        <v>1.359804556439786</v>
      </c>
      <c r="AE109" s="11">
        <v>1.0245866333264513</v>
      </c>
      <c r="AF109" s="11">
        <v>0.70585286026775085</v>
      </c>
      <c r="AG109" s="11">
        <v>0.4024165173931265</v>
      </c>
      <c r="AH109" s="11">
        <v>0.1533722109184508</v>
      </c>
      <c r="AI109" s="11">
        <v>-8.4487323418567753E-2</v>
      </c>
      <c r="AJ109" s="11">
        <v>-0.31189901276610482</v>
      </c>
      <c r="AK109" s="11">
        <v>-0.52953643729913569</v>
      </c>
      <c r="AL109" s="11">
        <v>-0.73801649372817157</v>
      </c>
      <c r="AM109" s="11">
        <v>-0.90057469645584709</v>
      </c>
      <c r="AN109" s="11">
        <v>-1.0567142455224805</v>
      </c>
      <c r="AO109" s="11">
        <v>-1.206807944168822</v>
      </c>
      <c r="AP109" s="11">
        <v>-1.3512002734743853</v>
      </c>
      <c r="AQ109" s="11">
        <v>-1.4902100317989566</v>
      </c>
      <c r="AR109" s="11">
        <v>-1.6143675550156567</v>
      </c>
      <c r="AS109" s="11">
        <v>-1.7340813533186865</v>
      </c>
      <c r="AT109" s="11">
        <v>-1.8495858006647217</v>
      </c>
      <c r="AU109" s="11">
        <v>-1.9610990737587699</v>
      </c>
      <c r="AV109" s="11">
        <v>-2.0688245275017216</v>
      </c>
      <c r="AW109" s="11">
        <v>-2.0611788163583875</v>
      </c>
      <c r="AX109" s="11">
        <v>-2.0537774107306359</v>
      </c>
      <c r="AY109" s="11">
        <v>-2.0466087852134693</v>
      </c>
      <c r="AZ109" s="11">
        <v>-2.0396621281443688</v>
      </c>
      <c r="BA109" s="11">
        <v>-2.0329272871950446</v>
      </c>
      <c r="BB109" s="10" t="s">
        <v>19</v>
      </c>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row>
    <row r="110" spans="1:80" x14ac:dyDescent="0.2">
      <c r="B110" s="101" t="s">
        <v>169</v>
      </c>
      <c r="C110" s="11">
        <v>19.818127755186524</v>
      </c>
      <c r="D110" s="11">
        <v>19.230067714878544</v>
      </c>
      <c r="E110" s="11">
        <v>18.682804779423908</v>
      </c>
      <c r="F110" s="11">
        <v>18.172235784406123</v>
      </c>
      <c r="G110" s="11">
        <v>17.69478995095989</v>
      </c>
      <c r="H110" s="11">
        <v>17.24734525235354</v>
      </c>
      <c r="I110" s="11">
        <v>16.632369978733877</v>
      </c>
      <c r="J110" s="11">
        <v>16.052179914185729</v>
      </c>
      <c r="K110" s="11">
        <v>15.503904868400701</v>
      </c>
      <c r="L110" s="11">
        <v>14.984981964834812</v>
      </c>
      <c r="M110" s="11">
        <v>14.493115582535379</v>
      </c>
      <c r="N110" s="11">
        <v>13.914394568192733</v>
      </c>
      <c r="O110" s="11">
        <v>13.377350507057603</v>
      </c>
      <c r="P110" s="11">
        <v>12.87763778758962</v>
      </c>
      <c r="Q110" s="11">
        <v>12.411494655250856</v>
      </c>
      <c r="R110" s="11">
        <v>11.975648343517978</v>
      </c>
      <c r="S110" s="11">
        <v>11.27827060173842</v>
      </c>
      <c r="T110" s="11">
        <v>10.637259465366483</v>
      </c>
      <c r="U110" s="11">
        <v>10.046046512152923</v>
      </c>
      <c r="V110" s="11">
        <v>9.4990457210206181</v>
      </c>
      <c r="W110" s="11">
        <v>8.9914764268506051</v>
      </c>
      <c r="X110" s="11">
        <v>8.2492405198827292</v>
      </c>
      <c r="Y110" s="11">
        <v>7.5756099173967666</v>
      </c>
      <c r="Z110" s="11">
        <v>6.9614929501885872</v>
      </c>
      <c r="AA110" s="11">
        <v>6.399336441980136</v>
      </c>
      <c r="AB110" s="11">
        <v>5.8828134880919061</v>
      </c>
      <c r="AC110" s="11">
        <v>5.2797401949272356</v>
      </c>
      <c r="AD110" s="11">
        <v>4.7298473103199097</v>
      </c>
      <c r="AE110" s="11">
        <v>4.2263975312521831</v>
      </c>
      <c r="AF110" s="11">
        <v>3.7637454876771042</v>
      </c>
      <c r="AG110" s="11">
        <v>3.3371251410696607</v>
      </c>
      <c r="AH110" s="11">
        <v>2.826607138089984</v>
      </c>
      <c r="AI110" s="11">
        <v>2.3610516882848165</v>
      </c>
      <c r="AJ110" s="11">
        <v>1.9347693903768828</v>
      </c>
      <c r="AK110" s="11">
        <v>1.542991883455219</v>
      </c>
      <c r="AL110" s="11">
        <v>1.181692716087549</v>
      </c>
      <c r="AM110" s="11">
        <v>0.66654739066757929</v>
      </c>
      <c r="AN110" s="11">
        <v>0.19504883309461091</v>
      </c>
      <c r="AO110" s="11">
        <v>-0.23812460846229619</v>
      </c>
      <c r="AP110" s="11">
        <v>-0.63746324657632758</v>
      </c>
      <c r="AQ110" s="11">
        <v>-1.0067822908027799</v>
      </c>
      <c r="AR110" s="11">
        <v>-1.1995500047916785</v>
      </c>
      <c r="AS110" s="11">
        <v>-1.377009913745739</v>
      </c>
      <c r="AT110" s="11">
        <v>-1.5409157872862431</v>
      </c>
      <c r="AU110" s="11">
        <v>-1.6927633506132487</v>
      </c>
      <c r="AV110" s="11">
        <v>-1.8338360605251784</v>
      </c>
      <c r="AW110" s="11">
        <v>-1.7885907923281956</v>
      </c>
      <c r="AX110" s="11">
        <v>-1.7458237395700791</v>
      </c>
      <c r="AY110" s="11">
        <v>-1.7053367210886532</v>
      </c>
      <c r="AZ110" s="11">
        <v>-1.6669521382768435</v>
      </c>
      <c r="BA110" s="11">
        <v>-1.6305103706450648</v>
      </c>
      <c r="BB110" s="10" t="s">
        <v>19</v>
      </c>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row>
    <row r="111" spans="1:80" x14ac:dyDescent="0.2">
      <c r="B111" s="101" t="s">
        <v>170</v>
      </c>
      <c r="C111" s="11">
        <v>34.358634998724987</v>
      </c>
      <c r="D111" s="11">
        <v>32.656964169372706</v>
      </c>
      <c r="E111" s="11">
        <v>31.123433053997424</v>
      </c>
      <c r="F111" s="11">
        <v>29.734294394417269</v>
      </c>
      <c r="G111" s="11">
        <v>28.470071800654299</v>
      </c>
      <c r="H111" s="11">
        <v>27.314640935025768</v>
      </c>
      <c r="I111" s="11">
        <v>26.806907574920139</v>
      </c>
      <c r="J111" s="11">
        <v>26.341947688786558</v>
      </c>
      <c r="K111" s="11">
        <v>25.914574637280666</v>
      </c>
      <c r="L111" s="11">
        <v>25.520407767720847</v>
      </c>
      <c r="M111" s="11">
        <v>25.155721709257396</v>
      </c>
      <c r="N111" s="11">
        <v>23.666327906339045</v>
      </c>
      <c r="O111" s="11">
        <v>22.331644733817754</v>
      </c>
      <c r="P111" s="11">
        <v>21.128756545326379</v>
      </c>
      <c r="Q111" s="11">
        <v>20.039060430384367</v>
      </c>
      <c r="R111" s="11">
        <v>19.047297231404773</v>
      </c>
      <c r="S111" s="11">
        <v>17.689984657007763</v>
      </c>
      <c r="T111" s="11">
        <v>16.492127891881982</v>
      </c>
      <c r="U111" s="11">
        <v>15.427186811916808</v>
      </c>
      <c r="V111" s="11">
        <v>14.474201547724466</v>
      </c>
      <c r="W111" s="11">
        <v>13.616399114609541</v>
      </c>
      <c r="X111" s="11">
        <v>12.237088553136257</v>
      </c>
      <c r="Y111" s="11">
        <v>11.03868224279937</v>
      </c>
      <c r="Z111" s="11">
        <v>9.9877805589168478</v>
      </c>
      <c r="AA111" s="11">
        <v>9.0587291360395774</v>
      </c>
      <c r="AB111" s="11">
        <v>8.2314967706811633</v>
      </c>
      <c r="AC111" s="11">
        <v>7.2838402416262591</v>
      </c>
      <c r="AD111" s="11">
        <v>6.4417552841753736</v>
      </c>
      <c r="AE111" s="11">
        <v>5.6885312545980833</v>
      </c>
      <c r="AF111" s="11">
        <v>5.0108075316710226</v>
      </c>
      <c r="AG111" s="11">
        <v>4.3977740982770142</v>
      </c>
      <c r="AH111" s="11">
        <v>3.7931654368230054</v>
      </c>
      <c r="AI111" s="11">
        <v>3.2497492960109993</v>
      </c>
      <c r="AJ111" s="11">
        <v>2.7586831957511251</v>
      </c>
      <c r="AK111" s="11">
        <v>2.3127500470161193</v>
      </c>
      <c r="AL111" s="11">
        <v>1.9060010936081544</v>
      </c>
      <c r="AM111" s="11">
        <v>1.3695309179388229</v>
      </c>
      <c r="AN111" s="11">
        <v>0.87634277867557575</v>
      </c>
      <c r="AO111" s="11">
        <v>0.42140183322066882</v>
      </c>
      <c r="AP111" s="11">
        <v>4.2500235414446067E-4</v>
      </c>
      <c r="AQ111" s="11">
        <v>-0.39025429005946721</v>
      </c>
      <c r="AR111" s="11">
        <v>-0.61592838643431225</v>
      </c>
      <c r="AS111" s="11">
        <v>-0.82365791491222551</v>
      </c>
      <c r="AT111" s="11">
        <v>-1.0155013401277169</v>
      </c>
      <c r="AU111" s="11">
        <v>-1.1932138801762207</v>
      </c>
      <c r="AV111" s="11">
        <v>-1.3583013647209299</v>
      </c>
      <c r="AW111" s="11">
        <v>-1.363155786391969</v>
      </c>
      <c r="AX111" s="11">
        <v>-1.3676184121011248</v>
      </c>
      <c r="AY111" s="11">
        <v>-1.3717348342325424</v>
      </c>
      <c r="AZ111" s="11">
        <v>-1.3755438353453622</v>
      </c>
      <c r="BA111" s="11">
        <v>-1.3790786138284743</v>
      </c>
      <c r="BB111" s="10" t="s">
        <v>19</v>
      </c>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row>
    <row r="112" spans="1:80" x14ac:dyDescent="0.2">
      <c r="B112" s="101" t="s">
        <v>171</v>
      </c>
      <c r="C112" s="11">
        <v>4.707111704437775</v>
      </c>
      <c r="D112" s="11">
        <v>4.6216877154344909</v>
      </c>
      <c r="E112" s="11">
        <v>4.5416793123669139</v>
      </c>
      <c r="F112" s="11">
        <v>4.4665873239309315</v>
      </c>
      <c r="G112" s="11">
        <v>4.3959720970466343</v>
      </c>
      <c r="H112" s="11">
        <v>4.329444882878442</v>
      </c>
      <c r="I112" s="11">
        <v>4.1632265767098513</v>
      </c>
      <c r="J112" s="11">
        <v>4.0053939953115432</v>
      </c>
      <c r="K112" s="11">
        <v>3.8553281618243154</v>
      </c>
      <c r="L112" s="11">
        <v>3.7124695547125621</v>
      </c>
      <c r="M112" s="11">
        <v>3.5763111365024916</v>
      </c>
      <c r="N112" s="11">
        <v>3.3833015625839424</v>
      </c>
      <c r="O112" s="11">
        <v>3.2027068169222006</v>
      </c>
      <c r="P112" s="11">
        <v>3.0333663963732547</v>
      </c>
      <c r="Q112" s="11">
        <v>2.8742600678590819</v>
      </c>
      <c r="R112" s="11">
        <v>2.72448729692417</v>
      </c>
      <c r="S112" s="11">
        <v>2.5394207095133465</v>
      </c>
      <c r="T112" s="11">
        <v>2.3674948795343913</v>
      </c>
      <c r="U112" s="11">
        <v>2.2073581927134005</v>
      </c>
      <c r="V112" s="11">
        <v>2.0578382535166084</v>
      </c>
      <c r="W112" s="11">
        <v>1.9179131336100614</v>
      </c>
      <c r="X112" s="11">
        <v>1.7334725395743948</v>
      </c>
      <c r="Y112" s="11">
        <v>1.5639275325642397</v>
      </c>
      <c r="Z112" s="11">
        <v>1.4075436784457525</v>
      </c>
      <c r="AA112" s="11">
        <v>1.262845757588382</v>
      </c>
      <c r="AB112" s="11">
        <v>1.1285710838756826</v>
      </c>
      <c r="AC112" s="11">
        <v>0.94593161418235738</v>
      </c>
      <c r="AD112" s="11">
        <v>0.77798602682400464</v>
      </c>
      <c r="AE112" s="11">
        <v>0.62302964584172993</v>
      </c>
      <c r="AF112" s="11">
        <v>0.4796116632386615</v>
      </c>
      <c r="AG112" s="11">
        <v>0.34648957638688971</v>
      </c>
      <c r="AH112" s="11">
        <v>0.32141178936751902</v>
      </c>
      <c r="AI112" s="11">
        <v>0.29842619193932879</v>
      </c>
      <c r="AJ112" s="11">
        <v>0.27728144756762368</v>
      </c>
      <c r="AK112" s="11">
        <v>0.25776492741991275</v>
      </c>
      <c r="AL112" s="11">
        <v>0.2396955350357152</v>
      </c>
      <c r="AM112" s="11">
        <v>0.21754092903653119</v>
      </c>
      <c r="AN112" s="11">
        <v>0.19729567829834568</v>
      </c>
      <c r="AO112" s="11">
        <v>0.17872314821332388</v>
      </c>
      <c r="AP112" s="11">
        <v>0.16162425572455957</v>
      </c>
      <c r="AQ112" s="11">
        <v>0.14583030474253844</v>
      </c>
      <c r="AR112" s="11">
        <v>0.12739471805875371</v>
      </c>
      <c r="AS112" s="11">
        <v>0.11042242295140055</v>
      </c>
      <c r="AT112" s="11">
        <v>9.474585045291023E-2</v>
      </c>
      <c r="AU112" s="11">
        <v>8.0222076428001332E-2</v>
      </c>
      <c r="AV112" s="11">
        <v>6.6728451522850757E-2</v>
      </c>
      <c r="AW112" s="11">
        <v>5.2149826213259108E-2</v>
      </c>
      <c r="AX112" s="11">
        <v>3.8229418264007109E-2</v>
      </c>
      <c r="AY112" s="11">
        <v>2.4923634521324709E-2</v>
      </c>
      <c r="AZ112" s="11">
        <v>1.2192648198428102E-2</v>
      </c>
      <c r="BA112" s="11">
        <v>7.1673073406254808E-10</v>
      </c>
      <c r="BB112" s="10" t="s">
        <v>19</v>
      </c>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row>
    <row r="113" spans="2:80" x14ac:dyDescent="0.2">
      <c r="B113" s="101" t="s">
        <v>107</v>
      </c>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row>
    <row r="114" spans="2:80" x14ac:dyDescent="0.2">
      <c r="B114" s="101" t="s">
        <v>8</v>
      </c>
      <c r="C114" s="11">
        <v>5.1723343020338826</v>
      </c>
      <c r="D114" s="11">
        <v>5.0906218193913455</v>
      </c>
      <c r="E114" s="11">
        <v>5.0154330366773792</v>
      </c>
      <c r="F114" s="11">
        <v>4.9460166918440382</v>
      </c>
      <c r="G114" s="11">
        <v>4.8817326112432973</v>
      </c>
      <c r="H114" s="11">
        <v>4.8220319084530132</v>
      </c>
      <c r="I114" s="11">
        <v>4.6837329870374536</v>
      </c>
      <c r="J114" s="11">
        <v>4.5551012991539359</v>
      </c>
      <c r="K114" s="11">
        <v>4.4351574511018699</v>
      </c>
      <c r="L114" s="11">
        <v>4.3230500247657133</v>
      </c>
      <c r="M114" s="11">
        <v>4.2180353359311491</v>
      </c>
      <c r="N114" s="11">
        <v>4.0593669326021296</v>
      </c>
      <c r="O114" s="11">
        <v>3.9106301673757686</v>
      </c>
      <c r="P114" s="11">
        <v>3.7709208519291662</v>
      </c>
      <c r="Q114" s="11">
        <v>3.6394413230757547</v>
      </c>
      <c r="R114" s="11">
        <v>3.5154852040383422</v>
      </c>
      <c r="S114" s="11">
        <v>3.3240404486397619</v>
      </c>
      <c r="T114" s="11">
        <v>3.1442783409701414</v>
      </c>
      <c r="U114" s="11">
        <v>2.9751611677366658</v>
      </c>
      <c r="V114" s="11">
        <v>2.8157705815090988</v>
      </c>
      <c r="W114" s="11">
        <v>2.6652909174899064</v>
      </c>
      <c r="X114" s="11">
        <v>2.4393186967789826</v>
      </c>
      <c r="Y114" s="11">
        <v>2.2265595780483785</v>
      </c>
      <c r="Z114" s="11">
        <v>2.0258875810807337</v>
      </c>
      <c r="AA114" s="11">
        <v>1.8363011287054327</v>
      </c>
      <c r="AB114" s="11">
        <v>1.6569063278758167</v>
      </c>
      <c r="AC114" s="11">
        <v>1.4061455693887899</v>
      </c>
      <c r="AD114" s="11">
        <v>1.169610372276376</v>
      </c>
      <c r="AE114" s="11">
        <v>0.94612360958089492</v>
      </c>
      <c r="AF114" s="11">
        <v>0.73463454042973741</v>
      </c>
      <c r="AG114" s="11">
        <v>0.53420229111811579</v>
      </c>
      <c r="AH114" s="11">
        <v>0.336398274142929</v>
      </c>
      <c r="AI114" s="11">
        <v>0.14975219641652809</v>
      </c>
      <c r="AJ114" s="11">
        <v>-2.6654157569383542E-2</v>
      </c>
      <c r="AK114" s="11">
        <v>-0.19364094343656596</v>
      </c>
      <c r="AL114" s="11">
        <v>-0.35194300677498963</v>
      </c>
      <c r="AM114" s="11">
        <v>-0.49031337179887025</v>
      </c>
      <c r="AN114" s="11">
        <v>-0.62036682052784031</v>
      </c>
      <c r="AO114" s="11">
        <v>-0.74283132252395867</v>
      </c>
      <c r="AP114" s="11">
        <v>-0.8583522981076811</v>
      </c>
      <c r="AQ114" s="11">
        <v>-0.96750399678881471</v>
      </c>
      <c r="AR114" s="11">
        <v>-1.0841763880866766</v>
      </c>
      <c r="AS114" s="11">
        <v>-1.1967273351263636</v>
      </c>
      <c r="AT114" s="11">
        <v>-1.3053714322482788</v>
      </c>
      <c r="AU114" s="11">
        <v>-1.4103086300221719</v>
      </c>
      <c r="AV114" s="11">
        <v>-1.5117254633962138</v>
      </c>
      <c r="AW114" s="11">
        <v>-1.533970404567168</v>
      </c>
      <c r="AX114" s="11">
        <v>-1.5555029506757081</v>
      </c>
      <c r="AY114" s="11">
        <v>-1.5763567840994097</v>
      </c>
      <c r="AZ114" s="11">
        <v>-1.5965634968026396</v>
      </c>
      <c r="BA114" s="11">
        <v>-1.6161527500292077</v>
      </c>
      <c r="BB114" s="10" t="s">
        <v>20</v>
      </c>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row>
    <row r="115" spans="2:80" x14ac:dyDescent="0.2">
      <c r="B115" s="101" t="s">
        <v>181</v>
      </c>
      <c r="C115" s="11">
        <v>82.739019092814189</v>
      </c>
      <c r="D115" s="11">
        <v>83.650581582818205</v>
      </c>
      <c r="E115" s="11">
        <v>84.460038566957252</v>
      </c>
      <c r="F115" s="11">
        <v>85.183635686058906</v>
      </c>
      <c r="G115" s="11">
        <v>85.834345774900754</v>
      </c>
      <c r="H115" s="11">
        <v>86.4226535081321</v>
      </c>
      <c r="I115" s="11">
        <v>83.453311520212822</v>
      </c>
      <c r="J115" s="11">
        <v>80.360246949463587</v>
      </c>
      <c r="K115" s="11">
        <v>77.135562609746287</v>
      </c>
      <c r="L115" s="11">
        <v>73.770674603084757</v>
      </c>
      <c r="M115" s="11">
        <v>70.256236018349398</v>
      </c>
      <c r="N115" s="11">
        <v>67.646137878681657</v>
      </c>
      <c r="O115" s="11">
        <v>64.927285649861091</v>
      </c>
      <c r="P115" s="11">
        <v>62.092737581516261</v>
      </c>
      <c r="Q115" s="11">
        <v>59.134948292808609</v>
      </c>
      <c r="R115" s="11">
        <v>56.045701702380612</v>
      </c>
      <c r="S115" s="11">
        <v>53.080187673901385</v>
      </c>
      <c r="T115" s="11">
        <v>49.9911105609022</v>
      </c>
      <c r="U115" s="11">
        <v>46.770583357988151</v>
      </c>
      <c r="V115" s="11">
        <v>43.410033233208274</v>
      </c>
      <c r="W115" s="11">
        <v>39.900125325104845</v>
      </c>
      <c r="X115" s="11">
        <v>36.966437870859188</v>
      </c>
      <c r="Y115" s="11">
        <v>33.910513439353302</v>
      </c>
      <c r="Z115" s="11">
        <v>30.724549670336518</v>
      </c>
      <c r="AA115" s="11">
        <v>27.400065737449445</v>
      </c>
      <c r="AB115" s="11">
        <v>23.927826963100721</v>
      </c>
      <c r="AC115" s="11">
        <v>19.60112520462344</v>
      </c>
      <c r="AD115" s="11">
        <v>15.094144206209609</v>
      </c>
      <c r="AE115" s="11">
        <v>10.395376782331356</v>
      </c>
      <c r="AF115" s="11">
        <v>5.492315122632311</v>
      </c>
      <c r="AG115" s="11">
        <v>0.37133961139108318</v>
      </c>
      <c r="AH115" s="11">
        <v>0.30271921781070971</v>
      </c>
      <c r="AI115" s="11">
        <v>0.23123964116448731</v>
      </c>
      <c r="AJ115" s="11">
        <v>0.15671838040565972</v>
      </c>
      <c r="AK115" s="11">
        <v>7.8957064831230939E-2</v>
      </c>
      <c r="AL115" s="11">
        <v>-2.2603092131724513E-3</v>
      </c>
      <c r="AM115" s="11">
        <v>-6.0470646978911064E-3</v>
      </c>
      <c r="AN115" s="11">
        <v>-9.9916016611397065E-3</v>
      </c>
      <c r="AO115" s="11">
        <v>-1.4103991261122287E-2</v>
      </c>
      <c r="AP115" s="11">
        <v>-1.8395180408930203E-2</v>
      </c>
      <c r="AQ115" s="11">
        <v>-2.2877089074418468E-2</v>
      </c>
      <c r="AR115" s="11">
        <v>-2.9670084307057105E-2</v>
      </c>
      <c r="AS115" s="11">
        <v>-3.674612100772235E-2</v>
      </c>
      <c r="AT115" s="11">
        <v>-4.4123265653096759E-2</v>
      </c>
      <c r="AU115" s="11">
        <v>-5.1821155717835278E-2</v>
      </c>
      <c r="AV115" s="11">
        <v>-5.9861174229895495E-2</v>
      </c>
      <c r="AW115" s="11">
        <v>-6.2913431387135232E-2</v>
      </c>
      <c r="AX115" s="11">
        <v>-6.6092865925926642E-2</v>
      </c>
      <c r="AY115" s="11">
        <v>-6.9407595551475118E-2</v>
      </c>
      <c r="AZ115" s="11">
        <v>-7.2866443856395291E-2</v>
      </c>
      <c r="BA115" s="11">
        <v>-7.647901875264522E-2</v>
      </c>
      <c r="BB115" s="10" t="s">
        <v>20</v>
      </c>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row>
    <row r="116" spans="2:80" x14ac:dyDescent="0.2">
      <c r="B116" s="101" t="s">
        <v>172</v>
      </c>
      <c r="C116" s="11">
        <v>74.911409079055062</v>
      </c>
      <c r="D116" s="11">
        <v>73.596660750803011</v>
      </c>
      <c r="E116" s="11">
        <v>72.345482620585159</v>
      </c>
      <c r="F116" s="11">
        <v>71.153372939692986</v>
      </c>
      <c r="G116" s="11">
        <v>70.016245214747499</v>
      </c>
      <c r="H116" s="11">
        <v>68.930381406416203</v>
      </c>
      <c r="I116" s="11">
        <v>65.649186123928203</v>
      </c>
      <c r="J116" s="11">
        <v>62.48682490294884</v>
      </c>
      <c r="K116" s="11">
        <v>59.436956899562219</v>
      </c>
      <c r="L116" s="11">
        <v>56.493684506165728</v>
      </c>
      <c r="M116" s="11">
        <v>53.651515287886049</v>
      </c>
      <c r="N116" s="11">
        <v>50.874208803832467</v>
      </c>
      <c r="O116" s="11">
        <v>48.232622090849404</v>
      </c>
      <c r="P116" s="11">
        <v>45.717044017565229</v>
      </c>
      <c r="Q116" s="11">
        <v>43.31866834834986</v>
      </c>
      <c r="R116" s="11">
        <v>41.029490743537913</v>
      </c>
      <c r="S116" s="11">
        <v>38.843574032197616</v>
      </c>
      <c r="T116" s="11">
        <v>36.777512224783543</v>
      </c>
      <c r="U116" s="11">
        <v>34.82171080118389</v>
      </c>
      <c r="V116" s="11">
        <v>32.967572695049085</v>
      </c>
      <c r="W116" s="11">
        <v>31.207371957219099</v>
      </c>
      <c r="X116" s="11">
        <v>28.743934401501168</v>
      </c>
      <c r="Y116" s="11">
        <v>26.391272672780495</v>
      </c>
      <c r="Z116" s="11">
        <v>24.142079029415058</v>
      </c>
      <c r="AA116" s="11">
        <v>21.98967467616588</v>
      </c>
      <c r="AB116" s="11">
        <v>19.927943525963492</v>
      </c>
      <c r="AC116" s="11">
        <v>16.843052410692664</v>
      </c>
      <c r="AD116" s="11">
        <v>13.869006419684547</v>
      </c>
      <c r="AE116" s="11">
        <v>10.999936724454948</v>
      </c>
      <c r="AF116" s="11">
        <v>8.2303816208715403</v>
      </c>
      <c r="AG116" s="11">
        <v>5.5552518278733665</v>
      </c>
      <c r="AH116" s="11">
        <v>2.5043583452552123</v>
      </c>
      <c r="AI116" s="11">
        <v>-0.44704259051154582</v>
      </c>
      <c r="AJ116" s="11">
        <v>-3.3037397170703318</v>
      </c>
      <c r="AK116" s="11">
        <v>-6.0702193051923237</v>
      </c>
      <c r="AL116" s="11">
        <v>-8.750688668116549</v>
      </c>
      <c r="AM116" s="11">
        <v>-11.151023831710667</v>
      </c>
      <c r="AN116" s="11">
        <v>-13.473276138000481</v>
      </c>
      <c r="AO116" s="11">
        <v>-15.721194659161348</v>
      </c>
      <c r="AP116" s="11">
        <v>-17.898292237430642</v>
      </c>
      <c r="AQ116" s="11">
        <v>-20.007863802690313</v>
      </c>
      <c r="AR116" s="11">
        <v>-22.769952783476992</v>
      </c>
      <c r="AS116" s="11">
        <v>-25.440488160198591</v>
      </c>
      <c r="AT116" s="11">
        <v>-28.023947744331309</v>
      </c>
      <c r="AU116" s="11">
        <v>-30.524522023507004</v>
      </c>
      <c r="AV116" s="11">
        <v>-32.946136843238293</v>
      </c>
      <c r="AW116" s="11">
        <v>-33.071584745029526</v>
      </c>
      <c r="AX116" s="11">
        <v>-33.193308916707316</v>
      </c>
      <c r="AY116" s="11">
        <v>-33.31147273339559</v>
      </c>
      <c r="AZ116" s="11">
        <v>-33.42623015073724</v>
      </c>
      <c r="BA116" s="11">
        <v>-33.537726374104786</v>
      </c>
      <c r="BB116" s="10" t="s">
        <v>20</v>
      </c>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row>
    <row r="117" spans="2:80" x14ac:dyDescent="0.2">
      <c r="B117" s="101" t="s">
        <v>180</v>
      </c>
      <c r="C117" s="11">
        <v>15.766484255905478</v>
      </c>
      <c r="D117" s="11">
        <v>15.7487021328939</v>
      </c>
      <c r="E117" s="11">
        <v>15.732805429509</v>
      </c>
      <c r="F117" s="11">
        <v>15.718509378949232</v>
      </c>
      <c r="G117" s="11">
        <v>15.705583812481203</v>
      </c>
      <c r="H117" s="11">
        <v>15.69384067290299</v>
      </c>
      <c r="I117" s="11">
        <v>15.387651973673186</v>
      </c>
      <c r="J117" s="11">
        <v>15.084512587229918</v>
      </c>
      <c r="K117" s="11">
        <v>14.784377187419965</v>
      </c>
      <c r="L117" s="11">
        <v>14.487201341988092</v>
      </c>
      <c r="M117" s="11">
        <v>14.192941490648952</v>
      </c>
      <c r="N117" s="11">
        <v>13.831331310739301</v>
      </c>
      <c r="O117" s="11">
        <v>13.47720254556374</v>
      </c>
      <c r="P117" s="11">
        <v>13.130325395900323</v>
      </c>
      <c r="Q117" s="11">
        <v>12.790479378498034</v>
      </c>
      <c r="R117" s="11">
        <v>12.457452858731017</v>
      </c>
      <c r="S117" s="11">
        <v>11.974459503710694</v>
      </c>
      <c r="T117" s="11">
        <v>11.516870567596145</v>
      </c>
      <c r="U117" s="11">
        <v>11.082733084052196</v>
      </c>
      <c r="V117" s="11">
        <v>10.670289264525456</v>
      </c>
      <c r="W117" s="11">
        <v>10.277952710208002</v>
      </c>
      <c r="X117" s="11">
        <v>9.7033361769902182</v>
      </c>
      <c r="Y117" s="11">
        <v>9.1480754136462163</v>
      </c>
      <c r="Z117" s="11">
        <v>8.6112086298120154</v>
      </c>
      <c r="AA117" s="11">
        <v>8.0918367188307823</v>
      </c>
      <c r="AB117" s="11">
        <v>7.5891182329411482</v>
      </c>
      <c r="AC117" s="11">
        <v>6.8499703843807751</v>
      </c>
      <c r="AD117" s="11">
        <v>6.1245813222516734</v>
      </c>
      <c r="AE117" s="11">
        <v>5.4125704219731476</v>
      </c>
      <c r="AF117" s="11">
        <v>4.7135709702041408</v>
      </c>
      <c r="AG117" s="11">
        <v>4.0272295350548397</v>
      </c>
      <c r="AH117" s="11">
        <v>3.3182769582732528</v>
      </c>
      <c r="AI117" s="11">
        <v>2.6179325530091968</v>
      </c>
      <c r="AJ117" s="11">
        <v>1.9260404834588873</v>
      </c>
      <c r="AK117" s="11">
        <v>1.2424486527669973</v>
      </c>
      <c r="AL117" s="11">
        <v>0.56700859156012406</v>
      </c>
      <c r="AM117" s="11">
        <v>-9.1172448850878871E-2</v>
      </c>
      <c r="AN117" s="11">
        <v>-0.73853941336188056</v>
      </c>
      <c r="AO117" s="11">
        <v>-1.3753566472227081</v>
      </c>
      <c r="AP117" s="11">
        <v>-2.0018799495831465</v>
      </c>
      <c r="AQ117" s="11">
        <v>-2.6183569160859106</v>
      </c>
      <c r="AR117" s="11">
        <v>-3.3331769997420797</v>
      </c>
      <c r="AS117" s="11">
        <v>-4.0357929387302871</v>
      </c>
      <c r="AT117" s="11">
        <v>-4.7265146301992864</v>
      </c>
      <c r="AU117" s="11">
        <v>-5.4056415671613847</v>
      </c>
      <c r="AV117" s="11">
        <v>-6.0734632714791843</v>
      </c>
      <c r="AW117" s="11">
        <v>-6.2994958980281268</v>
      </c>
      <c r="AX117" s="11">
        <v>-6.5223995861622441</v>
      </c>
      <c r="AY117" s="11">
        <v>-6.742238859479067</v>
      </c>
      <c r="AZ117" s="11">
        <v>-6.9590764795846418</v>
      </c>
      <c r="BA117" s="11">
        <v>-7.1729735058306439</v>
      </c>
      <c r="BB117" s="10" t="s">
        <v>20</v>
      </c>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row>
    <row r="118" spans="2:80" x14ac:dyDescent="0.2">
      <c r="B118" s="101" t="s">
        <v>179</v>
      </c>
      <c r="C118" s="11">
        <v>12.020228369606841</v>
      </c>
      <c r="D118" s="11">
        <v>11.990039904959799</v>
      </c>
      <c r="E118" s="11">
        <v>11.962934386561205</v>
      </c>
      <c r="F118" s="11">
        <v>11.938462496279426</v>
      </c>
      <c r="G118" s="11">
        <v>11.916258184086642</v>
      </c>
      <c r="H118" s="11">
        <v>11.896020232995554</v>
      </c>
      <c r="I118" s="11">
        <v>11.708173642150463</v>
      </c>
      <c r="J118" s="11">
        <v>11.537579632847885</v>
      </c>
      <c r="K118" s="11">
        <v>11.381965742083514</v>
      </c>
      <c r="L118" s="11">
        <v>11.239441818032837</v>
      </c>
      <c r="M118" s="11">
        <v>11.108422866693882</v>
      </c>
      <c r="N118" s="11">
        <v>10.753390559983105</v>
      </c>
      <c r="O118" s="11">
        <v>10.426788762724174</v>
      </c>
      <c r="P118" s="11">
        <v>10.12533393041155</v>
      </c>
      <c r="Q118" s="11">
        <v>9.8462294123878973</v>
      </c>
      <c r="R118" s="11">
        <v>9.5870784301978755</v>
      </c>
      <c r="S118" s="11">
        <v>9.1074352114637946</v>
      </c>
      <c r="T118" s="11">
        <v>8.6619545375169409</v>
      </c>
      <c r="U118" s="11">
        <v>8.2471120820340129</v>
      </c>
      <c r="V118" s="11">
        <v>7.8598521781128898</v>
      </c>
      <c r="W118" s="11">
        <v>7.4975124227676382</v>
      </c>
      <c r="X118" s="11">
        <v>6.887167142664322</v>
      </c>
      <c r="Y118" s="11">
        <v>6.3160623272533014</v>
      </c>
      <c r="Z118" s="11">
        <v>5.7805315518521825</v>
      </c>
      <c r="AA118" s="11">
        <v>5.2773513578056148</v>
      </c>
      <c r="AB118" s="11">
        <v>4.8036763166010452</v>
      </c>
      <c r="AC118" s="11">
        <v>4.1469980652276925</v>
      </c>
      <c r="AD118" s="11">
        <v>3.5288653580460125</v>
      </c>
      <c r="AE118" s="11">
        <v>2.9459811537199192</v>
      </c>
      <c r="AF118" s="11">
        <v>2.3954140090224012</v>
      </c>
      <c r="AG118" s="11">
        <v>1.8745487707677626</v>
      </c>
      <c r="AH118" s="11">
        <v>1.3534617857075661</v>
      </c>
      <c r="AI118" s="11">
        <v>0.86055279089215397</v>
      </c>
      <c r="AJ118" s="11">
        <v>0.39359635254748732</v>
      </c>
      <c r="AK118" s="11">
        <v>-4.9404627947150982E-2</v>
      </c>
      <c r="AL118" s="11">
        <v>-0.47024746638176607</v>
      </c>
      <c r="AM118" s="11">
        <v>-0.84017533280543999</v>
      </c>
      <c r="AN118" s="11">
        <v>-1.1915390236878516</v>
      </c>
      <c r="AO118" s="11">
        <v>-1.5257017493418432</v>
      </c>
      <c r="AP118" s="11">
        <v>-1.8438964374859514</v>
      </c>
      <c r="AQ118" s="11">
        <v>-2.1472409340126921</v>
      </c>
      <c r="AR118" s="11">
        <v>-2.4595201993193583</v>
      </c>
      <c r="AS118" s="11">
        <v>-2.7571677319661734</v>
      </c>
      <c r="AT118" s="11">
        <v>-3.0411883388765104</v>
      </c>
      <c r="AU118" s="11">
        <v>-3.3124968815979696</v>
      </c>
      <c r="AV118" s="11">
        <v>-3.5719281203397202</v>
      </c>
      <c r="AW118" s="11">
        <v>-3.5959186701212471</v>
      </c>
      <c r="AX118" s="11">
        <v>-3.6188543320293141</v>
      </c>
      <c r="AY118" s="11">
        <v>-3.6408031859670928</v>
      </c>
      <c r="AZ118" s="11">
        <v>-3.6618275769278519</v>
      </c>
      <c r="BA118" s="11">
        <v>-3.6819847064111793</v>
      </c>
      <c r="BB118" s="10" t="s">
        <v>20</v>
      </c>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row>
    <row r="119" spans="2:80" x14ac:dyDescent="0.2">
      <c r="B119" s="101" t="s">
        <v>137</v>
      </c>
      <c r="C119" s="11">
        <v>13.259494958026593</v>
      </c>
      <c r="D119" s="11">
        <v>13.235324446434499</v>
      </c>
      <c r="E119" s="11">
        <v>13.213653626819157</v>
      </c>
      <c r="F119" s="11">
        <v>13.194113791150478</v>
      </c>
      <c r="G119" s="11">
        <v>13.176405346469201</v>
      </c>
      <c r="H119" s="11">
        <v>13.160282345144676</v>
      </c>
      <c r="I119" s="11">
        <v>12.897104223748693</v>
      </c>
      <c r="J119" s="11">
        <v>12.651330535794957</v>
      </c>
      <c r="K119" s="11">
        <v>12.421290062767572</v>
      </c>
      <c r="L119" s="11">
        <v>12.205518916299482</v>
      </c>
      <c r="M119" s="11">
        <v>12.002729353815985</v>
      </c>
      <c r="N119" s="11">
        <v>11.625589534042572</v>
      </c>
      <c r="O119" s="11">
        <v>11.272441228420618</v>
      </c>
      <c r="P119" s="11">
        <v>10.941065700914967</v>
      </c>
      <c r="Q119" s="11">
        <v>10.629509619025324</v>
      </c>
      <c r="R119" s="11">
        <v>10.336046521862308</v>
      </c>
      <c r="S119" s="11">
        <v>9.8498781395873518</v>
      </c>
      <c r="T119" s="11">
        <v>9.3960086144409161</v>
      </c>
      <c r="U119" s="11">
        <v>8.9713227388314198</v>
      </c>
      <c r="V119" s="11">
        <v>8.5730934401824932</v>
      </c>
      <c r="W119" s="11">
        <v>8.1989231580067123</v>
      </c>
      <c r="X119" s="11">
        <v>7.5888626971197368</v>
      </c>
      <c r="Y119" s="11">
        <v>7.0134264206206138</v>
      </c>
      <c r="Z119" s="11">
        <v>6.4697480073609999</v>
      </c>
      <c r="AA119" s="11">
        <v>5.9552690201562308</v>
      </c>
      <c r="AB119" s="11">
        <v>5.4676986479164924</v>
      </c>
      <c r="AC119" s="11">
        <v>4.7809833023039952</v>
      </c>
      <c r="AD119" s="11">
        <v>4.1282208389436752</v>
      </c>
      <c r="AE119" s="11">
        <v>3.5069539358197974</v>
      </c>
      <c r="AF119" s="11">
        <v>2.9149568148138849</v>
      </c>
      <c r="AG119" s="11">
        <v>2.3502085974984759</v>
      </c>
      <c r="AH119" s="11">
        <v>1.7801968368003014</v>
      </c>
      <c r="AI119" s="11">
        <v>1.2359034726494782</v>
      </c>
      <c r="AJ119" s="11">
        <v>0.71562632059818188</v>
      </c>
      <c r="AK119" s="11">
        <v>0.21781016695067631</v>
      </c>
      <c r="AL119" s="11">
        <v>-0.25896875834067284</v>
      </c>
      <c r="AM119" s="11">
        <v>-0.68975681419496238</v>
      </c>
      <c r="AN119" s="11">
        <v>-1.1018067600804122</v>
      </c>
      <c r="AO119" s="11">
        <v>-1.4963151577129119</v>
      </c>
      <c r="AP119" s="11">
        <v>-1.8743788135250279</v>
      </c>
      <c r="AQ119" s="11">
        <v>-2.2370049619572177</v>
      </c>
      <c r="AR119" s="11">
        <v>-2.6238858111342207</v>
      </c>
      <c r="AS119" s="11">
        <v>-2.9947806726356592</v>
      </c>
      <c r="AT119" s="11">
        <v>-3.3506603063883458</v>
      </c>
      <c r="AU119" s="11">
        <v>-3.6924184316952111</v>
      </c>
      <c r="AV119" s="11">
        <v>-4.0208792210955711</v>
      </c>
      <c r="AW119" s="11">
        <v>-4.0748944669237197</v>
      </c>
      <c r="AX119" s="11">
        <v>-4.1268193136439146</v>
      </c>
      <c r="AY119" s="11">
        <v>-4.176772805927885</v>
      </c>
      <c r="AZ119" s="11">
        <v>-4.2248651176509959</v>
      </c>
      <c r="BA119" s="11">
        <v>-4.2711983630571986</v>
      </c>
      <c r="BB119" s="10" t="s">
        <v>20</v>
      </c>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row>
    <row r="120" spans="2:80" x14ac:dyDescent="0.2">
      <c r="B120" s="101" t="s">
        <v>173</v>
      </c>
      <c r="C120" s="11">
        <v>8.1870358852382061</v>
      </c>
      <c r="D120" s="11">
        <v>7.936791143471619</v>
      </c>
      <c r="E120" s="11">
        <v>7.7000271256658843</v>
      </c>
      <c r="F120" s="11">
        <v>7.4756830898799791</v>
      </c>
      <c r="G120" s="11">
        <v>7.2628067370133218</v>
      </c>
      <c r="H120" s="11">
        <v>7.0605406981190759</v>
      </c>
      <c r="I120" s="11">
        <v>6.9374123555484859</v>
      </c>
      <c r="J120" s="11">
        <v>6.8254029181090612</v>
      </c>
      <c r="K120" s="11">
        <v>6.7230713394546591</v>
      </c>
      <c r="L120" s="11">
        <v>6.6292152799223221</v>
      </c>
      <c r="M120" s="11">
        <v>6.5428236453419331</v>
      </c>
      <c r="N120" s="11">
        <v>6.3394785107096512</v>
      </c>
      <c r="O120" s="11">
        <v>6.1474829829838109</v>
      </c>
      <c r="P120" s="11">
        <v>5.9659126509950013</v>
      </c>
      <c r="Q120" s="11">
        <v>5.7939408395809195</v>
      </c>
      <c r="R120" s="11">
        <v>5.6308260254375364</v>
      </c>
      <c r="S120" s="11">
        <v>5.3004418521409713</v>
      </c>
      <c r="T120" s="11">
        <v>4.9874960784599276</v>
      </c>
      <c r="U120" s="11">
        <v>4.6906435491765412</v>
      </c>
      <c r="V120" s="11">
        <v>4.4086739902224865</v>
      </c>
      <c r="W120" s="11">
        <v>4.1404955161417227</v>
      </c>
      <c r="X120" s="11">
        <v>3.7834763670873697</v>
      </c>
      <c r="Y120" s="11">
        <v>3.4429755383744318</v>
      </c>
      <c r="Z120" s="11">
        <v>3.1178725628138748</v>
      </c>
      <c r="AA120" s="11">
        <v>2.8071460702951465</v>
      </c>
      <c r="AB120" s="11">
        <v>2.5098630692703487</v>
      </c>
      <c r="AC120" s="11">
        <v>2.1720882081080348</v>
      </c>
      <c r="AD120" s="11">
        <v>1.8474175844780538</v>
      </c>
      <c r="AE120" s="11">
        <v>1.5351031258302705</v>
      </c>
      <c r="AF120" s="11">
        <v>1.2344526359572823</v>
      </c>
      <c r="AG120" s="11">
        <v>0.9448246736113981</v>
      </c>
      <c r="AH120" s="11">
        <v>0.7034660550863524</v>
      </c>
      <c r="AI120" s="11">
        <v>0.47005528613716008</v>
      </c>
      <c r="AJ120" s="11">
        <v>0.24420614621582115</v>
      </c>
      <c r="AK120" s="11">
        <v>2.5557040070598298E-2</v>
      </c>
      <c r="AL120" s="11">
        <v>-0.18623093408680508</v>
      </c>
      <c r="AM120" s="11">
        <v>-0.35819583118431808</v>
      </c>
      <c r="AN120" s="11">
        <v>-0.52543150463692045</v>
      </c>
      <c r="AO120" s="11">
        <v>-0.68813039653105634</v>
      </c>
      <c r="AP120" s="11">
        <v>-0.84647464751629564</v>
      </c>
      <c r="AQ120" s="11">
        <v>-1.0006367769983362</v>
      </c>
      <c r="AR120" s="11">
        <v>-1.1177632046867534</v>
      </c>
      <c r="AS120" s="11">
        <v>-1.2321676774133032</v>
      </c>
      <c r="AT120" s="11">
        <v>-1.3439439904485118</v>
      </c>
      <c r="AU120" s="11">
        <v>-1.4531816785714993</v>
      </c>
      <c r="AV120" s="11">
        <v>-1.5599662552607874</v>
      </c>
      <c r="AW120" s="11">
        <v>-1.5408131030124936</v>
      </c>
      <c r="AX120" s="11">
        <v>-1.522041066391814</v>
      </c>
      <c r="AY120" s="11">
        <v>-1.5036388821156601</v>
      </c>
      <c r="AZ120" s="11">
        <v>-1.4855957263966264</v>
      </c>
      <c r="BA120" s="11">
        <v>-1.4679011937135664</v>
      </c>
      <c r="BB120" s="10" t="s">
        <v>20</v>
      </c>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row>
    <row r="121" spans="2:80" x14ac:dyDescent="0.2">
      <c r="B121" s="101" t="s">
        <v>174</v>
      </c>
      <c r="C121" s="11">
        <v>1.8438553878701436</v>
      </c>
      <c r="D121" s="11">
        <v>1.7716057162330456</v>
      </c>
      <c r="E121" s="11">
        <v>1.7049258760465416</v>
      </c>
      <c r="F121" s="11">
        <v>1.6431956928655136</v>
      </c>
      <c r="G121" s="11">
        <v>1.5858837686310272</v>
      </c>
      <c r="H121" s="11">
        <v>1.5325321453675818</v>
      </c>
      <c r="I121" s="11">
        <v>1.4803758390205737</v>
      </c>
      <c r="J121" s="11">
        <v>1.4318206448096877</v>
      </c>
      <c r="K121" s="11">
        <v>1.3865060522816708</v>
      </c>
      <c r="L121" s="11">
        <v>1.3441181183676183</v>
      </c>
      <c r="M121" s="11">
        <v>1.3043821836671117</v>
      </c>
      <c r="N121" s="11">
        <v>1.2446237933050328</v>
      </c>
      <c r="O121" s="11">
        <v>1.1886454795874994</v>
      </c>
      <c r="P121" s="11">
        <v>1.136099569919842</v>
      </c>
      <c r="Q121" s="11">
        <v>1.086679759688616</v>
      </c>
      <c r="R121" s="11">
        <v>1.0401151372611441</v>
      </c>
      <c r="S121" s="11">
        <v>0.96187293927503281</v>
      </c>
      <c r="T121" s="11">
        <v>0.88836993746303261</v>
      </c>
      <c r="U121" s="11">
        <v>0.81918820328110731</v>
      </c>
      <c r="V121" s="11">
        <v>0.75395754528043202</v>
      </c>
      <c r="W121" s="11">
        <v>0.69234888248674786</v>
      </c>
      <c r="X121" s="11">
        <v>0.61573911845986384</v>
      </c>
      <c r="Y121" s="11">
        <v>0.5437575712443995</v>
      </c>
      <c r="Z121" s="11">
        <v>0.47599713225216805</v>
      </c>
      <c r="AA121" s="11">
        <v>0.41209707973996534</v>
      </c>
      <c r="AB121" s="11">
        <v>0.3517366550211965</v>
      </c>
      <c r="AC121" s="11">
        <v>0.26587890606994952</v>
      </c>
      <c r="AD121" s="11">
        <v>0.18523646364646801</v>
      </c>
      <c r="AE121" s="11">
        <v>0.10934814030067279</v>
      </c>
      <c r="AF121" s="11">
        <v>3.7805568462223382E-2</v>
      </c>
      <c r="AG121" s="11">
        <v>-2.9754150909276713E-2</v>
      </c>
      <c r="AH121" s="11">
        <v>-9.3317266423380188E-2</v>
      </c>
      <c r="AI121" s="11">
        <v>-0.15295022606692649</v>
      </c>
      <c r="AJ121" s="11">
        <v>-0.20900660570597704</v>
      </c>
      <c r="AK121" s="11">
        <v>-0.26179880352362811</v>
      </c>
      <c r="AL121" s="11">
        <v>-0.31160386490334047</v>
      </c>
      <c r="AM121" s="11">
        <v>-0.35484762134743508</v>
      </c>
      <c r="AN121" s="11">
        <v>-0.39517914170760893</v>
      </c>
      <c r="AO121" s="11">
        <v>-0.43288302809201107</v>
      </c>
      <c r="AP121" s="11">
        <v>-0.46820796837605455</v>
      </c>
      <c r="AQ121" s="11">
        <v>-0.50137222801548886</v>
      </c>
      <c r="AR121" s="11">
        <v>-0.53054360179438798</v>
      </c>
      <c r="AS121" s="11">
        <v>-0.55869552665928868</v>
      </c>
      <c r="AT121" s="11">
        <v>-0.58588052472780228</v>
      </c>
      <c r="AU121" s="11">
        <v>-0.61214757110484008</v>
      </c>
      <c r="AV121" s="11">
        <v>-0.63754238833976318</v>
      </c>
      <c r="AW121" s="11">
        <v>-0.65267413843952082</v>
      </c>
      <c r="AX121" s="11">
        <v>-0.66733021565317929</v>
      </c>
      <c r="AY121" s="11">
        <v>-0.68153270236017705</v>
      </c>
      <c r="AZ121" s="11">
        <v>-0.69530233491515869</v>
      </c>
      <c r="BA121" s="11">
        <v>-0.70865860466675135</v>
      </c>
      <c r="BB121" s="10" t="s">
        <v>20</v>
      </c>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row>
    <row r="122" spans="2:80" x14ac:dyDescent="0.2">
      <c r="B122" s="101" t="s">
        <v>175</v>
      </c>
      <c r="C122" s="8">
        <v>36.870740310002084</v>
      </c>
      <c r="D122" s="8">
        <v>36.38868558099815</v>
      </c>
      <c r="E122" s="8">
        <v>35.906630851994215</v>
      </c>
      <c r="F122" s="8">
        <v>35.424576122990288</v>
      </c>
      <c r="G122" s="8">
        <v>34.942521393986354</v>
      </c>
      <c r="H122" s="8">
        <v>34.46046666498242</v>
      </c>
      <c r="I122" s="8">
        <v>33.65486662784533</v>
      </c>
      <c r="J122" s="8">
        <v>32.849266590708233</v>
      </c>
      <c r="K122" s="8">
        <v>32.043666553571143</v>
      </c>
      <c r="L122" s="8">
        <v>31.238066516434053</v>
      </c>
      <c r="M122" s="8">
        <v>30.432466479296959</v>
      </c>
      <c r="N122" s="8">
        <v>29.932966969628382</v>
      </c>
      <c r="O122" s="8">
        <v>29.4334674599598</v>
      </c>
      <c r="P122" s="8">
        <v>28.933967950291223</v>
      </c>
      <c r="Q122" s="8">
        <v>28.434468440622641</v>
      </c>
      <c r="R122" s="8">
        <v>27.934968930954064</v>
      </c>
      <c r="S122" s="8">
        <v>27.39349173323399</v>
      </c>
      <c r="T122" s="8">
        <v>26.852014535513916</v>
      </c>
      <c r="U122" s="8">
        <v>26.310537337793843</v>
      </c>
      <c r="V122" s="8">
        <v>25.769060140073769</v>
      </c>
      <c r="W122" s="8">
        <v>25.227582942353695</v>
      </c>
      <c r="X122" s="8">
        <v>23.855055022321558</v>
      </c>
      <c r="Y122" s="8">
        <v>22.482527102289421</v>
      </c>
      <c r="Z122" s="8">
        <v>21.109999182257283</v>
      </c>
      <c r="AA122" s="8">
        <v>19.737471262225142</v>
      </c>
      <c r="AB122" s="8">
        <v>18.364943342193005</v>
      </c>
      <c r="AC122" s="8">
        <v>16.624831071998557</v>
      </c>
      <c r="AD122" s="8">
        <v>14.884718801804107</v>
      </c>
      <c r="AE122" s="8">
        <v>13.144606531609659</v>
      </c>
      <c r="AF122" s="8">
        <v>11.404494261415209</v>
      </c>
      <c r="AG122" s="8">
        <v>9.6643819912207611</v>
      </c>
      <c r="AH122" s="8">
        <v>8.099330285648902</v>
      </c>
      <c r="AI122" s="8">
        <v>6.5342785800770411</v>
      </c>
      <c r="AJ122" s="8">
        <v>4.969226874505182</v>
      </c>
      <c r="AK122" s="8">
        <v>3.4041751689333219</v>
      </c>
      <c r="AL122" s="8">
        <v>1.8391234633614622</v>
      </c>
      <c r="AM122" s="8">
        <v>0.52084530673925133</v>
      </c>
      <c r="AN122" s="8">
        <v>-0.79743284988295948</v>
      </c>
      <c r="AO122" s="8">
        <v>-2.1157110065051707</v>
      </c>
      <c r="AP122" s="8">
        <v>-3.4339891631273813</v>
      </c>
      <c r="AQ122" s="8">
        <v>-4.7522673197495919</v>
      </c>
      <c r="AR122" s="8">
        <v>-5.4689424383974181</v>
      </c>
      <c r="AS122" s="8">
        <v>-6.1856175570452443</v>
      </c>
      <c r="AT122" s="8">
        <v>-6.9022926756930705</v>
      </c>
      <c r="AU122" s="8">
        <v>-7.6189677943408967</v>
      </c>
      <c r="AV122" s="8">
        <v>-8.3356429129887228</v>
      </c>
      <c r="AW122" s="8">
        <v>-8.3785465480798766</v>
      </c>
      <c r="AX122" s="8">
        <v>-8.4214501831710304</v>
      </c>
      <c r="AY122" s="8">
        <v>-8.4643538182621842</v>
      </c>
      <c r="AZ122" s="8">
        <v>-8.5072574533533381</v>
      </c>
      <c r="BA122" s="8">
        <v>-8.5501610884444919</v>
      </c>
      <c r="BB122" s="10" t="s">
        <v>21</v>
      </c>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row>
    <row r="123" spans="2:80" x14ac:dyDescent="0.2">
      <c r="B123" s="101" t="s">
        <v>176</v>
      </c>
      <c r="C123" s="8">
        <v>50.693453601589745</v>
      </c>
      <c r="D123" s="8">
        <v>49.885977555188767</v>
      </c>
      <c r="E123" s="8">
        <v>49.078501508787781</v>
      </c>
      <c r="F123" s="8">
        <v>48.271025462386802</v>
      </c>
      <c r="G123" s="8">
        <v>47.463549415985817</v>
      </c>
      <c r="H123" s="8">
        <v>46.656073369584838</v>
      </c>
      <c r="I123" s="8">
        <v>44.977090782293281</v>
      </c>
      <c r="J123" s="8">
        <v>43.298108195001724</v>
      </c>
      <c r="K123" s="8">
        <v>41.619125607710167</v>
      </c>
      <c r="L123" s="8">
        <v>39.94014302041861</v>
      </c>
      <c r="M123" s="8">
        <v>38.261160433127053</v>
      </c>
      <c r="N123" s="8">
        <v>36.766786755585976</v>
      </c>
      <c r="O123" s="8">
        <v>35.272413078044899</v>
      </c>
      <c r="P123" s="8">
        <v>33.778039400503822</v>
      </c>
      <c r="Q123" s="8">
        <v>32.283665722962745</v>
      </c>
      <c r="R123" s="8">
        <v>30.789292045421671</v>
      </c>
      <c r="S123" s="8">
        <v>29.540394406631542</v>
      </c>
      <c r="T123" s="8">
        <v>28.291496767841412</v>
      </c>
      <c r="U123" s="8">
        <v>27.042599129051283</v>
      </c>
      <c r="V123" s="8">
        <v>25.793701490261153</v>
      </c>
      <c r="W123" s="8">
        <v>24.544803851471023</v>
      </c>
      <c r="X123" s="8">
        <v>22.910491340493181</v>
      </c>
      <c r="Y123" s="8">
        <v>21.276178829515338</v>
      </c>
      <c r="Z123" s="8">
        <v>19.641866318537495</v>
      </c>
      <c r="AA123" s="8">
        <v>18.007553807559649</v>
      </c>
      <c r="AB123" s="8">
        <v>16.373241296581806</v>
      </c>
      <c r="AC123" s="8">
        <v>14.04933775111823</v>
      </c>
      <c r="AD123" s="8">
        <v>11.725434205654652</v>
      </c>
      <c r="AE123" s="8">
        <v>9.4015306601910744</v>
      </c>
      <c r="AF123" s="8">
        <v>7.0776271147274983</v>
      </c>
      <c r="AG123" s="8">
        <v>4.7537235692639204</v>
      </c>
      <c r="AH123" s="8">
        <v>2.2464747639107467</v>
      </c>
      <c r="AI123" s="8">
        <v>-0.26077404144242688</v>
      </c>
      <c r="AJ123" s="8">
        <v>-2.768022846795601</v>
      </c>
      <c r="AK123" s="8">
        <v>-5.2752716521487741</v>
      </c>
      <c r="AL123" s="8">
        <v>-7.7825204575019482</v>
      </c>
      <c r="AM123" s="8">
        <v>-9.9161228008730387</v>
      </c>
      <c r="AN123" s="8">
        <v>-12.049725144244128</v>
      </c>
      <c r="AO123" s="8">
        <v>-14.18332748761522</v>
      </c>
      <c r="AP123" s="8">
        <v>-16.316929830986307</v>
      </c>
      <c r="AQ123" s="8">
        <v>-18.450532174357399</v>
      </c>
      <c r="AR123" s="8">
        <v>-21.04942689262932</v>
      </c>
      <c r="AS123" s="8">
        <v>-23.648321610901242</v>
      </c>
      <c r="AT123" s="8">
        <v>-26.24721632917316</v>
      </c>
      <c r="AU123" s="8">
        <v>-28.846111047445081</v>
      </c>
      <c r="AV123" s="8">
        <v>-31.445005765717003</v>
      </c>
      <c r="AW123" s="8">
        <v>-31.773131749903385</v>
      </c>
      <c r="AX123" s="8">
        <v>-32.101257734089771</v>
      </c>
      <c r="AY123" s="8">
        <v>-32.429383718276149</v>
      </c>
      <c r="AZ123" s="8">
        <v>-32.757509702462528</v>
      </c>
      <c r="BA123" s="8">
        <v>-33.085635686648914</v>
      </c>
      <c r="BB123" s="10" t="s">
        <v>21</v>
      </c>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row>
    <row r="124" spans="2:80" x14ac:dyDescent="0.2">
      <c r="B124" s="101" t="s">
        <v>177</v>
      </c>
      <c r="C124" s="8">
        <v>163.62052611646959</v>
      </c>
      <c r="D124" s="8">
        <v>163.27637640263507</v>
      </c>
      <c r="E124" s="8">
        <v>162.93222668880054</v>
      </c>
      <c r="F124" s="8">
        <v>162.58807697496599</v>
      </c>
      <c r="G124" s="8">
        <v>162.24392726113146</v>
      </c>
      <c r="H124" s="8">
        <v>161.89977754729694</v>
      </c>
      <c r="I124" s="8">
        <v>161.14245469259203</v>
      </c>
      <c r="J124" s="8">
        <v>160.38513183788714</v>
      </c>
      <c r="K124" s="8">
        <v>159.62780898318223</v>
      </c>
      <c r="L124" s="8">
        <v>158.87048612847735</v>
      </c>
      <c r="M124" s="8">
        <v>158.11316327377244</v>
      </c>
      <c r="N124" s="8">
        <v>155.3766567046697</v>
      </c>
      <c r="O124" s="8">
        <v>152.64015013556696</v>
      </c>
      <c r="P124" s="8">
        <v>149.90364356646421</v>
      </c>
      <c r="Q124" s="8">
        <v>147.16713699736147</v>
      </c>
      <c r="R124" s="8">
        <v>144.43063042825872</v>
      </c>
      <c r="S124" s="8">
        <v>139.40905071785448</v>
      </c>
      <c r="T124" s="8">
        <v>134.38747100745024</v>
      </c>
      <c r="U124" s="8">
        <v>129.36589129704601</v>
      </c>
      <c r="V124" s="8">
        <v>124.34431158664177</v>
      </c>
      <c r="W124" s="8">
        <v>119.32273187623753</v>
      </c>
      <c r="X124" s="8">
        <v>112.11123250188217</v>
      </c>
      <c r="Y124" s="8">
        <v>104.89973312752682</v>
      </c>
      <c r="Z124" s="8">
        <v>97.68823375317146</v>
      </c>
      <c r="AA124" s="8">
        <v>90.47673437881609</v>
      </c>
      <c r="AB124" s="8">
        <v>83.265235004460735</v>
      </c>
      <c r="AC124" s="8">
        <v>74.128979017047456</v>
      </c>
      <c r="AD124" s="8">
        <v>64.992723029634192</v>
      </c>
      <c r="AE124" s="8">
        <v>55.856467042220913</v>
      </c>
      <c r="AF124" s="8">
        <v>46.720211054807635</v>
      </c>
      <c r="AG124" s="8">
        <v>37.583955067394363</v>
      </c>
      <c r="AH124" s="8">
        <v>29.197442218601182</v>
      </c>
      <c r="AI124" s="8">
        <v>20.810929369808004</v>
      </c>
      <c r="AJ124" s="8">
        <v>12.424416521014827</v>
      </c>
      <c r="AK124" s="8">
        <v>4.0379036722216455</v>
      </c>
      <c r="AL124" s="8">
        <v>-4.3486091765715393</v>
      </c>
      <c r="AM124" s="8">
        <v>-11.332650409640911</v>
      </c>
      <c r="AN124" s="8">
        <v>-18.316691642710282</v>
      </c>
      <c r="AO124" s="8">
        <v>-25.300732875779655</v>
      </c>
      <c r="AP124" s="8">
        <v>-32.284774108849021</v>
      </c>
      <c r="AQ124" s="8">
        <v>-39.268815341918391</v>
      </c>
      <c r="AR124" s="8">
        <v>-46.139152709010745</v>
      </c>
      <c r="AS124" s="8">
        <v>-53.009490076103106</v>
      </c>
      <c r="AT124" s="8">
        <v>-59.87982744319546</v>
      </c>
      <c r="AU124" s="8">
        <v>-66.750164810287814</v>
      </c>
      <c r="AV124" s="8">
        <v>-73.620502177380175</v>
      </c>
      <c r="AW124" s="8">
        <v>-75.200281823156899</v>
      </c>
      <c r="AX124" s="8">
        <v>-76.780061468933638</v>
      </c>
      <c r="AY124" s="8">
        <v>-78.359841114710363</v>
      </c>
      <c r="AZ124" s="8">
        <v>-79.939620760487102</v>
      </c>
      <c r="BA124" s="8">
        <v>-81.519400406263827</v>
      </c>
      <c r="BB124" s="10" t="s">
        <v>21</v>
      </c>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row>
    <row r="125" spans="2:80" x14ac:dyDescent="0.2">
      <c r="B125" s="101" t="s">
        <v>178</v>
      </c>
      <c r="C125" s="8">
        <v>163.62052611646959</v>
      </c>
      <c r="D125" s="8">
        <v>163.27637640263507</v>
      </c>
      <c r="E125" s="8">
        <v>162.93222668880054</v>
      </c>
      <c r="F125" s="8">
        <v>162.58807697496599</v>
      </c>
      <c r="G125" s="8">
        <v>162.24392726113146</v>
      </c>
      <c r="H125" s="8">
        <v>161.89977754729694</v>
      </c>
      <c r="I125" s="8">
        <v>161.14245469259203</v>
      </c>
      <c r="J125" s="8">
        <v>160.38513183788714</v>
      </c>
      <c r="K125" s="8">
        <v>159.62780898318223</v>
      </c>
      <c r="L125" s="8">
        <v>158.87048612847735</v>
      </c>
      <c r="M125" s="8">
        <v>158.11316327377244</v>
      </c>
      <c r="N125" s="8">
        <v>155.3766567046697</v>
      </c>
      <c r="O125" s="8">
        <v>152.64015013556696</v>
      </c>
      <c r="P125" s="8">
        <v>149.90364356646421</v>
      </c>
      <c r="Q125" s="8">
        <v>147.16713699736147</v>
      </c>
      <c r="R125" s="8">
        <v>144.43063042825872</v>
      </c>
      <c r="S125" s="8">
        <v>139.40905071785448</v>
      </c>
      <c r="T125" s="8">
        <v>134.38747100745024</v>
      </c>
      <c r="U125" s="8">
        <v>129.36589129704601</v>
      </c>
      <c r="V125" s="8">
        <v>124.34431158664177</v>
      </c>
      <c r="W125" s="8">
        <v>119.32273187623753</v>
      </c>
      <c r="X125" s="8">
        <v>112.11123250188217</v>
      </c>
      <c r="Y125" s="8">
        <v>104.89973312752682</v>
      </c>
      <c r="Z125" s="8">
        <v>97.68823375317146</v>
      </c>
      <c r="AA125" s="8">
        <v>90.47673437881609</v>
      </c>
      <c r="AB125" s="8">
        <v>83.265235004460735</v>
      </c>
      <c r="AC125" s="8">
        <v>74.128979017047456</v>
      </c>
      <c r="AD125" s="8">
        <v>64.992723029634192</v>
      </c>
      <c r="AE125" s="8">
        <v>55.856467042220913</v>
      </c>
      <c r="AF125" s="8">
        <v>46.720211054807635</v>
      </c>
      <c r="AG125" s="8">
        <v>37.583955067394363</v>
      </c>
      <c r="AH125" s="8">
        <v>29.197442218601182</v>
      </c>
      <c r="AI125" s="8">
        <v>20.810929369808004</v>
      </c>
      <c r="AJ125" s="8">
        <v>12.424416521014827</v>
      </c>
      <c r="AK125" s="8">
        <v>4.0379036722216455</v>
      </c>
      <c r="AL125" s="8">
        <v>-4.3486091765715393</v>
      </c>
      <c r="AM125" s="8">
        <v>-11.332650409640911</v>
      </c>
      <c r="AN125" s="8">
        <v>-18.316691642710282</v>
      </c>
      <c r="AO125" s="8">
        <v>-25.300732875779655</v>
      </c>
      <c r="AP125" s="8">
        <v>-32.284774108849021</v>
      </c>
      <c r="AQ125" s="8">
        <v>-39.268815341918391</v>
      </c>
      <c r="AR125" s="8">
        <v>-46.139152709010745</v>
      </c>
      <c r="AS125" s="8">
        <v>-53.009490076103106</v>
      </c>
      <c r="AT125" s="8">
        <v>-59.87982744319546</v>
      </c>
      <c r="AU125" s="8">
        <v>-66.750164810287814</v>
      </c>
      <c r="AV125" s="8">
        <v>-73.620502177380175</v>
      </c>
      <c r="AW125" s="8">
        <v>-75.200281823156899</v>
      </c>
      <c r="AX125" s="8">
        <v>-76.780061468933638</v>
      </c>
      <c r="AY125" s="8">
        <v>-78.359841114710363</v>
      </c>
      <c r="AZ125" s="8">
        <v>-79.939620760487102</v>
      </c>
      <c r="BA125" s="8">
        <v>-81.519400406263827</v>
      </c>
      <c r="BB125" s="10" t="s">
        <v>21</v>
      </c>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row>
    <row r="126" spans="2:80" x14ac:dyDescent="0.2">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10"/>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row>
    <row r="127" spans="2:80" x14ac:dyDescent="0.2">
      <c r="B127" s="1" t="s">
        <v>130</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10"/>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row>
    <row r="128" spans="2:80" x14ac:dyDescent="0.2">
      <c r="B128" s="5" t="s">
        <v>1</v>
      </c>
      <c r="C128" s="6">
        <v>2010</v>
      </c>
      <c r="D128" s="3">
        <v>2011</v>
      </c>
      <c r="E128" s="3">
        <v>2012</v>
      </c>
      <c r="F128" s="3">
        <v>2013</v>
      </c>
      <c r="G128" s="3">
        <v>2014</v>
      </c>
      <c r="H128" s="6">
        <v>2015</v>
      </c>
      <c r="I128" s="3">
        <v>2016</v>
      </c>
      <c r="J128" s="3">
        <v>2017</v>
      </c>
      <c r="K128" s="3">
        <v>2018</v>
      </c>
      <c r="L128" s="3">
        <v>2019</v>
      </c>
      <c r="M128" s="6">
        <v>2020</v>
      </c>
      <c r="N128" s="3">
        <v>2021</v>
      </c>
      <c r="O128" s="3">
        <v>2022</v>
      </c>
      <c r="P128" s="3">
        <v>2023</v>
      </c>
      <c r="Q128" s="3">
        <v>2024</v>
      </c>
      <c r="R128" s="6">
        <v>2025</v>
      </c>
      <c r="S128" s="3">
        <v>2026</v>
      </c>
      <c r="T128" s="3">
        <v>2027</v>
      </c>
      <c r="U128" s="3">
        <v>2028</v>
      </c>
      <c r="V128" s="3">
        <v>2029</v>
      </c>
      <c r="W128" s="6">
        <v>2030</v>
      </c>
      <c r="X128" s="3">
        <v>2031</v>
      </c>
      <c r="Y128" s="3">
        <v>2032</v>
      </c>
      <c r="Z128" s="3">
        <v>2033</v>
      </c>
      <c r="AA128" s="3">
        <v>2034</v>
      </c>
      <c r="AB128" s="6">
        <v>2035</v>
      </c>
      <c r="AC128" s="3">
        <v>2036</v>
      </c>
      <c r="AD128" s="3">
        <v>2037</v>
      </c>
      <c r="AE128" s="3">
        <v>2038</v>
      </c>
      <c r="AF128" s="3">
        <v>2039</v>
      </c>
      <c r="AG128" s="6">
        <v>2040</v>
      </c>
      <c r="AH128" s="3">
        <v>2041</v>
      </c>
      <c r="AI128" s="3">
        <v>2042</v>
      </c>
      <c r="AJ128" s="3">
        <v>2043</v>
      </c>
      <c r="AK128" s="3">
        <v>2044</v>
      </c>
      <c r="AL128" s="6">
        <v>2045</v>
      </c>
      <c r="AM128" s="3">
        <v>2046</v>
      </c>
      <c r="AN128" s="3">
        <v>2047</v>
      </c>
      <c r="AO128" s="3">
        <v>2048</v>
      </c>
      <c r="AP128" s="3">
        <v>2049</v>
      </c>
      <c r="AQ128" s="6">
        <v>2050</v>
      </c>
      <c r="AR128" s="3">
        <v>2051</v>
      </c>
      <c r="AS128" s="3">
        <v>2052</v>
      </c>
      <c r="AT128" s="3">
        <v>2053</v>
      </c>
      <c r="AU128" s="3">
        <v>2054</v>
      </c>
      <c r="AV128" s="6">
        <v>2055</v>
      </c>
      <c r="AW128" s="3">
        <v>2056</v>
      </c>
      <c r="AX128" s="3">
        <v>2057</v>
      </c>
      <c r="AY128" s="3">
        <v>2058</v>
      </c>
      <c r="AZ128" s="3">
        <v>2059</v>
      </c>
      <c r="BA128" s="6">
        <v>2060</v>
      </c>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row>
    <row r="129" spans="2:80" x14ac:dyDescent="0.2">
      <c r="B129" s="101" t="s">
        <v>2</v>
      </c>
      <c r="C129" s="8">
        <v>4097.036326984573</v>
      </c>
      <c r="D129" s="8">
        <v>4204.4806714984434</v>
      </c>
      <c r="E129" s="8">
        <v>4311.9250160123138</v>
      </c>
      <c r="F129" s="8">
        <v>4419.3693605261842</v>
      </c>
      <c r="G129" s="8">
        <v>4526.8137050400546</v>
      </c>
      <c r="H129" s="8">
        <v>4634.258049553926</v>
      </c>
      <c r="I129" s="8">
        <v>4569.204767241532</v>
      </c>
      <c r="J129" s="8">
        <v>4504.1514849291398</v>
      </c>
      <c r="K129" s="8">
        <v>4439.0982026167467</v>
      </c>
      <c r="L129" s="8">
        <v>4374.0449203043545</v>
      </c>
      <c r="M129" s="8">
        <v>4308.9916379919614</v>
      </c>
      <c r="N129" s="8">
        <v>4236.2234116791897</v>
      </c>
      <c r="O129" s="8">
        <v>4163.455185366417</v>
      </c>
      <c r="P129" s="8">
        <v>4090.6869590536444</v>
      </c>
      <c r="Q129" s="8">
        <v>4017.9187327408722</v>
      </c>
      <c r="R129" s="8">
        <v>3945.1505064281</v>
      </c>
      <c r="S129" s="8">
        <v>3828.7347521905385</v>
      </c>
      <c r="T129" s="8">
        <v>3712.3189979529784</v>
      </c>
      <c r="U129" s="8">
        <v>3595.9032437154174</v>
      </c>
      <c r="V129" s="8">
        <v>3479.4874894778568</v>
      </c>
      <c r="W129" s="8">
        <v>3363.0717352402958</v>
      </c>
      <c r="X129" s="8">
        <v>3247.3715179598312</v>
      </c>
      <c r="Y129" s="8">
        <v>3131.6713006793671</v>
      </c>
      <c r="Z129" s="8">
        <v>3015.971083398902</v>
      </c>
      <c r="AA129" s="8">
        <v>2900.2708661184374</v>
      </c>
      <c r="AB129" s="8">
        <v>2784.5706488379728</v>
      </c>
      <c r="AC129" s="8">
        <v>2681.7072124875949</v>
      </c>
      <c r="AD129" s="8">
        <v>2578.843776137217</v>
      </c>
      <c r="AE129" s="8">
        <v>2475.9803397868391</v>
      </c>
      <c r="AF129" s="8">
        <v>2373.1169034364607</v>
      </c>
      <c r="AG129" s="8">
        <v>2270.2534670860828</v>
      </c>
      <c r="AH129" s="8">
        <v>2193.221909459116</v>
      </c>
      <c r="AI129" s="8">
        <v>2116.1903518321496</v>
      </c>
      <c r="AJ129" s="8">
        <v>2039.1587942051826</v>
      </c>
      <c r="AK129" s="8">
        <v>1962.1272365782158</v>
      </c>
      <c r="AL129" s="8">
        <v>1885.0956789512493</v>
      </c>
      <c r="AM129" s="8">
        <v>1809.9481248183845</v>
      </c>
      <c r="AN129" s="8">
        <v>1734.8005706855195</v>
      </c>
      <c r="AO129" s="8">
        <v>1659.6530165526547</v>
      </c>
      <c r="AP129" s="8">
        <v>1584.5054624197896</v>
      </c>
      <c r="AQ129" s="8">
        <v>1509.3579082869248</v>
      </c>
      <c r="AR129" s="8">
        <v>1454.7431327354188</v>
      </c>
      <c r="AS129" s="8">
        <v>1400.1283571839128</v>
      </c>
      <c r="AT129" s="8">
        <v>1345.5135816324066</v>
      </c>
      <c r="AU129" s="8">
        <v>1290.8988060809006</v>
      </c>
      <c r="AV129" s="8">
        <v>1236.2840305293946</v>
      </c>
      <c r="AW129" s="8">
        <v>1208.4395902972369</v>
      </c>
      <c r="AX129" s="8">
        <v>1180.5951500650792</v>
      </c>
      <c r="AY129" s="8">
        <v>1152.7507098329215</v>
      </c>
      <c r="AZ129" s="8">
        <v>1124.9062696007641</v>
      </c>
      <c r="BA129" s="8">
        <v>1097.0618293686061</v>
      </c>
      <c r="BB129" s="102" t="s">
        <v>3</v>
      </c>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row>
    <row r="130" spans="2:80" x14ac:dyDescent="0.2">
      <c r="B130" s="101" t="s">
        <v>182</v>
      </c>
      <c r="C130" s="8">
        <v>298.01012888387208</v>
      </c>
      <c r="D130" s="8">
        <v>320.50720307883927</v>
      </c>
      <c r="E130" s="8">
        <v>343.00427727380651</v>
      </c>
      <c r="F130" s="8">
        <v>365.50135146877375</v>
      </c>
      <c r="G130" s="8">
        <v>387.99842566374099</v>
      </c>
      <c r="H130" s="8">
        <v>410.49549985870817</v>
      </c>
      <c r="I130" s="8">
        <v>387.07736572737178</v>
      </c>
      <c r="J130" s="8">
        <v>363.6592315960354</v>
      </c>
      <c r="K130" s="8">
        <v>340.24109746469901</v>
      </c>
      <c r="L130" s="8">
        <v>316.82296333336262</v>
      </c>
      <c r="M130" s="8">
        <v>293.40482920202624</v>
      </c>
      <c r="N130" s="8">
        <v>290.04903794378583</v>
      </c>
      <c r="O130" s="8">
        <v>286.69324668554538</v>
      </c>
      <c r="P130" s="8">
        <v>283.33745542730503</v>
      </c>
      <c r="Q130" s="8">
        <v>279.98166416906457</v>
      </c>
      <c r="R130" s="8">
        <v>276.62587291082417</v>
      </c>
      <c r="S130" s="8">
        <v>270.42445578996814</v>
      </c>
      <c r="T130" s="8">
        <v>264.2230386691121</v>
      </c>
      <c r="U130" s="8">
        <v>258.02162154825606</v>
      </c>
      <c r="V130" s="8">
        <v>251.82020442740006</v>
      </c>
      <c r="W130" s="8">
        <v>245.61878730654399</v>
      </c>
      <c r="X130" s="8">
        <v>228.82904849027378</v>
      </c>
      <c r="Y130" s="8">
        <v>212.03930967400353</v>
      </c>
      <c r="Z130" s="8">
        <v>195.24957085773332</v>
      </c>
      <c r="AA130" s="8">
        <v>178.45983204146313</v>
      </c>
      <c r="AB130" s="8">
        <v>161.67009322519289</v>
      </c>
      <c r="AC130" s="8">
        <v>132.03509091154973</v>
      </c>
      <c r="AD130" s="8">
        <v>102.4000885979066</v>
      </c>
      <c r="AE130" s="8">
        <v>72.765086284263461</v>
      </c>
      <c r="AF130" s="8">
        <v>43.130083970620319</v>
      </c>
      <c r="AG130" s="8">
        <v>13.495081656977177</v>
      </c>
      <c r="AH130" s="8">
        <v>10.874871512171513</v>
      </c>
      <c r="AI130" s="8">
        <v>8.2546613673658484</v>
      </c>
      <c r="AJ130" s="8">
        <v>5.6344512225601804</v>
      </c>
      <c r="AK130" s="8">
        <v>3.0142410777545159</v>
      </c>
      <c r="AL130" s="8">
        <v>0.39403093294885139</v>
      </c>
      <c r="AM130" s="8">
        <v>0.39121983672163196</v>
      </c>
      <c r="AN130" s="8">
        <v>0.38840874049441254</v>
      </c>
      <c r="AO130" s="8">
        <v>0.38559764426719312</v>
      </c>
      <c r="AP130" s="8">
        <v>0.3827865480399737</v>
      </c>
      <c r="AQ130" s="8">
        <v>0.37997545181275361</v>
      </c>
      <c r="AR130" s="8">
        <v>0.37774218907558144</v>
      </c>
      <c r="AS130" s="8">
        <v>0.37550892633840816</v>
      </c>
      <c r="AT130" s="8">
        <v>0.37327566360123576</v>
      </c>
      <c r="AU130" s="8">
        <v>0.37104240086406293</v>
      </c>
      <c r="AV130" s="8">
        <v>0.36880913812689009</v>
      </c>
      <c r="AW130" s="8">
        <v>0.36642303998682824</v>
      </c>
      <c r="AX130" s="8">
        <v>0.36403694184676638</v>
      </c>
      <c r="AY130" s="8">
        <v>0.36165084370670453</v>
      </c>
      <c r="AZ130" s="8">
        <v>0.35926474556664267</v>
      </c>
      <c r="BA130" s="8">
        <v>0.35687864742658082</v>
      </c>
      <c r="BB130" s="102" t="s">
        <v>3</v>
      </c>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row>
    <row r="131" spans="2:80" x14ac:dyDescent="0.2">
      <c r="B131" s="101" t="s">
        <v>165</v>
      </c>
      <c r="C131" s="8">
        <v>2675.7654277586544</v>
      </c>
      <c r="D131" s="8">
        <v>2737.7052060729866</v>
      </c>
      <c r="E131" s="8">
        <v>2799.6449843873193</v>
      </c>
      <c r="F131" s="8">
        <v>2861.5847627016519</v>
      </c>
      <c r="G131" s="8">
        <v>2923.5245410159841</v>
      </c>
      <c r="H131" s="8">
        <v>2985.4643193303164</v>
      </c>
      <c r="I131" s="8">
        <v>2953.497959271896</v>
      </c>
      <c r="J131" s="8">
        <v>2921.5315992134756</v>
      </c>
      <c r="K131" s="8">
        <v>2889.5652391550548</v>
      </c>
      <c r="L131" s="8">
        <v>2857.5988790966344</v>
      </c>
      <c r="M131" s="8">
        <v>2825.632519038214</v>
      </c>
      <c r="N131" s="8">
        <v>2766.226197795324</v>
      </c>
      <c r="O131" s="8">
        <v>2706.8198765524335</v>
      </c>
      <c r="P131" s="8">
        <v>2647.413555309543</v>
      </c>
      <c r="Q131" s="8">
        <v>2588.0072340666525</v>
      </c>
      <c r="R131" s="8">
        <v>2528.600912823762</v>
      </c>
      <c r="S131" s="8">
        <v>2428.3102817957115</v>
      </c>
      <c r="T131" s="8">
        <v>2328.019650767661</v>
      </c>
      <c r="U131" s="8">
        <v>2227.729019739611</v>
      </c>
      <c r="V131" s="8">
        <v>2127.43838871156</v>
      </c>
      <c r="W131" s="8">
        <v>2027.1477576835096</v>
      </c>
      <c r="X131" s="8">
        <v>1929.3525074446641</v>
      </c>
      <c r="Y131" s="8">
        <v>1831.5572572058184</v>
      </c>
      <c r="Z131" s="8">
        <v>1733.7620069669729</v>
      </c>
      <c r="AA131" s="8">
        <v>1635.9667567281272</v>
      </c>
      <c r="AB131" s="8">
        <v>1538.1715064892815</v>
      </c>
      <c r="AC131" s="8">
        <v>1471.2797418458933</v>
      </c>
      <c r="AD131" s="8">
        <v>1404.387977202505</v>
      </c>
      <c r="AE131" s="8">
        <v>1337.4962125591169</v>
      </c>
      <c r="AF131" s="8">
        <v>1270.6044479157288</v>
      </c>
      <c r="AG131" s="8">
        <v>1203.7126832723407</v>
      </c>
      <c r="AH131" s="8">
        <v>1142.6706443600369</v>
      </c>
      <c r="AI131" s="8">
        <v>1081.6286054477332</v>
      </c>
      <c r="AJ131" s="8">
        <v>1020.5865665354295</v>
      </c>
      <c r="AK131" s="8">
        <v>959.54452762312576</v>
      </c>
      <c r="AL131" s="8">
        <v>898.50248871082204</v>
      </c>
      <c r="AM131" s="8">
        <v>843.75066580485111</v>
      </c>
      <c r="AN131" s="8">
        <v>788.99884289888018</v>
      </c>
      <c r="AO131" s="8">
        <v>734.24701999290926</v>
      </c>
      <c r="AP131" s="8">
        <v>679.49519708693833</v>
      </c>
      <c r="AQ131" s="8">
        <v>624.74337418096729</v>
      </c>
      <c r="AR131" s="8">
        <v>587.44823807258933</v>
      </c>
      <c r="AS131" s="8">
        <v>550.15310196421126</v>
      </c>
      <c r="AT131" s="8">
        <v>512.85796585583319</v>
      </c>
      <c r="AU131" s="8">
        <v>475.56282974745523</v>
      </c>
      <c r="AV131" s="8">
        <v>438.26769363907715</v>
      </c>
      <c r="AW131" s="8">
        <v>414.29557427447793</v>
      </c>
      <c r="AX131" s="8">
        <v>390.32345490987871</v>
      </c>
      <c r="AY131" s="8">
        <v>366.35133554527948</v>
      </c>
      <c r="AZ131" s="8">
        <v>342.37921618068026</v>
      </c>
      <c r="BA131" s="8">
        <v>318.40709681608104</v>
      </c>
      <c r="BB131" s="102" t="s">
        <v>3</v>
      </c>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row>
    <row r="132" spans="2:80" x14ac:dyDescent="0.2">
      <c r="B132" s="101" t="s">
        <v>167</v>
      </c>
      <c r="C132" s="8">
        <v>213.83134285076284</v>
      </c>
      <c r="D132" s="8">
        <v>218.425863114631</v>
      </c>
      <c r="E132" s="8">
        <v>223.02038337849913</v>
      </c>
      <c r="F132" s="8">
        <v>227.61490364236732</v>
      </c>
      <c r="G132" s="8">
        <v>232.20942390623546</v>
      </c>
      <c r="H132" s="8">
        <v>236.80394417010365</v>
      </c>
      <c r="I132" s="8">
        <v>232.68874785266641</v>
      </c>
      <c r="J132" s="8">
        <v>228.57355153522911</v>
      </c>
      <c r="K132" s="8">
        <v>224.4583552177919</v>
      </c>
      <c r="L132" s="8">
        <v>220.34315890035461</v>
      </c>
      <c r="M132" s="8">
        <v>216.22796258291737</v>
      </c>
      <c r="N132" s="8">
        <v>213.51298621541193</v>
      </c>
      <c r="O132" s="8">
        <v>210.79800984790643</v>
      </c>
      <c r="P132" s="8">
        <v>208.08303348040096</v>
      </c>
      <c r="Q132" s="8">
        <v>205.36805711289549</v>
      </c>
      <c r="R132" s="8">
        <v>202.65308074538999</v>
      </c>
      <c r="S132" s="8">
        <v>202.10666726233086</v>
      </c>
      <c r="T132" s="8">
        <v>201.5602537792717</v>
      </c>
      <c r="U132" s="8">
        <v>201.01384029621255</v>
      </c>
      <c r="V132" s="8">
        <v>200.46742681315342</v>
      </c>
      <c r="W132" s="8">
        <v>199.9210133300943</v>
      </c>
      <c r="X132" s="8">
        <v>199.07500633819026</v>
      </c>
      <c r="Y132" s="8">
        <v>198.22899934628626</v>
      </c>
      <c r="Z132" s="8">
        <v>197.38299235438228</v>
      </c>
      <c r="AA132" s="8">
        <v>196.53698536247828</v>
      </c>
      <c r="AB132" s="8">
        <v>195.69097837057427</v>
      </c>
      <c r="AC132" s="8">
        <v>191.62524081420588</v>
      </c>
      <c r="AD132" s="8">
        <v>187.55950325783749</v>
      </c>
      <c r="AE132" s="8">
        <v>183.4937657014691</v>
      </c>
      <c r="AF132" s="8">
        <v>179.42802814510071</v>
      </c>
      <c r="AG132" s="8">
        <v>175.36229058873232</v>
      </c>
      <c r="AH132" s="8">
        <v>167.93997504003516</v>
      </c>
      <c r="AI132" s="8">
        <v>160.51765949133801</v>
      </c>
      <c r="AJ132" s="8">
        <v>153.09534394264085</v>
      </c>
      <c r="AK132" s="8">
        <v>145.67302839394367</v>
      </c>
      <c r="AL132" s="8">
        <v>138.25071284524651</v>
      </c>
      <c r="AM132" s="8">
        <v>131.3686410753823</v>
      </c>
      <c r="AN132" s="8">
        <v>124.48656930551809</v>
      </c>
      <c r="AO132" s="8">
        <v>117.60449753565389</v>
      </c>
      <c r="AP132" s="8">
        <v>110.72242576578968</v>
      </c>
      <c r="AQ132" s="8">
        <v>103.84035399592548</v>
      </c>
      <c r="AR132" s="8">
        <v>98.277704960609555</v>
      </c>
      <c r="AS132" s="8">
        <v>92.715055925293655</v>
      </c>
      <c r="AT132" s="8">
        <v>87.152406889977755</v>
      </c>
      <c r="AU132" s="8">
        <v>81.58975785466184</v>
      </c>
      <c r="AV132" s="8">
        <v>76.027108819345926</v>
      </c>
      <c r="AW132" s="8">
        <v>71.602737554617605</v>
      </c>
      <c r="AX132" s="8">
        <v>67.178366289889283</v>
      </c>
      <c r="AY132" s="8">
        <v>62.753995025160954</v>
      </c>
      <c r="AZ132" s="8">
        <v>58.329623760432625</v>
      </c>
      <c r="BA132" s="8">
        <v>53.905252495704303</v>
      </c>
      <c r="BB132" s="102" t="s">
        <v>3</v>
      </c>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row>
    <row r="133" spans="2:80" x14ac:dyDescent="0.2">
      <c r="B133" s="101" t="s">
        <v>166</v>
      </c>
      <c r="C133" s="8">
        <v>158.27941320090707</v>
      </c>
      <c r="D133" s="8">
        <v>161.23018207805353</v>
      </c>
      <c r="E133" s="8">
        <v>164.18095095519999</v>
      </c>
      <c r="F133" s="8">
        <v>167.13171983234648</v>
      </c>
      <c r="G133" s="8">
        <v>170.08248870949294</v>
      </c>
      <c r="H133" s="8">
        <v>173.03325758663939</v>
      </c>
      <c r="I133" s="8">
        <v>170.24351440493362</v>
      </c>
      <c r="J133" s="8">
        <v>167.45377122322787</v>
      </c>
      <c r="K133" s="8">
        <v>164.6640280415221</v>
      </c>
      <c r="L133" s="8">
        <v>161.87428485981636</v>
      </c>
      <c r="M133" s="8">
        <v>159.08454167811061</v>
      </c>
      <c r="N133" s="8">
        <v>158.37595669360635</v>
      </c>
      <c r="O133" s="8">
        <v>157.66737170910213</v>
      </c>
      <c r="P133" s="8">
        <v>156.95878672459787</v>
      </c>
      <c r="Q133" s="8">
        <v>156.25020174009364</v>
      </c>
      <c r="R133" s="8">
        <v>155.54161675558939</v>
      </c>
      <c r="S133" s="8">
        <v>154.63374615855184</v>
      </c>
      <c r="T133" s="8">
        <v>153.72587556151433</v>
      </c>
      <c r="U133" s="8">
        <v>152.81800496447678</v>
      </c>
      <c r="V133" s="8">
        <v>151.91013436743927</v>
      </c>
      <c r="W133" s="8">
        <v>151.00226377040173</v>
      </c>
      <c r="X133" s="8">
        <v>149.59877744609344</v>
      </c>
      <c r="Y133" s="8">
        <v>148.19529112178512</v>
      </c>
      <c r="Z133" s="8">
        <v>146.7918047974768</v>
      </c>
      <c r="AA133" s="8">
        <v>145.38831847316848</v>
      </c>
      <c r="AB133" s="8">
        <v>143.98483214886016</v>
      </c>
      <c r="AC133" s="8">
        <v>140.77110307269828</v>
      </c>
      <c r="AD133" s="8">
        <v>137.5573739965364</v>
      </c>
      <c r="AE133" s="8">
        <v>134.34364492037449</v>
      </c>
      <c r="AF133" s="8">
        <v>131.1299158442126</v>
      </c>
      <c r="AG133" s="8">
        <v>127.91618676805069</v>
      </c>
      <c r="AH133" s="8">
        <v>122.47938321059499</v>
      </c>
      <c r="AI133" s="8">
        <v>117.04257965313927</v>
      </c>
      <c r="AJ133" s="8">
        <v>111.60577609568357</v>
      </c>
      <c r="AK133" s="8">
        <v>106.16897253822788</v>
      </c>
      <c r="AL133" s="8">
        <v>100.73216898077216</v>
      </c>
      <c r="AM133" s="8">
        <v>94.842142031910811</v>
      </c>
      <c r="AN133" s="8">
        <v>88.952115083049449</v>
      </c>
      <c r="AO133" s="8">
        <v>83.062088134188102</v>
      </c>
      <c r="AP133" s="8">
        <v>77.172061185326754</v>
      </c>
      <c r="AQ133" s="8">
        <v>71.282034236465392</v>
      </c>
      <c r="AR133" s="8">
        <v>67.013593274492095</v>
      </c>
      <c r="AS133" s="8">
        <v>62.745152312518812</v>
      </c>
      <c r="AT133" s="8">
        <v>58.476711350545528</v>
      </c>
      <c r="AU133" s="8">
        <v>54.208270388572238</v>
      </c>
      <c r="AV133" s="8">
        <v>49.939829426598948</v>
      </c>
      <c r="AW133" s="8">
        <v>46.518303691302833</v>
      </c>
      <c r="AX133" s="8">
        <v>43.096777956006733</v>
      </c>
      <c r="AY133" s="8">
        <v>39.675252220710618</v>
      </c>
      <c r="AZ133" s="8">
        <v>36.253726485414504</v>
      </c>
      <c r="BA133" s="8">
        <v>32.832200750118396</v>
      </c>
      <c r="BB133" s="102" t="s">
        <v>3</v>
      </c>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row>
    <row r="134" spans="2:80" x14ac:dyDescent="0.2">
      <c r="B134" s="101" t="s">
        <v>168</v>
      </c>
      <c r="C134" s="8">
        <v>372.11075605166991</v>
      </c>
      <c r="D134" s="8">
        <v>379.65604519268453</v>
      </c>
      <c r="E134" s="8">
        <v>387.20133433369915</v>
      </c>
      <c r="F134" s="8">
        <v>394.74662347471383</v>
      </c>
      <c r="G134" s="8">
        <v>402.29191261572839</v>
      </c>
      <c r="H134" s="8">
        <v>409.83720175674307</v>
      </c>
      <c r="I134" s="8">
        <v>402.93325231622759</v>
      </c>
      <c r="J134" s="8">
        <v>396.02930287571212</v>
      </c>
      <c r="K134" s="8">
        <v>389.12535343519653</v>
      </c>
      <c r="L134" s="8">
        <v>382.22140399468105</v>
      </c>
      <c r="M134" s="8">
        <v>375.31745455416558</v>
      </c>
      <c r="N134" s="8">
        <v>371.8984207368037</v>
      </c>
      <c r="O134" s="8">
        <v>368.47938691944182</v>
      </c>
      <c r="P134" s="8">
        <v>365.06035310207994</v>
      </c>
      <c r="Q134" s="8">
        <v>361.64131928471807</v>
      </c>
      <c r="R134" s="8">
        <v>358.22228546735619</v>
      </c>
      <c r="S134" s="8">
        <v>356.77287450945835</v>
      </c>
      <c r="T134" s="8">
        <v>355.32346355156051</v>
      </c>
      <c r="U134" s="8">
        <v>353.87405259366267</v>
      </c>
      <c r="V134" s="8">
        <v>352.42464163576483</v>
      </c>
      <c r="W134" s="8">
        <v>350.97523067786699</v>
      </c>
      <c r="X134" s="8">
        <v>348.7304293125124</v>
      </c>
      <c r="Y134" s="8">
        <v>346.48562794715781</v>
      </c>
      <c r="Z134" s="8">
        <v>344.24082658180322</v>
      </c>
      <c r="AA134" s="8">
        <v>341.99602521644857</v>
      </c>
      <c r="AB134" s="8">
        <v>339.75122385109398</v>
      </c>
      <c r="AC134" s="8">
        <v>332.47240271545149</v>
      </c>
      <c r="AD134" s="8">
        <v>325.19358157980901</v>
      </c>
      <c r="AE134" s="8">
        <v>317.91476044416652</v>
      </c>
      <c r="AF134" s="8">
        <v>310.63593930852403</v>
      </c>
      <c r="AG134" s="8">
        <v>303.35711817288154</v>
      </c>
      <c r="AH134" s="8">
        <v>290.49224220317473</v>
      </c>
      <c r="AI134" s="8">
        <v>277.62736623346802</v>
      </c>
      <c r="AJ134" s="8">
        <v>264.76249026376126</v>
      </c>
      <c r="AK134" s="8">
        <v>251.89761429405448</v>
      </c>
      <c r="AL134" s="8">
        <v>239.03273832434775</v>
      </c>
      <c r="AM134" s="8">
        <v>226.25545735085541</v>
      </c>
      <c r="AN134" s="8">
        <v>213.47817637736307</v>
      </c>
      <c r="AO134" s="8">
        <v>200.70089540387073</v>
      </c>
      <c r="AP134" s="8">
        <v>187.92361443037839</v>
      </c>
      <c r="AQ134" s="8">
        <v>175.14633345688605</v>
      </c>
      <c r="AR134" s="8">
        <v>165.31261691968911</v>
      </c>
      <c r="AS134" s="8">
        <v>155.47890038249218</v>
      </c>
      <c r="AT134" s="8">
        <v>145.64518384529524</v>
      </c>
      <c r="AU134" s="8">
        <v>135.81146730809829</v>
      </c>
      <c r="AV134" s="8">
        <v>125.97775077090134</v>
      </c>
      <c r="AW134" s="8">
        <v>118.13131361074483</v>
      </c>
      <c r="AX134" s="8">
        <v>110.2848764505883</v>
      </c>
      <c r="AY134" s="8">
        <v>102.43843929043177</v>
      </c>
      <c r="AZ134" s="8">
        <v>94.592002130275247</v>
      </c>
      <c r="BA134" s="8">
        <v>86.745564970118721</v>
      </c>
      <c r="BB134" s="102" t="s">
        <v>3</v>
      </c>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row>
    <row r="135" spans="2:80" x14ac:dyDescent="0.2">
      <c r="B135" s="101" t="s">
        <v>169</v>
      </c>
      <c r="C135" s="8">
        <v>13.792873779528733</v>
      </c>
      <c r="D135" s="8">
        <v>14.000895234558897</v>
      </c>
      <c r="E135" s="8">
        <v>14.20891668958906</v>
      </c>
      <c r="F135" s="8">
        <v>14.416938144619223</v>
      </c>
      <c r="G135" s="8">
        <v>14.624959599649387</v>
      </c>
      <c r="H135" s="8">
        <v>14.83298105467955</v>
      </c>
      <c r="I135" s="8">
        <v>14.642419139943584</v>
      </c>
      <c r="J135" s="8">
        <v>14.451857225207632</v>
      </c>
      <c r="K135" s="8">
        <v>14.261295310471652</v>
      </c>
      <c r="L135" s="8">
        <v>14.070733395735701</v>
      </c>
      <c r="M135" s="8">
        <v>13.880171480999735</v>
      </c>
      <c r="N135" s="8">
        <v>13.582416024340205</v>
      </c>
      <c r="O135" s="8">
        <v>13.28466056768066</v>
      </c>
      <c r="P135" s="8">
        <v>12.986905111021116</v>
      </c>
      <c r="Q135" s="8">
        <v>12.689149654361572</v>
      </c>
      <c r="R135" s="8">
        <v>12.391394197702041</v>
      </c>
      <c r="S135" s="8">
        <v>11.991069205982868</v>
      </c>
      <c r="T135" s="8">
        <v>11.590744214263694</v>
      </c>
      <c r="U135" s="8">
        <v>11.190419222544548</v>
      </c>
      <c r="V135" s="8">
        <v>10.790094230825375</v>
      </c>
      <c r="W135" s="8">
        <v>10.389769239106201</v>
      </c>
      <c r="X135" s="8">
        <v>9.8031247914884432</v>
      </c>
      <c r="Y135" s="8">
        <v>9.2164803438706784</v>
      </c>
      <c r="Z135" s="8">
        <v>8.6298358962529207</v>
      </c>
      <c r="AA135" s="8">
        <v>8.0431914486351701</v>
      </c>
      <c r="AB135" s="8">
        <v>7.4565470010174053</v>
      </c>
      <c r="AC135" s="8">
        <v>6.5232404848201497</v>
      </c>
      <c r="AD135" s="8">
        <v>5.5899339686228871</v>
      </c>
      <c r="AE135" s="8">
        <v>4.6566274524256315</v>
      </c>
      <c r="AF135" s="8">
        <v>3.7233209362283688</v>
      </c>
      <c r="AG135" s="8">
        <v>2.7900144200311061</v>
      </c>
      <c r="AH135" s="8">
        <v>2.7058681674760834</v>
      </c>
      <c r="AI135" s="8">
        <v>2.6217219149210642</v>
      </c>
      <c r="AJ135" s="8">
        <v>2.5375756623660379</v>
      </c>
      <c r="AK135" s="8">
        <v>2.4534294098110188</v>
      </c>
      <c r="AL135" s="8">
        <v>2.3692831572560014</v>
      </c>
      <c r="AM135" s="8">
        <v>2.2516933005090802</v>
      </c>
      <c r="AN135" s="8">
        <v>2.1341034437621591</v>
      </c>
      <c r="AO135" s="8">
        <v>2.0165135870152415</v>
      </c>
      <c r="AP135" s="8">
        <v>1.8989237302683168</v>
      </c>
      <c r="AQ135" s="8">
        <v>1.7813338735213922</v>
      </c>
      <c r="AR135" s="8">
        <v>1.6232235741119609</v>
      </c>
      <c r="AS135" s="8">
        <v>1.4651132747025315</v>
      </c>
      <c r="AT135" s="8">
        <v>1.3070029752930985</v>
      </c>
      <c r="AU135" s="8">
        <v>1.1488926758836655</v>
      </c>
      <c r="AV135" s="8">
        <v>0.99078237647423606</v>
      </c>
      <c r="AW135" s="8">
        <v>0.79262590355828877</v>
      </c>
      <c r="AX135" s="8">
        <v>0.59446943064234858</v>
      </c>
      <c r="AY135" s="8">
        <v>0.3963129577264084</v>
      </c>
      <c r="AZ135" s="8">
        <v>0.19815648481046821</v>
      </c>
      <c r="BA135" s="8">
        <v>1.1894520923760865E-8</v>
      </c>
      <c r="BB135" s="102" t="s">
        <v>3</v>
      </c>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row>
    <row r="136" spans="2:80" x14ac:dyDescent="0.2">
      <c r="B136" s="101" t="s">
        <v>170</v>
      </c>
      <c r="C136" s="8">
        <v>0</v>
      </c>
      <c r="D136" s="8">
        <v>0</v>
      </c>
      <c r="E136" s="8">
        <v>0</v>
      </c>
      <c r="F136" s="8">
        <v>0</v>
      </c>
      <c r="G136" s="8">
        <v>0</v>
      </c>
      <c r="H136" s="8">
        <v>0</v>
      </c>
      <c r="I136" s="8">
        <v>0</v>
      </c>
      <c r="J136" s="8">
        <v>0</v>
      </c>
      <c r="K136" s="8">
        <v>0</v>
      </c>
      <c r="L136" s="8">
        <v>0</v>
      </c>
      <c r="M136" s="8">
        <v>0</v>
      </c>
      <c r="N136" s="8">
        <v>0</v>
      </c>
      <c r="O136" s="8">
        <v>0</v>
      </c>
      <c r="P136" s="8">
        <v>0</v>
      </c>
      <c r="Q136" s="8">
        <v>0</v>
      </c>
      <c r="R136" s="8">
        <v>0</v>
      </c>
      <c r="S136" s="8">
        <v>0</v>
      </c>
      <c r="T136" s="8">
        <v>0</v>
      </c>
      <c r="U136" s="8">
        <v>0</v>
      </c>
      <c r="V136" s="8">
        <v>0</v>
      </c>
      <c r="W136" s="8">
        <v>0</v>
      </c>
      <c r="X136" s="8">
        <v>0</v>
      </c>
      <c r="Y136" s="8">
        <v>0</v>
      </c>
      <c r="Z136" s="8">
        <v>0</v>
      </c>
      <c r="AA136" s="8">
        <v>0</v>
      </c>
      <c r="AB136" s="8">
        <v>0</v>
      </c>
      <c r="AC136" s="8">
        <v>0</v>
      </c>
      <c r="AD136" s="8">
        <v>0</v>
      </c>
      <c r="AE136" s="8">
        <v>0</v>
      </c>
      <c r="AF136" s="8">
        <v>0</v>
      </c>
      <c r="AG136" s="8">
        <v>0</v>
      </c>
      <c r="AH136" s="8">
        <v>0</v>
      </c>
      <c r="AI136" s="8">
        <v>0</v>
      </c>
      <c r="AJ136" s="8">
        <v>0</v>
      </c>
      <c r="AK136" s="8">
        <v>0</v>
      </c>
      <c r="AL136" s="8">
        <v>0</v>
      </c>
      <c r="AM136" s="8">
        <v>0</v>
      </c>
      <c r="AN136" s="8">
        <v>0</v>
      </c>
      <c r="AO136" s="8">
        <v>0</v>
      </c>
      <c r="AP136" s="8">
        <v>0</v>
      </c>
      <c r="AQ136" s="8">
        <v>0</v>
      </c>
      <c r="AR136" s="8">
        <v>0</v>
      </c>
      <c r="AS136" s="8">
        <v>0</v>
      </c>
      <c r="AT136" s="8">
        <v>0</v>
      </c>
      <c r="AU136" s="8">
        <v>0</v>
      </c>
      <c r="AV136" s="8">
        <v>0</v>
      </c>
      <c r="AW136" s="8">
        <v>0</v>
      </c>
      <c r="AX136" s="8">
        <v>0</v>
      </c>
      <c r="AY136" s="8">
        <v>0</v>
      </c>
      <c r="AZ136" s="8">
        <v>0</v>
      </c>
      <c r="BA136" s="8">
        <v>0</v>
      </c>
      <c r="BB136" s="102" t="s">
        <v>3</v>
      </c>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row>
    <row r="137" spans="2:80" x14ac:dyDescent="0.2">
      <c r="B137" s="101" t="s">
        <v>171</v>
      </c>
      <c r="C137" s="8">
        <v>49.743265199999996</v>
      </c>
      <c r="D137" s="8">
        <v>50.145492539999999</v>
      </c>
      <c r="E137" s="8">
        <v>50.54771988000001</v>
      </c>
      <c r="F137" s="8">
        <v>50.949947219999999</v>
      </c>
      <c r="G137" s="8">
        <v>51.352174559999995</v>
      </c>
      <c r="H137" s="8">
        <v>51.754401900000005</v>
      </c>
      <c r="I137" s="8">
        <v>50.811846960000004</v>
      </c>
      <c r="J137" s="8">
        <v>49.869292020000003</v>
      </c>
      <c r="K137" s="8">
        <v>48.926737079999995</v>
      </c>
      <c r="L137" s="8">
        <v>47.984182140000001</v>
      </c>
      <c r="M137" s="8">
        <v>47.041627199999994</v>
      </c>
      <c r="N137" s="8">
        <v>46.607598339999996</v>
      </c>
      <c r="O137" s="8">
        <v>46.173569479999998</v>
      </c>
      <c r="P137" s="8">
        <v>45.73954062</v>
      </c>
      <c r="Q137" s="8">
        <v>45.305511760000002</v>
      </c>
      <c r="R137" s="8">
        <v>44.871482899999997</v>
      </c>
      <c r="S137" s="8">
        <v>43.758946879999996</v>
      </c>
      <c r="T137" s="8">
        <v>42.646410860000003</v>
      </c>
      <c r="U137" s="8">
        <v>41.533874839999996</v>
      </c>
      <c r="V137" s="8">
        <v>40.421338820000003</v>
      </c>
      <c r="W137" s="8">
        <v>39.308802799999995</v>
      </c>
      <c r="X137" s="8">
        <v>37.795996180000003</v>
      </c>
      <c r="Y137" s="8">
        <v>36.283189559999997</v>
      </c>
      <c r="Z137" s="8">
        <v>34.770382939999998</v>
      </c>
      <c r="AA137" s="8">
        <v>33.257576319999998</v>
      </c>
      <c r="AB137" s="8">
        <v>31.744769699999999</v>
      </c>
      <c r="AC137" s="8">
        <v>29.825250156000003</v>
      </c>
      <c r="AD137" s="8">
        <v>27.905730612000003</v>
      </c>
      <c r="AE137" s="8">
        <v>25.986211068000003</v>
      </c>
      <c r="AF137" s="8">
        <v>24.066691523999999</v>
      </c>
      <c r="AG137" s="8">
        <v>22.147171980000003</v>
      </c>
      <c r="AH137" s="8">
        <v>19.749242032000002</v>
      </c>
      <c r="AI137" s="8">
        <v>17.351312084000003</v>
      </c>
      <c r="AJ137" s="8">
        <v>14.953382136</v>
      </c>
      <c r="AK137" s="8">
        <v>12.555452188</v>
      </c>
      <c r="AL137" s="8">
        <v>10.15752224</v>
      </c>
      <c r="AM137" s="8">
        <v>6.261134418000001</v>
      </c>
      <c r="AN137" s="8">
        <v>2.3647465960000007</v>
      </c>
      <c r="AO137" s="8">
        <v>-1.5316412259999996</v>
      </c>
      <c r="AP137" s="8">
        <v>-5.4280290479999991</v>
      </c>
      <c r="AQ137" s="8">
        <v>-9.3244168700000003</v>
      </c>
      <c r="AR137" s="8">
        <v>-12.428109772000001</v>
      </c>
      <c r="AS137" s="8">
        <v>-15.531802674000001</v>
      </c>
      <c r="AT137" s="8">
        <v>-18.635495576</v>
      </c>
      <c r="AU137" s="8">
        <v>-21.739188477999999</v>
      </c>
      <c r="AV137" s="8">
        <v>-24.842881379999998</v>
      </c>
      <c r="AW137" s="8">
        <v>-26.090654086379999</v>
      </c>
      <c r="AX137" s="8">
        <v>-27.33842679276</v>
      </c>
      <c r="AY137" s="8">
        <v>-28.586199499140001</v>
      </c>
      <c r="AZ137" s="8">
        <v>-29.833972205519999</v>
      </c>
      <c r="BA137" s="8">
        <v>-31.0817449119</v>
      </c>
      <c r="BB137" s="102" t="s">
        <v>3</v>
      </c>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row>
    <row r="138" spans="2:80" x14ac:dyDescent="0.2">
      <c r="B138" s="101" t="s">
        <v>107</v>
      </c>
      <c r="C138" s="8">
        <v>737.35714051084801</v>
      </c>
      <c r="D138" s="8">
        <v>752.61132191937418</v>
      </c>
      <c r="E138" s="8">
        <v>767.86550332790023</v>
      </c>
      <c r="F138" s="8">
        <v>783.11968473642639</v>
      </c>
      <c r="G138" s="8">
        <v>798.37386614495244</v>
      </c>
      <c r="H138" s="8">
        <v>813.62804755347861</v>
      </c>
      <c r="I138" s="8">
        <v>811.05321538010855</v>
      </c>
      <c r="J138" s="8">
        <v>808.4783832067385</v>
      </c>
      <c r="K138" s="8">
        <v>805.90355103336856</v>
      </c>
      <c r="L138" s="8">
        <v>803.32871885999839</v>
      </c>
      <c r="M138" s="8">
        <v>800.75388668662833</v>
      </c>
      <c r="N138" s="8">
        <v>794.46181815577802</v>
      </c>
      <c r="O138" s="8">
        <v>788.16974962492759</v>
      </c>
      <c r="P138" s="8">
        <v>781.87768109407716</v>
      </c>
      <c r="Q138" s="8">
        <v>775.58561256322685</v>
      </c>
      <c r="R138" s="8">
        <v>769.29354403237653</v>
      </c>
      <c r="S138" s="8">
        <v>761.20983967049892</v>
      </c>
      <c r="T138" s="8">
        <v>753.12613530862143</v>
      </c>
      <c r="U138" s="8">
        <v>745.04243094674382</v>
      </c>
      <c r="V138" s="8">
        <v>736.95872658486633</v>
      </c>
      <c r="W138" s="8">
        <v>728.87502222298883</v>
      </c>
      <c r="X138" s="8">
        <v>730.52900565173218</v>
      </c>
      <c r="Y138" s="8">
        <v>732.18298908047564</v>
      </c>
      <c r="Z138" s="8">
        <v>733.83697250921898</v>
      </c>
      <c r="AA138" s="8">
        <v>735.49095593796244</v>
      </c>
      <c r="AB138" s="8">
        <v>737.14493936670578</v>
      </c>
      <c r="AC138" s="8">
        <v>738.86858359437485</v>
      </c>
      <c r="AD138" s="8">
        <v>740.59222782204392</v>
      </c>
      <c r="AE138" s="8">
        <v>742.31587204971288</v>
      </c>
      <c r="AF138" s="8">
        <v>744.03951627738195</v>
      </c>
      <c r="AG138" s="8">
        <v>745.76316050505102</v>
      </c>
      <c r="AH138" s="8">
        <v>745.06536185418031</v>
      </c>
      <c r="AI138" s="8">
        <v>744.3675632033096</v>
      </c>
      <c r="AJ138" s="8">
        <v>743.66976455243912</v>
      </c>
      <c r="AK138" s="8">
        <v>742.97196590156841</v>
      </c>
      <c r="AL138" s="8">
        <v>742.2741672506977</v>
      </c>
      <c r="AM138" s="8">
        <v>734.30975493883625</v>
      </c>
      <c r="AN138" s="8">
        <v>726.3453426269748</v>
      </c>
      <c r="AO138" s="8">
        <v>718.38093031511335</v>
      </c>
      <c r="AP138" s="8">
        <v>710.41651800325189</v>
      </c>
      <c r="AQ138" s="8">
        <v>702.45210569139044</v>
      </c>
      <c r="AR138" s="8">
        <v>694.84717020205107</v>
      </c>
      <c r="AS138" s="8">
        <v>687.24223471271182</v>
      </c>
      <c r="AT138" s="8">
        <v>679.63729922337245</v>
      </c>
      <c r="AU138" s="8">
        <v>672.0323637340332</v>
      </c>
      <c r="AV138" s="8">
        <v>664.42742824469383</v>
      </c>
      <c r="AW138" s="8">
        <v>668.46732810305616</v>
      </c>
      <c r="AX138" s="8">
        <v>672.50722796141849</v>
      </c>
      <c r="AY138" s="8">
        <v>676.54712781978083</v>
      </c>
      <c r="AZ138" s="8">
        <v>680.58702767814316</v>
      </c>
      <c r="BA138" s="8">
        <v>684.62692753650549</v>
      </c>
      <c r="BB138" s="102" t="s">
        <v>3</v>
      </c>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row>
    <row r="139" spans="2:80" x14ac:dyDescent="0.2">
      <c r="B139" s="101" t="s">
        <v>8</v>
      </c>
      <c r="C139" s="8">
        <v>2862.1807868983256</v>
      </c>
      <c r="D139" s="8">
        <v>2946.7965898778443</v>
      </c>
      <c r="E139" s="8">
        <v>3031.4123928573626</v>
      </c>
      <c r="F139" s="8">
        <v>3116.0281958368814</v>
      </c>
      <c r="G139" s="8">
        <v>3200.6439988163993</v>
      </c>
      <c r="H139" s="8">
        <v>3285.2598017959181</v>
      </c>
      <c r="I139" s="8">
        <v>3303.2106171094897</v>
      </c>
      <c r="J139" s="8">
        <v>3321.1614324230613</v>
      </c>
      <c r="K139" s="8">
        <v>3339.112247736633</v>
      </c>
      <c r="L139" s="8">
        <v>3357.0630630502046</v>
      </c>
      <c r="M139" s="8">
        <v>3375.0138783637758</v>
      </c>
      <c r="N139" s="8">
        <v>3376.9141658363396</v>
      </c>
      <c r="O139" s="8">
        <v>3378.8144533089035</v>
      </c>
      <c r="P139" s="8">
        <v>3380.7147407814673</v>
      </c>
      <c r="Q139" s="8">
        <v>3382.6150282540307</v>
      </c>
      <c r="R139" s="8">
        <v>3384.515315726595</v>
      </c>
      <c r="S139" s="8">
        <v>3372.9288962825326</v>
      </c>
      <c r="T139" s="8">
        <v>3361.3424768384712</v>
      </c>
      <c r="U139" s="8">
        <v>3349.7560573944093</v>
      </c>
      <c r="V139" s="8">
        <v>3338.1696379503478</v>
      </c>
      <c r="W139" s="8">
        <v>3326.5832185062854</v>
      </c>
      <c r="X139" s="8">
        <v>3293.4330016599006</v>
      </c>
      <c r="Y139" s="8">
        <v>3260.2827848135153</v>
      </c>
      <c r="Z139" s="8">
        <v>3227.1325679671299</v>
      </c>
      <c r="AA139" s="8">
        <v>3193.9823511207446</v>
      </c>
      <c r="AB139" s="8">
        <v>3160.8321342743593</v>
      </c>
      <c r="AC139" s="8">
        <v>3110.7471685298688</v>
      </c>
      <c r="AD139" s="8">
        <v>3060.6622027853787</v>
      </c>
      <c r="AE139" s="8">
        <v>3010.5772370408881</v>
      </c>
      <c r="AF139" s="8">
        <v>2960.492271296398</v>
      </c>
      <c r="AG139" s="8">
        <v>2910.4073055519075</v>
      </c>
      <c r="AH139" s="8">
        <v>2860.5169729980435</v>
      </c>
      <c r="AI139" s="8">
        <v>2810.6266404441799</v>
      </c>
      <c r="AJ139" s="8">
        <v>2760.7363078903159</v>
      </c>
      <c r="AK139" s="8">
        <v>2710.8459753364523</v>
      </c>
      <c r="AL139" s="8">
        <v>2660.9556427825883</v>
      </c>
      <c r="AM139" s="8">
        <v>2611.2175463863887</v>
      </c>
      <c r="AN139" s="8">
        <v>2561.4794499901891</v>
      </c>
      <c r="AO139" s="8">
        <v>2511.7413535939895</v>
      </c>
      <c r="AP139" s="8">
        <v>2462.0032571977899</v>
      </c>
      <c r="AQ139" s="8">
        <v>2412.2651608015908</v>
      </c>
      <c r="AR139" s="8">
        <v>2355.5144132738906</v>
      </c>
      <c r="AS139" s="8">
        <v>2298.7636657461908</v>
      </c>
      <c r="AT139" s="8">
        <v>2242.0129182184905</v>
      </c>
      <c r="AU139" s="8">
        <v>2185.2621706907903</v>
      </c>
      <c r="AV139" s="8">
        <v>2128.5114231630905</v>
      </c>
      <c r="AW139" s="8">
        <v>2082.9208360335965</v>
      </c>
      <c r="AX139" s="8">
        <v>2037.3302489041025</v>
      </c>
      <c r="AY139" s="8">
        <v>1991.7396617746085</v>
      </c>
      <c r="AZ139" s="8">
        <v>1946.1490746451145</v>
      </c>
      <c r="BA139" s="8">
        <v>1900.5584875156205</v>
      </c>
      <c r="BB139" s="102" t="s">
        <v>3</v>
      </c>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row>
    <row r="140" spans="2:80" x14ac:dyDescent="0.2">
      <c r="B140" s="101" t="s">
        <v>181</v>
      </c>
      <c r="C140" s="8">
        <v>0.97432858847296644</v>
      </c>
      <c r="D140" s="8">
        <v>1.047062461982087</v>
      </c>
      <c r="E140" s="8">
        <v>1.1197963354912075</v>
      </c>
      <c r="F140" s="8">
        <v>1.1925302090003282</v>
      </c>
      <c r="G140" s="8">
        <v>1.2652640825094486</v>
      </c>
      <c r="H140" s="8">
        <v>1.3379979560185693</v>
      </c>
      <c r="I140" s="8">
        <v>1.2953609271966504</v>
      </c>
      <c r="J140" s="8">
        <v>1.2527238983747315</v>
      </c>
      <c r="K140" s="8">
        <v>1.2100868695528124</v>
      </c>
      <c r="L140" s="8">
        <v>1.1674498407308935</v>
      </c>
      <c r="M140" s="8">
        <v>1.1248128119089746</v>
      </c>
      <c r="N140" s="8">
        <v>1.0904254394549922</v>
      </c>
      <c r="O140" s="8">
        <v>1.0560380670010097</v>
      </c>
      <c r="P140" s="8">
        <v>1.0216506945470272</v>
      </c>
      <c r="Q140" s="8">
        <v>0.98726332209304468</v>
      </c>
      <c r="R140" s="8">
        <v>0.95287594963906197</v>
      </c>
      <c r="S140" s="8">
        <v>0.91714998761232969</v>
      </c>
      <c r="T140" s="8">
        <v>0.88142402558559763</v>
      </c>
      <c r="U140" s="8">
        <v>0.84569806355886534</v>
      </c>
      <c r="V140" s="8">
        <v>0.80997210153213306</v>
      </c>
      <c r="W140" s="8">
        <v>0.77424613950540089</v>
      </c>
      <c r="X140" s="8">
        <v>0.72120693160077265</v>
      </c>
      <c r="Y140" s="8">
        <v>0.66816772369614452</v>
      </c>
      <c r="Z140" s="8">
        <v>0.61512851579151617</v>
      </c>
      <c r="AA140" s="8">
        <v>0.56208930788688805</v>
      </c>
      <c r="AB140" s="8">
        <v>0.50905009998225981</v>
      </c>
      <c r="AC140" s="8">
        <v>0.40959703996094221</v>
      </c>
      <c r="AD140" s="8">
        <v>0.31014397993962461</v>
      </c>
      <c r="AE140" s="8">
        <v>0.21069091991830696</v>
      </c>
      <c r="AF140" s="8">
        <v>0.11123785989698939</v>
      </c>
      <c r="AG140" s="8">
        <v>1.1784799875671806E-2</v>
      </c>
      <c r="AH140" s="8">
        <v>9.5374018938582331E-3</v>
      </c>
      <c r="AI140" s="8">
        <v>7.2900039120446609E-3</v>
      </c>
      <c r="AJ140" s="8">
        <v>5.0426059302310887E-3</v>
      </c>
      <c r="AK140" s="8">
        <v>2.7952079484175169E-3</v>
      </c>
      <c r="AL140" s="8">
        <v>5.4780996660394403E-4</v>
      </c>
      <c r="AM140" s="8">
        <v>5.3268618271787337E-4</v>
      </c>
      <c r="AN140" s="8">
        <v>5.1756239883180271E-4</v>
      </c>
      <c r="AO140" s="8">
        <v>5.0243861494573194E-4</v>
      </c>
      <c r="AP140" s="8">
        <v>4.8731483105966122E-4</v>
      </c>
      <c r="AQ140" s="8">
        <v>4.7219104717359051E-4</v>
      </c>
      <c r="AR140" s="8">
        <v>4.5906692282322165E-4</v>
      </c>
      <c r="AS140" s="8">
        <v>4.4594279847285279E-4</v>
      </c>
      <c r="AT140" s="8">
        <v>4.3281867412248387E-4</v>
      </c>
      <c r="AU140" s="8">
        <v>4.1969454977211501E-4</v>
      </c>
      <c r="AV140" s="8">
        <v>4.0657042542174609E-4</v>
      </c>
      <c r="AW140" s="8">
        <v>3.9504520169867665E-4</v>
      </c>
      <c r="AX140" s="8">
        <v>3.8351997797560721E-4</v>
      </c>
      <c r="AY140" s="8">
        <v>3.7199475425253771E-4</v>
      </c>
      <c r="AZ140" s="8">
        <v>3.6046953052946826E-4</v>
      </c>
      <c r="BA140" s="8">
        <v>3.4894430680639877E-4</v>
      </c>
      <c r="BB140" s="102" t="s">
        <v>3</v>
      </c>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row>
    <row r="141" spans="2:80" x14ac:dyDescent="0.2">
      <c r="B141" s="101" t="s">
        <v>172</v>
      </c>
      <c r="C141" s="8">
        <v>508.99404491967385</v>
      </c>
      <c r="D141" s="8">
        <v>514.34755529866311</v>
      </c>
      <c r="E141" s="8">
        <v>519.70106567765231</v>
      </c>
      <c r="F141" s="8">
        <v>525.05457605664162</v>
      </c>
      <c r="G141" s="8">
        <v>530.40808643563082</v>
      </c>
      <c r="H141" s="8">
        <v>535.76159681462002</v>
      </c>
      <c r="I141" s="8">
        <v>527.92968312251298</v>
      </c>
      <c r="J141" s="8">
        <v>520.09776943040595</v>
      </c>
      <c r="K141" s="8">
        <v>512.2658557382988</v>
      </c>
      <c r="L141" s="8">
        <v>504.43394204619182</v>
      </c>
      <c r="M141" s="8">
        <v>496.60202835408472</v>
      </c>
      <c r="N141" s="8">
        <v>493.66720994411151</v>
      </c>
      <c r="O141" s="8">
        <v>490.73239153413806</v>
      </c>
      <c r="P141" s="8">
        <v>487.79757312416478</v>
      </c>
      <c r="Q141" s="8">
        <v>484.8627547141914</v>
      </c>
      <c r="R141" s="8">
        <v>481.92793630421812</v>
      </c>
      <c r="S141" s="8">
        <v>480.64586554739549</v>
      </c>
      <c r="T141" s="8">
        <v>479.36379479057285</v>
      </c>
      <c r="U141" s="8">
        <v>478.08172403375022</v>
      </c>
      <c r="V141" s="8">
        <v>476.79965327692759</v>
      </c>
      <c r="W141" s="8">
        <v>475.51758252010495</v>
      </c>
      <c r="X141" s="8">
        <v>470.43137944775845</v>
      </c>
      <c r="Y141" s="8">
        <v>465.34517637541182</v>
      </c>
      <c r="Z141" s="8">
        <v>460.25897330306532</v>
      </c>
      <c r="AA141" s="8">
        <v>455.17277023071887</v>
      </c>
      <c r="AB141" s="8">
        <v>450.0865671583723</v>
      </c>
      <c r="AC141" s="8">
        <v>444.39340762809223</v>
      </c>
      <c r="AD141" s="8">
        <v>438.70024809781211</v>
      </c>
      <c r="AE141" s="8">
        <v>433.00708856753204</v>
      </c>
      <c r="AF141" s="8">
        <v>427.31392903725191</v>
      </c>
      <c r="AG141" s="8">
        <v>421.62076950697184</v>
      </c>
      <c r="AH141" s="8">
        <v>416.8290542136703</v>
      </c>
      <c r="AI141" s="8">
        <v>412.03733892036882</v>
      </c>
      <c r="AJ141" s="8">
        <v>407.24562362706735</v>
      </c>
      <c r="AK141" s="8">
        <v>402.45390833376581</v>
      </c>
      <c r="AL141" s="8">
        <v>397.66219304046433</v>
      </c>
      <c r="AM141" s="8">
        <v>393.21414338486125</v>
      </c>
      <c r="AN141" s="8">
        <v>388.76609372925816</v>
      </c>
      <c r="AO141" s="8">
        <v>384.31804407365513</v>
      </c>
      <c r="AP141" s="8">
        <v>379.86999441805204</v>
      </c>
      <c r="AQ141" s="8">
        <v>375.42194476244902</v>
      </c>
      <c r="AR141" s="8">
        <v>370.52863213624732</v>
      </c>
      <c r="AS141" s="8">
        <v>365.63531951004569</v>
      </c>
      <c r="AT141" s="8">
        <v>360.742006883844</v>
      </c>
      <c r="AU141" s="8">
        <v>355.84869425764236</v>
      </c>
      <c r="AV141" s="8">
        <v>350.95538163144067</v>
      </c>
      <c r="AW141" s="8">
        <v>343.63405095511177</v>
      </c>
      <c r="AX141" s="8">
        <v>336.31272027878282</v>
      </c>
      <c r="AY141" s="8">
        <v>328.99138960245392</v>
      </c>
      <c r="AZ141" s="8">
        <v>321.67005892612497</v>
      </c>
      <c r="BA141" s="8">
        <v>314.34872824979607</v>
      </c>
      <c r="BB141" s="102" t="s">
        <v>3</v>
      </c>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row>
    <row r="142" spans="2:80" x14ac:dyDescent="0.2">
      <c r="B142" s="101" t="s">
        <v>180</v>
      </c>
      <c r="C142" s="8">
        <v>580.5329339189384</v>
      </c>
      <c r="D142" s="8">
        <v>612.36663688153089</v>
      </c>
      <c r="E142" s="8">
        <v>644.20033984412339</v>
      </c>
      <c r="F142" s="8">
        <v>676.03404280671589</v>
      </c>
      <c r="G142" s="8">
        <v>707.86774576930827</v>
      </c>
      <c r="H142" s="8">
        <v>739.70144873190077</v>
      </c>
      <c r="I142" s="8">
        <v>731.48395298137757</v>
      </c>
      <c r="J142" s="8">
        <v>723.26645723085448</v>
      </c>
      <c r="K142" s="8">
        <v>715.04896148033129</v>
      </c>
      <c r="L142" s="8">
        <v>706.8314657298082</v>
      </c>
      <c r="M142" s="8">
        <v>698.613969979285</v>
      </c>
      <c r="N142" s="8">
        <v>691.64082149401258</v>
      </c>
      <c r="O142" s="8">
        <v>684.66767300874005</v>
      </c>
      <c r="P142" s="8">
        <v>677.69452452346775</v>
      </c>
      <c r="Q142" s="8">
        <v>670.72137603819522</v>
      </c>
      <c r="R142" s="8">
        <v>663.7482275529228</v>
      </c>
      <c r="S142" s="8">
        <v>661.70334810879569</v>
      </c>
      <c r="T142" s="8">
        <v>659.65846866466848</v>
      </c>
      <c r="U142" s="8">
        <v>657.61358922054137</v>
      </c>
      <c r="V142" s="8">
        <v>655.56870977641415</v>
      </c>
      <c r="W142" s="8">
        <v>653.52383033228693</v>
      </c>
      <c r="X142" s="8">
        <v>643.52143950993832</v>
      </c>
      <c r="Y142" s="8">
        <v>633.51904868758947</v>
      </c>
      <c r="Z142" s="8">
        <v>623.51665786524075</v>
      </c>
      <c r="AA142" s="8">
        <v>613.5142670428919</v>
      </c>
      <c r="AB142" s="8">
        <v>603.51187622054317</v>
      </c>
      <c r="AC142" s="8">
        <v>589.11710948959831</v>
      </c>
      <c r="AD142" s="8">
        <v>574.72234275865344</v>
      </c>
      <c r="AE142" s="8">
        <v>560.32757602770869</v>
      </c>
      <c r="AF142" s="8">
        <v>545.93280929676371</v>
      </c>
      <c r="AG142" s="8">
        <v>531.53804256581884</v>
      </c>
      <c r="AH142" s="8">
        <v>516.43856567976547</v>
      </c>
      <c r="AI142" s="8">
        <v>501.33908879371216</v>
      </c>
      <c r="AJ142" s="8">
        <v>486.2396119076588</v>
      </c>
      <c r="AK142" s="8">
        <v>471.14013502160537</v>
      </c>
      <c r="AL142" s="8">
        <v>456.04065813555201</v>
      </c>
      <c r="AM142" s="8">
        <v>443.22403672231769</v>
      </c>
      <c r="AN142" s="8">
        <v>430.40741530908343</v>
      </c>
      <c r="AO142" s="8">
        <v>417.59079389584912</v>
      </c>
      <c r="AP142" s="8">
        <v>404.7741724826148</v>
      </c>
      <c r="AQ142" s="8">
        <v>391.95755106938054</v>
      </c>
      <c r="AR142" s="8">
        <v>380.75233446035418</v>
      </c>
      <c r="AS142" s="8">
        <v>369.54711785132776</v>
      </c>
      <c r="AT142" s="8">
        <v>358.34190124230139</v>
      </c>
      <c r="AU142" s="8">
        <v>347.13668463327497</v>
      </c>
      <c r="AV142" s="8">
        <v>335.9314680242486</v>
      </c>
      <c r="AW142" s="8">
        <v>326.27965718336384</v>
      </c>
      <c r="AX142" s="8">
        <v>316.62784634247902</v>
      </c>
      <c r="AY142" s="8">
        <v>306.9760355015942</v>
      </c>
      <c r="AZ142" s="8">
        <v>297.32422466070943</v>
      </c>
      <c r="BA142" s="8">
        <v>287.67241381982467</v>
      </c>
      <c r="BB142" s="102" t="s">
        <v>3</v>
      </c>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row>
    <row r="143" spans="2:80" x14ac:dyDescent="0.2">
      <c r="B143" s="101" t="s">
        <v>179</v>
      </c>
      <c r="C143" s="8">
        <v>914.79838828476522</v>
      </c>
      <c r="D143" s="8">
        <v>960.99629861123981</v>
      </c>
      <c r="E143" s="8">
        <v>1007.1942089377143</v>
      </c>
      <c r="F143" s="8">
        <v>1053.392119264189</v>
      </c>
      <c r="G143" s="8">
        <v>1099.5900295906633</v>
      </c>
      <c r="H143" s="8">
        <v>1145.7879399171379</v>
      </c>
      <c r="I143" s="8">
        <v>1172.4590228701638</v>
      </c>
      <c r="J143" s="8">
        <v>1199.1301058231898</v>
      </c>
      <c r="K143" s="8">
        <v>1225.8011887762159</v>
      </c>
      <c r="L143" s="8">
        <v>1252.4722717292418</v>
      </c>
      <c r="M143" s="8">
        <v>1279.1433546822677</v>
      </c>
      <c r="N143" s="8">
        <v>1290.4644152192022</v>
      </c>
      <c r="O143" s="8">
        <v>1301.7854757561367</v>
      </c>
      <c r="P143" s="8">
        <v>1313.1065362930713</v>
      </c>
      <c r="Q143" s="8">
        <v>1324.427596830006</v>
      </c>
      <c r="R143" s="8">
        <v>1335.7486573669403</v>
      </c>
      <c r="S143" s="8">
        <v>1330.4392809676253</v>
      </c>
      <c r="T143" s="8">
        <v>1325.1299045683102</v>
      </c>
      <c r="U143" s="8">
        <v>1319.8205281689952</v>
      </c>
      <c r="V143" s="8">
        <v>1314.5111517696803</v>
      </c>
      <c r="W143" s="8">
        <v>1309.2017753703651</v>
      </c>
      <c r="X143" s="8">
        <v>1291.5925838144667</v>
      </c>
      <c r="Y143" s="8">
        <v>1273.9833922585681</v>
      </c>
      <c r="Z143" s="8">
        <v>1256.3742007026699</v>
      </c>
      <c r="AA143" s="8">
        <v>1238.7650091467715</v>
      </c>
      <c r="AB143" s="8">
        <v>1221.1558175908729</v>
      </c>
      <c r="AC143" s="8">
        <v>1197.8319709238726</v>
      </c>
      <c r="AD143" s="8">
        <v>1174.5081242568722</v>
      </c>
      <c r="AE143" s="8">
        <v>1151.184277589872</v>
      </c>
      <c r="AF143" s="8">
        <v>1127.8604309228713</v>
      </c>
      <c r="AG143" s="8">
        <v>1104.536584255871</v>
      </c>
      <c r="AH143" s="8">
        <v>1076.9288076657313</v>
      </c>
      <c r="AI143" s="8">
        <v>1049.3210310755912</v>
      </c>
      <c r="AJ143" s="8">
        <v>1021.7132544854514</v>
      </c>
      <c r="AK143" s="8">
        <v>994.10547789531154</v>
      </c>
      <c r="AL143" s="8">
        <v>966.49770130517163</v>
      </c>
      <c r="AM143" s="8">
        <v>934.78427741868427</v>
      </c>
      <c r="AN143" s="8">
        <v>903.07085353219702</v>
      </c>
      <c r="AO143" s="8">
        <v>871.35742964570954</v>
      </c>
      <c r="AP143" s="8">
        <v>839.6440057592223</v>
      </c>
      <c r="AQ143" s="8">
        <v>807.93058187273493</v>
      </c>
      <c r="AR143" s="8">
        <v>774.16094313602866</v>
      </c>
      <c r="AS143" s="8">
        <v>740.39130439932228</v>
      </c>
      <c r="AT143" s="8">
        <v>706.62166566261601</v>
      </c>
      <c r="AU143" s="8">
        <v>672.85202692590974</v>
      </c>
      <c r="AV143" s="8">
        <v>639.08238818920336</v>
      </c>
      <c r="AW143" s="8">
        <v>607.79250531271236</v>
      </c>
      <c r="AX143" s="8">
        <v>576.50262243622137</v>
      </c>
      <c r="AY143" s="8">
        <v>545.21273955973038</v>
      </c>
      <c r="AZ143" s="8">
        <v>513.92285668323939</v>
      </c>
      <c r="BA143" s="8">
        <v>482.63297380674845</v>
      </c>
      <c r="BB143" s="102" t="s">
        <v>3</v>
      </c>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row>
    <row r="144" spans="2:80" x14ac:dyDescent="0.2">
      <c r="B144" s="101" t="s">
        <v>137</v>
      </c>
      <c r="C144" s="8">
        <v>1495.3313222037036</v>
      </c>
      <c r="D144" s="8">
        <v>1573.3629354927707</v>
      </c>
      <c r="E144" s="8">
        <v>1651.3945487818376</v>
      </c>
      <c r="F144" s="8">
        <v>1729.4261620709044</v>
      </c>
      <c r="G144" s="8">
        <v>1807.4577753599717</v>
      </c>
      <c r="H144" s="8">
        <v>1885.4893886490386</v>
      </c>
      <c r="I144" s="8">
        <v>1903.9429758515412</v>
      </c>
      <c r="J144" s="8">
        <v>1922.396563054044</v>
      </c>
      <c r="K144" s="8">
        <v>1940.8501502565471</v>
      </c>
      <c r="L144" s="8">
        <v>1959.3037374590499</v>
      </c>
      <c r="M144" s="8">
        <v>1977.7573246615525</v>
      </c>
      <c r="N144" s="8">
        <v>1982.1052367132147</v>
      </c>
      <c r="O144" s="8">
        <v>1986.4531487648765</v>
      </c>
      <c r="P144" s="8">
        <v>1990.8010608165391</v>
      </c>
      <c r="Q144" s="8">
        <v>1995.1489728682009</v>
      </c>
      <c r="R144" s="8">
        <v>1999.4968849198631</v>
      </c>
      <c r="S144" s="8">
        <v>1992.1426290764209</v>
      </c>
      <c r="T144" s="8">
        <v>1984.7883732329788</v>
      </c>
      <c r="U144" s="8">
        <v>1977.4341173895361</v>
      </c>
      <c r="V144" s="8">
        <v>1970.079861546094</v>
      </c>
      <c r="W144" s="8">
        <v>1962.725605702652</v>
      </c>
      <c r="X144" s="8">
        <v>1935.114023324405</v>
      </c>
      <c r="Y144" s="8">
        <v>1907.5024409461578</v>
      </c>
      <c r="Z144" s="8">
        <v>1879.8908585679103</v>
      </c>
      <c r="AA144" s="8">
        <v>1852.2792761896631</v>
      </c>
      <c r="AB144" s="8">
        <v>1824.667693811416</v>
      </c>
      <c r="AC144" s="8">
        <v>1786.9490804134707</v>
      </c>
      <c r="AD144" s="8">
        <v>1749.2304670155256</v>
      </c>
      <c r="AE144" s="8">
        <v>1711.5118536175803</v>
      </c>
      <c r="AF144" s="8">
        <v>1673.7932402196352</v>
      </c>
      <c r="AG144" s="8">
        <v>1636.0746268216899</v>
      </c>
      <c r="AH144" s="8">
        <v>1593.3673733454966</v>
      </c>
      <c r="AI144" s="8">
        <v>1550.6601198693033</v>
      </c>
      <c r="AJ144" s="8">
        <v>1507.9528663931101</v>
      </c>
      <c r="AK144" s="8">
        <v>1465.2456129169168</v>
      </c>
      <c r="AL144" s="8">
        <v>1422.5383594407235</v>
      </c>
      <c r="AM144" s="8">
        <v>1378.0083141410021</v>
      </c>
      <c r="AN144" s="8">
        <v>1333.4782688412804</v>
      </c>
      <c r="AO144" s="8">
        <v>1288.9482235415589</v>
      </c>
      <c r="AP144" s="8">
        <v>1244.4181782418375</v>
      </c>
      <c r="AQ144" s="8">
        <v>1199.8881329421156</v>
      </c>
      <c r="AR144" s="8">
        <v>1154.9132775963831</v>
      </c>
      <c r="AS144" s="8">
        <v>1109.9384222506501</v>
      </c>
      <c r="AT144" s="8">
        <v>1064.9635669049176</v>
      </c>
      <c r="AU144" s="8">
        <v>1019.9887115591847</v>
      </c>
      <c r="AV144" s="8">
        <v>975.01385621345196</v>
      </c>
      <c r="AW144" s="8">
        <v>934.07216249607609</v>
      </c>
      <c r="AX144" s="8">
        <v>893.13046877870045</v>
      </c>
      <c r="AY144" s="8">
        <v>852.18877506132458</v>
      </c>
      <c r="AZ144" s="8">
        <v>811.24708134394882</v>
      </c>
      <c r="BA144" s="8">
        <v>770.30538762657307</v>
      </c>
      <c r="BB144" s="102" t="s">
        <v>3</v>
      </c>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row>
    <row r="145" spans="2:80" x14ac:dyDescent="0.2">
      <c r="B145" s="101" t="s">
        <v>173</v>
      </c>
      <c r="C145" s="8">
        <v>71.912212341126306</v>
      </c>
      <c r="D145" s="8">
        <v>72.744590930196424</v>
      </c>
      <c r="E145" s="8">
        <v>73.576969519266541</v>
      </c>
      <c r="F145" s="8">
        <v>74.409348108336673</v>
      </c>
      <c r="G145" s="8">
        <v>75.24172669740679</v>
      </c>
      <c r="H145" s="8">
        <v>76.074105286476907</v>
      </c>
      <c r="I145" s="8">
        <v>76.51596758334928</v>
      </c>
      <c r="J145" s="8">
        <v>76.957829880221681</v>
      </c>
      <c r="K145" s="8">
        <v>77.399692177094067</v>
      </c>
      <c r="L145" s="8">
        <v>77.841554473966468</v>
      </c>
      <c r="M145" s="8">
        <v>78.283416770838841</v>
      </c>
      <c r="N145" s="8">
        <v>77.063148948091595</v>
      </c>
      <c r="O145" s="8">
        <v>75.842881125344391</v>
      </c>
      <c r="P145" s="8">
        <v>74.622613302597145</v>
      </c>
      <c r="Q145" s="8">
        <v>73.402345479849942</v>
      </c>
      <c r="R145" s="8">
        <v>72.182077657102695</v>
      </c>
      <c r="S145" s="8">
        <v>70.642312155853958</v>
      </c>
      <c r="T145" s="8">
        <v>69.102546654605206</v>
      </c>
      <c r="U145" s="8">
        <v>67.562781153356468</v>
      </c>
      <c r="V145" s="8">
        <v>66.023015652107716</v>
      </c>
      <c r="W145" s="8">
        <v>64.483250150858979</v>
      </c>
      <c r="X145" s="8">
        <v>62.655568867037459</v>
      </c>
      <c r="Y145" s="8">
        <v>60.827887583215947</v>
      </c>
      <c r="Z145" s="8">
        <v>59.000206299394442</v>
      </c>
      <c r="AA145" s="8">
        <v>57.172525015572916</v>
      </c>
      <c r="AB145" s="8">
        <v>55.344843731751411</v>
      </c>
      <c r="AC145" s="8">
        <v>53.490397094875007</v>
      </c>
      <c r="AD145" s="8">
        <v>51.635950457998597</v>
      </c>
      <c r="AE145" s="8">
        <v>49.781503821122179</v>
      </c>
      <c r="AF145" s="8">
        <v>47.927057184245768</v>
      </c>
      <c r="AG145" s="8">
        <v>46.072610547369365</v>
      </c>
      <c r="AH145" s="8">
        <v>44.009298107105693</v>
      </c>
      <c r="AI145" s="8">
        <v>41.94598566684202</v>
      </c>
      <c r="AJ145" s="8">
        <v>39.882673226578341</v>
      </c>
      <c r="AK145" s="8">
        <v>37.819360786314668</v>
      </c>
      <c r="AL145" s="8">
        <v>35.756048346050996</v>
      </c>
      <c r="AM145" s="8">
        <v>33.495954091393436</v>
      </c>
      <c r="AN145" s="8">
        <v>31.23585983673587</v>
      </c>
      <c r="AO145" s="8">
        <v>28.97576558207831</v>
      </c>
      <c r="AP145" s="8">
        <v>26.715671327420747</v>
      </c>
      <c r="AQ145" s="8">
        <v>24.455577072763184</v>
      </c>
      <c r="AR145" s="8">
        <v>22.059724014263502</v>
      </c>
      <c r="AS145" s="8">
        <v>19.663870955763816</v>
      </c>
      <c r="AT145" s="8">
        <v>17.268017897264137</v>
      </c>
      <c r="AU145" s="8">
        <v>14.872164838764455</v>
      </c>
      <c r="AV145" s="8">
        <v>12.476311780264769</v>
      </c>
      <c r="AW145" s="8">
        <v>9.9810494289806648</v>
      </c>
      <c r="AX145" s="8">
        <v>7.485787077696564</v>
      </c>
      <c r="AY145" s="8">
        <v>4.9905247264124597</v>
      </c>
      <c r="AZ145" s="8">
        <v>2.4952623751283625</v>
      </c>
      <c r="BA145" s="8">
        <v>2.3844258123517648E-8</v>
      </c>
      <c r="BB145" s="102" t="s">
        <v>3</v>
      </c>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row>
    <row r="146" spans="2:80" x14ac:dyDescent="0.2">
      <c r="B146" s="101" t="s">
        <v>174</v>
      </c>
      <c r="C146" s="8">
        <v>784.96887884534885</v>
      </c>
      <c r="D146" s="8">
        <v>785.29444569423208</v>
      </c>
      <c r="E146" s="8">
        <v>785.62001254311531</v>
      </c>
      <c r="F146" s="8">
        <v>785.94557939199831</v>
      </c>
      <c r="G146" s="8">
        <v>786.27114624088154</v>
      </c>
      <c r="H146" s="8">
        <v>786.59671308976465</v>
      </c>
      <c r="I146" s="8">
        <v>793.52662962489001</v>
      </c>
      <c r="J146" s="8">
        <v>800.45654616001514</v>
      </c>
      <c r="K146" s="8">
        <v>807.38646269514038</v>
      </c>
      <c r="L146" s="8">
        <v>814.31637923026562</v>
      </c>
      <c r="M146" s="8">
        <v>821.24629576539087</v>
      </c>
      <c r="N146" s="8">
        <v>822.98814479146699</v>
      </c>
      <c r="O146" s="8">
        <v>824.72999381754323</v>
      </c>
      <c r="P146" s="8">
        <v>826.47184284361947</v>
      </c>
      <c r="Q146" s="8">
        <v>828.21369186969559</v>
      </c>
      <c r="R146" s="8">
        <v>829.95554089577172</v>
      </c>
      <c r="S146" s="8">
        <v>828.58093951525041</v>
      </c>
      <c r="T146" s="8">
        <v>827.20633813472898</v>
      </c>
      <c r="U146" s="8">
        <v>825.83173675420744</v>
      </c>
      <c r="V146" s="8">
        <v>824.45713537368613</v>
      </c>
      <c r="W146" s="8">
        <v>823.0825339931647</v>
      </c>
      <c r="X146" s="8">
        <v>824.51082308909918</v>
      </c>
      <c r="Y146" s="8">
        <v>825.93911218503365</v>
      </c>
      <c r="Z146" s="8">
        <v>827.36740128096812</v>
      </c>
      <c r="AA146" s="8">
        <v>828.79569037690271</v>
      </c>
      <c r="AB146" s="8">
        <v>830.22397947283707</v>
      </c>
      <c r="AC146" s="8">
        <v>825.50468635346976</v>
      </c>
      <c r="AD146" s="8">
        <v>820.78539323410257</v>
      </c>
      <c r="AE146" s="8">
        <v>816.06610011473526</v>
      </c>
      <c r="AF146" s="8">
        <v>811.34680699536796</v>
      </c>
      <c r="AG146" s="8">
        <v>806.62751387600065</v>
      </c>
      <c r="AH146" s="8">
        <v>806.30170992987712</v>
      </c>
      <c r="AI146" s="8">
        <v>805.97590598375359</v>
      </c>
      <c r="AJ146" s="8">
        <v>805.65010203762995</v>
      </c>
      <c r="AK146" s="8">
        <v>805.32429809150642</v>
      </c>
      <c r="AL146" s="8">
        <v>804.99849414538278</v>
      </c>
      <c r="AM146" s="8">
        <v>806.49860208294945</v>
      </c>
      <c r="AN146" s="8">
        <v>807.998710020516</v>
      </c>
      <c r="AO146" s="8">
        <v>809.49881795808255</v>
      </c>
      <c r="AP146" s="8">
        <v>810.99892589564911</v>
      </c>
      <c r="AQ146" s="8">
        <v>812.49903383321578</v>
      </c>
      <c r="AR146" s="8">
        <v>808.01232046007408</v>
      </c>
      <c r="AS146" s="8">
        <v>803.5256070869325</v>
      </c>
      <c r="AT146" s="8">
        <v>799.03889371379091</v>
      </c>
      <c r="AU146" s="8">
        <v>794.55218034064922</v>
      </c>
      <c r="AV146" s="8">
        <v>790.06546696750752</v>
      </c>
      <c r="AW146" s="8">
        <v>795.23317810822607</v>
      </c>
      <c r="AX146" s="8">
        <v>800.40088924894474</v>
      </c>
      <c r="AY146" s="8">
        <v>805.56860038966329</v>
      </c>
      <c r="AZ146" s="8">
        <v>810.73631153038195</v>
      </c>
      <c r="BA146" s="8">
        <v>815.90402267110051</v>
      </c>
      <c r="BB146" s="102" t="s">
        <v>3</v>
      </c>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row>
    <row r="147" spans="2:80" x14ac:dyDescent="0.2">
      <c r="B147" s="101" t="s">
        <v>175</v>
      </c>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c r="AN147" s="107"/>
      <c r="AO147" s="107"/>
      <c r="AP147" s="107"/>
      <c r="AQ147" s="107"/>
      <c r="AR147" s="107"/>
      <c r="AS147" s="107"/>
      <c r="AT147" s="107"/>
      <c r="AU147" s="107"/>
      <c r="AV147" s="107"/>
      <c r="AW147" s="107"/>
      <c r="AX147" s="107"/>
      <c r="AY147" s="107"/>
      <c r="AZ147" s="107"/>
      <c r="BA147" s="107"/>
      <c r="BB147" s="10"/>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row>
    <row r="148" spans="2:80" x14ac:dyDescent="0.2">
      <c r="B148" s="101" t="s">
        <v>176</v>
      </c>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c r="AN148" s="107"/>
      <c r="AO148" s="107"/>
      <c r="AP148" s="107"/>
      <c r="AQ148" s="107"/>
      <c r="AR148" s="107"/>
      <c r="AS148" s="107"/>
      <c r="AT148" s="107"/>
      <c r="AU148" s="107"/>
      <c r="AV148" s="107"/>
      <c r="AW148" s="107"/>
      <c r="AX148" s="107"/>
      <c r="AY148" s="107"/>
      <c r="AZ148" s="107"/>
      <c r="BA148" s="107"/>
      <c r="BB148" s="10"/>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row>
    <row r="149" spans="2:80" x14ac:dyDescent="0.2">
      <c r="B149" s="101" t="s">
        <v>177</v>
      </c>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c r="AN149" s="107"/>
      <c r="AO149" s="107"/>
      <c r="AP149" s="107"/>
      <c r="AQ149" s="107"/>
      <c r="AR149" s="107"/>
      <c r="AS149" s="107"/>
      <c r="AT149" s="107"/>
      <c r="AU149" s="107"/>
      <c r="AV149" s="107"/>
      <c r="AW149" s="107"/>
      <c r="AX149" s="107"/>
      <c r="AY149" s="107"/>
      <c r="AZ149" s="107"/>
      <c r="BA149" s="107"/>
      <c r="BB149" s="10"/>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row>
    <row r="150" spans="2:80" x14ac:dyDescent="0.2">
      <c r="B150" s="101" t="s">
        <v>178</v>
      </c>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c r="AN150" s="107"/>
      <c r="AO150" s="107"/>
      <c r="AP150" s="107"/>
      <c r="AQ150" s="107"/>
      <c r="AR150" s="107"/>
      <c r="AS150" s="107"/>
      <c r="AT150" s="107"/>
      <c r="AU150" s="107"/>
      <c r="AV150" s="107"/>
      <c r="AW150" s="107"/>
      <c r="AX150" s="107"/>
      <c r="AY150" s="107"/>
      <c r="AZ150" s="107"/>
      <c r="BA150" s="107"/>
      <c r="BB150" s="10"/>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row>
    <row r="151" spans="2:80" x14ac:dyDescent="0.2">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10"/>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row>
    <row r="152" spans="2:80" x14ac:dyDescent="0.2">
      <c r="B152" s="1" t="s">
        <v>131</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10"/>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row>
    <row r="153" spans="2:80" x14ac:dyDescent="0.2">
      <c r="B153" s="5" t="s">
        <v>1</v>
      </c>
      <c r="C153" s="6">
        <v>2010</v>
      </c>
      <c r="D153" s="3">
        <v>2011</v>
      </c>
      <c r="E153" s="3">
        <v>2012</v>
      </c>
      <c r="F153" s="3">
        <v>2013</v>
      </c>
      <c r="G153" s="3">
        <v>2014</v>
      </c>
      <c r="H153" s="6">
        <v>2015</v>
      </c>
      <c r="I153" s="3">
        <v>2016</v>
      </c>
      <c r="J153" s="3">
        <v>2017</v>
      </c>
      <c r="K153" s="3">
        <v>2018</v>
      </c>
      <c r="L153" s="3">
        <v>2019</v>
      </c>
      <c r="M153" s="6">
        <v>2020</v>
      </c>
      <c r="N153" s="3">
        <v>2021</v>
      </c>
      <c r="O153" s="3">
        <v>2022</v>
      </c>
      <c r="P153" s="3">
        <v>2023</v>
      </c>
      <c r="Q153" s="3">
        <v>2024</v>
      </c>
      <c r="R153" s="6">
        <v>2025</v>
      </c>
      <c r="S153" s="3">
        <v>2026</v>
      </c>
      <c r="T153" s="3">
        <v>2027</v>
      </c>
      <c r="U153" s="3">
        <v>2028</v>
      </c>
      <c r="V153" s="3">
        <v>2029</v>
      </c>
      <c r="W153" s="6">
        <v>2030</v>
      </c>
      <c r="X153" s="3">
        <v>2031</v>
      </c>
      <c r="Y153" s="3">
        <v>2032</v>
      </c>
      <c r="Z153" s="3">
        <v>2033</v>
      </c>
      <c r="AA153" s="3">
        <v>2034</v>
      </c>
      <c r="AB153" s="6">
        <v>2035</v>
      </c>
      <c r="AC153" s="3">
        <v>2036</v>
      </c>
      <c r="AD153" s="3">
        <v>2037</v>
      </c>
      <c r="AE153" s="3">
        <v>2038</v>
      </c>
      <c r="AF153" s="3">
        <v>2039</v>
      </c>
      <c r="AG153" s="6">
        <v>2040</v>
      </c>
      <c r="AH153" s="3">
        <v>2041</v>
      </c>
      <c r="AI153" s="3">
        <v>2042</v>
      </c>
      <c r="AJ153" s="3">
        <v>2043</v>
      </c>
      <c r="AK153" s="3">
        <v>2044</v>
      </c>
      <c r="AL153" s="6">
        <v>2045</v>
      </c>
      <c r="AM153" s="3">
        <v>2046</v>
      </c>
      <c r="AN153" s="3">
        <v>2047</v>
      </c>
      <c r="AO153" s="3">
        <v>2048</v>
      </c>
      <c r="AP153" s="3">
        <v>2049</v>
      </c>
      <c r="AQ153" s="6">
        <v>2050</v>
      </c>
      <c r="AR153" s="3">
        <v>2051</v>
      </c>
      <c r="AS153" s="3">
        <v>2052</v>
      </c>
      <c r="AT153" s="3">
        <v>2053</v>
      </c>
      <c r="AU153" s="3">
        <v>2054</v>
      </c>
      <c r="AV153" s="6">
        <v>2055</v>
      </c>
      <c r="AW153" s="3">
        <v>2056</v>
      </c>
      <c r="AX153" s="3">
        <v>2057</v>
      </c>
      <c r="AY153" s="3">
        <v>2058</v>
      </c>
      <c r="AZ153" s="3">
        <v>2059</v>
      </c>
      <c r="BA153" s="6">
        <v>2060</v>
      </c>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row>
    <row r="154" spans="2:80" x14ac:dyDescent="0.2">
      <c r="B154" s="101" t="s">
        <v>2</v>
      </c>
      <c r="C154" s="8">
        <v>102.24240386867577</v>
      </c>
      <c r="D154" s="8">
        <v>99.599742240342934</v>
      </c>
      <c r="E154" s="8">
        <v>97.212313592159603</v>
      </c>
      <c r="F154" s="8">
        <v>95.044844999510431</v>
      </c>
      <c r="G154" s="8">
        <v>93.068276885665057</v>
      </c>
      <c r="H154" s="8">
        <v>91.258452622273865</v>
      </c>
      <c r="I154" s="8">
        <v>88.028273306204127</v>
      </c>
      <c r="J154" s="8">
        <v>84.935074541307316</v>
      </c>
      <c r="K154" s="8">
        <v>81.970323946174076</v>
      </c>
      <c r="L154" s="8">
        <v>79.126183356690547</v>
      </c>
      <c r="M154" s="8">
        <v>76.395439629333353</v>
      </c>
      <c r="N154" s="8">
        <v>73.639246441120719</v>
      </c>
      <c r="O154" s="8">
        <v>70.988595375247726</v>
      </c>
      <c r="P154" s="8">
        <v>68.437538079261827</v>
      </c>
      <c r="Q154" s="8">
        <v>65.980564956691836</v>
      </c>
      <c r="R154" s="8">
        <v>63.612565445709564</v>
      </c>
      <c r="S154" s="8">
        <v>60.794689710197069</v>
      </c>
      <c r="T154" s="8">
        <v>58.061405698103101</v>
      </c>
      <c r="U154" s="8">
        <v>55.40896061378529</v>
      </c>
      <c r="V154" s="8">
        <v>52.83382041027329</v>
      </c>
      <c r="W154" s="8">
        <v>50.332654079748799</v>
      </c>
      <c r="X154" s="8">
        <v>47.843739025709858</v>
      </c>
      <c r="Y154" s="8">
        <v>45.431199670654792</v>
      </c>
      <c r="Z154" s="8">
        <v>43.091573602712387</v>
      </c>
      <c r="AA154" s="8">
        <v>40.821604580892142</v>
      </c>
      <c r="AB154" s="8">
        <v>38.618227414501703</v>
      </c>
      <c r="AC154" s="8">
        <v>36.549831923332107</v>
      </c>
      <c r="AD154" s="8">
        <v>34.551614247326299</v>
      </c>
      <c r="AE154" s="8">
        <v>32.620062409587213</v>
      </c>
      <c r="AF154" s="8">
        <v>30.751894926009225</v>
      </c>
      <c r="AG154" s="8">
        <v>28.944042201329037</v>
      </c>
      <c r="AH154" s="8">
        <v>27.401233395768635</v>
      </c>
      <c r="AI154" s="8">
        <v>25.919083316739503</v>
      </c>
      <c r="AJ154" s="8">
        <v>24.494083549172977</v>
      </c>
      <c r="AK154" s="8">
        <v>23.12299112271436</v>
      </c>
      <c r="AL154" s="8">
        <v>21.802803873503898</v>
      </c>
      <c r="AM154" s="8">
        <v>20.537119567107517</v>
      </c>
      <c r="AN154" s="8">
        <v>19.318494341773587</v>
      </c>
      <c r="AO154" s="8">
        <v>18.144351560838164</v>
      </c>
      <c r="AP154" s="8">
        <v>17.012299321614705</v>
      </c>
      <c r="AQ154" s="8">
        <v>15.92011419110584</v>
      </c>
      <c r="AR154" s="8">
        <v>15.075346979908984</v>
      </c>
      <c r="AS154" s="8">
        <v>14.259658412193822</v>
      </c>
      <c r="AT154" s="8">
        <v>13.471572470716815</v>
      </c>
      <c r="AU154" s="8">
        <v>12.709711371988044</v>
      </c>
      <c r="AV154" s="8">
        <v>11.972787527797669</v>
      </c>
      <c r="AW154" s="8">
        <v>11.518389057793259</v>
      </c>
      <c r="AX154" s="8">
        <v>11.078113418190311</v>
      </c>
      <c r="AY154" s="8">
        <v>10.651312272009999</v>
      </c>
      <c r="AZ154" s="8">
        <v>10.237376368450319</v>
      </c>
      <c r="BA154" s="8">
        <v>9.8357326411434904</v>
      </c>
      <c r="BB154" s="10" t="s">
        <v>19</v>
      </c>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row>
    <row r="155" spans="2:80" x14ac:dyDescent="0.2">
      <c r="B155" s="101" t="s">
        <v>182</v>
      </c>
      <c r="C155" s="8">
        <v>48.931702275263902</v>
      </c>
      <c r="D155" s="8">
        <v>48.730925006607585</v>
      </c>
      <c r="E155" s="8">
        <v>48.557817911330766</v>
      </c>
      <c r="F155" s="8">
        <v>48.407029677108376</v>
      </c>
      <c r="G155" s="8">
        <v>48.274505322522117</v>
      </c>
      <c r="H155" s="8">
        <v>48.157116074407192</v>
      </c>
      <c r="I155" s="8">
        <v>44.477527410437901</v>
      </c>
      <c r="J155" s="8">
        <v>40.945988878758477</v>
      </c>
      <c r="K155" s="8">
        <v>37.553741383502746</v>
      </c>
      <c r="L155" s="8">
        <v>34.292703419021812</v>
      </c>
      <c r="M155" s="8">
        <v>31.155406791332052</v>
      </c>
      <c r="N155" s="8">
        <v>30.454674975342499</v>
      </c>
      <c r="O155" s="8">
        <v>29.769441004725021</v>
      </c>
      <c r="P155" s="8">
        <v>29.099196362032224</v>
      </c>
      <c r="Q155" s="8">
        <v>28.443454536514245</v>
      </c>
      <c r="R155" s="8">
        <v>27.801749846403045</v>
      </c>
      <c r="S155" s="8">
        <v>27.006815641575606</v>
      </c>
      <c r="T155" s="8">
        <v>26.221860795216365</v>
      </c>
      <c r="U155" s="8">
        <v>25.446698562816092</v>
      </c>
      <c r="V155" s="8">
        <v>24.681146830401012</v>
      </c>
      <c r="W155" s="8">
        <v>23.925027971893005</v>
      </c>
      <c r="X155" s="8">
        <v>22.321798076861921</v>
      </c>
      <c r="Y155" s="8">
        <v>20.713927797829438</v>
      </c>
      <c r="Z155" s="8">
        <v>19.101396958925886</v>
      </c>
      <c r="AA155" s="8">
        <v>17.484185267148618</v>
      </c>
      <c r="AB155" s="8">
        <v>15.862272311510706</v>
      </c>
      <c r="AC155" s="8">
        <v>12.972414261344156</v>
      </c>
      <c r="AD155" s="8">
        <v>10.074611750503379</v>
      </c>
      <c r="AE155" s="8">
        <v>7.1688319739194819</v>
      </c>
      <c r="AF155" s="8">
        <v>4.2550419456586344</v>
      </c>
      <c r="AG155" s="8">
        <v>1.3332084976738738</v>
      </c>
      <c r="AH155" s="8">
        <v>1.074630052155813</v>
      </c>
      <c r="AI155" s="8">
        <v>0.81591783922969197</v>
      </c>
      <c r="AJ155" s="8">
        <v>0.55707175506812634</v>
      </c>
      <c r="AK155" s="8">
        <v>0.29809169573625377</v>
      </c>
      <c r="AL155" s="8">
        <v>3.8977557191592141E-2</v>
      </c>
      <c r="AM155" s="8">
        <v>3.864355613758174E-2</v>
      </c>
      <c r="AN155" s="8">
        <v>3.8310519066357164E-2</v>
      </c>
      <c r="AO155" s="8">
        <v>3.7978441810609366E-2</v>
      </c>
      <c r="AP155" s="8">
        <v>3.7647320227015203E-2</v>
      </c>
      <c r="AQ155" s="8">
        <v>3.731715019606497E-2</v>
      </c>
      <c r="AR155" s="8">
        <v>3.6943979561667832E-2</v>
      </c>
      <c r="AS155" s="8">
        <v>3.6573891194976386E-2</v>
      </c>
      <c r="AT155" s="8">
        <v>3.6206847065262913E-2</v>
      </c>
      <c r="AU155" s="8">
        <v>3.5842809764895567E-2</v>
      </c>
      <c r="AV155" s="8">
        <v>3.548174249662997E-2</v>
      </c>
      <c r="AW155" s="8">
        <v>3.5077055324574356E-2</v>
      </c>
      <c r="AX155" s="8">
        <v>3.4676369173479597E-2</v>
      </c>
      <c r="AY155" s="8">
        <v>3.4279624999872957E-2</v>
      </c>
      <c r="AZ155" s="8">
        <v>3.3886764916342377E-2</v>
      </c>
      <c r="BA155" s="8">
        <v>3.3497732163379937E-2</v>
      </c>
      <c r="BB155" s="10" t="s">
        <v>19</v>
      </c>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row>
    <row r="156" spans="2:80" x14ac:dyDescent="0.2">
      <c r="B156" s="101" t="s">
        <v>165</v>
      </c>
      <c r="C156" s="8">
        <v>151.74842871937327</v>
      </c>
      <c r="D156" s="8">
        <v>148.52016616287838</v>
      </c>
      <c r="E156" s="8">
        <v>145.56056323376583</v>
      </c>
      <c r="F156" s="8">
        <v>142.83742245426888</v>
      </c>
      <c r="G156" s="8">
        <v>140.32349364708921</v>
      </c>
      <c r="H156" s="8">
        <v>137.99555886540128</v>
      </c>
      <c r="I156" s="8">
        <v>133.828810755848</v>
      </c>
      <c r="J156" s="8">
        <v>129.82304789698313</v>
      </c>
      <c r="K156" s="8">
        <v>125.96911743432176</v>
      </c>
      <c r="L156" s="8">
        <v>122.25854745855342</v>
      </c>
      <c r="M156" s="8">
        <v>118.68348483646868</v>
      </c>
      <c r="N156" s="8">
        <v>114.2651888594816</v>
      </c>
      <c r="O156" s="8">
        <v>109.99076996391385</v>
      </c>
      <c r="P156" s="8">
        <v>105.85331293816256</v>
      </c>
      <c r="Q156" s="8">
        <v>101.84633874016508</v>
      </c>
      <c r="R156" s="8">
        <v>97.963770642581849</v>
      </c>
      <c r="S156" s="8">
        <v>93.645048213783568</v>
      </c>
      <c r="T156" s="8">
        <v>89.365919255052404</v>
      </c>
      <c r="U156" s="8">
        <v>85.125841769402911</v>
      </c>
      <c r="V156" s="8">
        <v>80.924283607479765</v>
      </c>
      <c r="W156" s="8">
        <v>76.760722244915129</v>
      </c>
      <c r="X156" s="8">
        <v>73.137513823730529</v>
      </c>
      <c r="Y156" s="8">
        <v>69.506367401219677</v>
      </c>
      <c r="Z156" s="8">
        <v>65.867256862006798</v>
      </c>
      <c r="AA156" s="8">
        <v>62.220155976033702</v>
      </c>
      <c r="AB156" s="8">
        <v>58.565038397929655</v>
      </c>
      <c r="AC156" s="8">
        <v>55.838281971880626</v>
      </c>
      <c r="AD156" s="8">
        <v>53.128982153223816</v>
      </c>
      <c r="AE156" s="8">
        <v>50.436971841880968</v>
      </c>
      <c r="AF156" s="8">
        <v>47.762086063702377</v>
      </c>
      <c r="AG156" s="8">
        <v>45.104161936765259</v>
      </c>
      <c r="AH156" s="8">
        <v>42.290326755124006</v>
      </c>
      <c r="AI156" s="8">
        <v>39.544856672063958</v>
      </c>
      <c r="AJ156" s="8">
        <v>36.865290087722173</v>
      </c>
      <c r="AK156" s="8">
        <v>34.249282179351127</v>
      </c>
      <c r="AL156" s="8">
        <v>31.694598057670596</v>
      </c>
      <c r="AM156" s="8">
        <v>29.330914710313984</v>
      </c>
      <c r="AN156" s="8">
        <v>27.03491429548766</v>
      </c>
      <c r="AO156" s="8">
        <v>24.803730745239033</v>
      </c>
      <c r="AP156" s="8">
        <v>22.634657559415288</v>
      </c>
      <c r="AQ156" s="8">
        <v>20.525136853222726</v>
      </c>
      <c r="AR156" s="8">
        <v>19.057321891154679</v>
      </c>
      <c r="AS156" s="8">
        <v>17.625939662973064</v>
      </c>
      <c r="AT156" s="8">
        <v>16.229650347565919</v>
      </c>
      <c r="AU156" s="8">
        <v>14.867179024497085</v>
      </c>
      <c r="AV156" s="8">
        <v>13.537311791305282</v>
      </c>
      <c r="AW156" s="8">
        <v>12.685157298533118</v>
      </c>
      <c r="AX156" s="8">
        <v>11.847750260618479</v>
      </c>
      <c r="AY156" s="8">
        <v>11.024711130817593</v>
      </c>
      <c r="AZ156" s="8">
        <v>10.215673275838967</v>
      </c>
      <c r="BA156" s="8">
        <v>9.4202824312767444</v>
      </c>
      <c r="BB156" s="10" t="s">
        <v>19</v>
      </c>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row>
    <row r="157" spans="2:80" x14ac:dyDescent="0.2">
      <c r="B157" s="101" t="s">
        <v>167</v>
      </c>
      <c r="C157" s="8">
        <v>37.208267558830833</v>
      </c>
      <c r="D157" s="8">
        <v>36.007209944494399</v>
      </c>
      <c r="E157" s="8">
        <v>34.92626556294212</v>
      </c>
      <c r="F157" s="8">
        <v>33.948274364348642</v>
      </c>
      <c r="G157" s="8">
        <v>33.059196484387279</v>
      </c>
      <c r="H157" s="8">
        <v>32.247433906344028</v>
      </c>
      <c r="I157" s="8">
        <v>31.046670433030545</v>
      </c>
      <c r="J157" s="8">
        <v>29.893478191721343</v>
      </c>
      <c r="K157" s="8">
        <v>28.78508511455798</v>
      </c>
      <c r="L157" s="8">
        <v>27.718930408242645</v>
      </c>
      <c r="M157" s="8">
        <v>26.692644802386283</v>
      </c>
      <c r="N157" s="8">
        <v>25.747753225857036</v>
      </c>
      <c r="O157" s="8">
        <v>24.845590172901918</v>
      </c>
      <c r="P157" s="8">
        <v>23.983321414757054</v>
      </c>
      <c r="Q157" s="8">
        <v>23.158357963537171</v>
      </c>
      <c r="R157" s="8">
        <v>22.36833010855111</v>
      </c>
      <c r="S157" s="8">
        <v>21.641526583924911</v>
      </c>
      <c r="T157" s="8">
        <v>20.95689227938357</v>
      </c>
      <c r="U157" s="8">
        <v>20.310860665976826</v>
      </c>
      <c r="V157" s="8">
        <v>19.700256380098789</v>
      </c>
      <c r="W157" s="8">
        <v>19.122243027475186</v>
      </c>
      <c r="X157" s="8">
        <v>18.437603022073752</v>
      </c>
      <c r="Y157" s="8">
        <v>17.79504295007634</v>
      </c>
      <c r="Z157" s="8">
        <v>17.190798950670779</v>
      </c>
      <c r="AA157" s="8">
        <v>16.621543047637743</v>
      </c>
      <c r="AB157" s="8">
        <v>16.084321826209116</v>
      </c>
      <c r="AC157" s="8">
        <v>15.329539237542321</v>
      </c>
      <c r="AD157" s="8">
        <v>14.614021205621912</v>
      </c>
      <c r="AE157" s="8">
        <v>13.934781529868381</v>
      </c>
      <c r="AF157" s="8">
        <v>13.289129336857005</v>
      </c>
      <c r="AG157" s="8">
        <v>12.674633452374309</v>
      </c>
      <c r="AH157" s="8">
        <v>11.861442536284011</v>
      </c>
      <c r="AI157" s="8">
        <v>11.084503828692634</v>
      </c>
      <c r="AJ157" s="8">
        <v>10.341445991249902</v>
      </c>
      <c r="AK157" s="8">
        <v>9.6301000917462272</v>
      </c>
      <c r="AL157" s="8">
        <v>8.9484784597781637</v>
      </c>
      <c r="AM157" s="8">
        <v>8.3350671271549199</v>
      </c>
      <c r="AN157" s="8">
        <v>7.7454196661086767</v>
      </c>
      <c r="AO157" s="8">
        <v>7.17818138048119</v>
      </c>
      <c r="AP157" s="8">
        <v>6.6320986226965175</v>
      </c>
      <c r="AQ157" s="8">
        <v>6.1060095445540306</v>
      </c>
      <c r="AR157" s="8">
        <v>5.6765392656527354</v>
      </c>
      <c r="AS157" s="8">
        <v>5.2620206148005471</v>
      </c>
      <c r="AT157" s="8">
        <v>4.8616861591781593</v>
      </c>
      <c r="AU157" s="8">
        <v>4.4748201032500621</v>
      </c>
      <c r="AV157" s="8">
        <v>4.1007540175466017</v>
      </c>
      <c r="AW157" s="8">
        <v>3.8016436799700193</v>
      </c>
      <c r="AX157" s="8">
        <v>3.511755188683567</v>
      </c>
      <c r="AY157" s="8">
        <v>3.2306685412376455</v>
      </c>
      <c r="AZ157" s="8">
        <v>2.9579888587230099</v>
      </c>
      <c r="BA157" s="8">
        <v>2.6933445349117595</v>
      </c>
      <c r="BB157" s="10" t="s">
        <v>19</v>
      </c>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row>
    <row r="158" spans="2:80" x14ac:dyDescent="0.2">
      <c r="B158" s="101" t="s">
        <v>166</v>
      </c>
      <c r="C158" s="8">
        <v>66.76529334551293</v>
      </c>
      <c r="D158" s="8">
        <v>65.629192566296965</v>
      </c>
      <c r="E158" s="8">
        <v>64.569943314170459</v>
      </c>
      <c r="F158" s="8">
        <v>63.580002774644854</v>
      </c>
      <c r="G158" s="8">
        <v>62.652783944616658</v>
      </c>
      <c r="H158" s="8">
        <v>61.782508883023148</v>
      </c>
      <c r="I158" s="8">
        <v>59.806611972478741</v>
      </c>
      <c r="J158" s="8">
        <v>57.893402732989074</v>
      </c>
      <c r="K158" s="8">
        <v>56.039944488340787</v>
      </c>
      <c r="L158" s="8">
        <v>54.243481171351107</v>
      </c>
      <c r="M158" s="8">
        <v>52.501423649530729</v>
      </c>
      <c r="N158" s="8">
        <v>51.084877517373371</v>
      </c>
      <c r="O158" s="8">
        <v>49.731019387992994</v>
      </c>
      <c r="P158" s="8">
        <v>48.435778041894636</v>
      </c>
      <c r="Q158" s="8">
        <v>47.19542732546978</v>
      </c>
      <c r="R158" s="8">
        <v>46.006550350975907</v>
      </c>
      <c r="S158" s="8">
        <v>44.497769757513552</v>
      </c>
      <c r="T158" s="8">
        <v>43.068654178407535</v>
      </c>
      <c r="U158" s="8">
        <v>41.713056324987306</v>
      </c>
      <c r="V158" s="8">
        <v>40.425445516211589</v>
      </c>
      <c r="W158" s="8">
        <v>39.200832258420384</v>
      </c>
      <c r="X158" s="8">
        <v>37.687058490769772</v>
      </c>
      <c r="Y158" s="8">
        <v>36.260313690836675</v>
      </c>
      <c r="Z158" s="8">
        <v>34.913302445057191</v>
      </c>
      <c r="AA158" s="8">
        <v>33.639522582279504</v>
      </c>
      <c r="AB158" s="8">
        <v>32.433160213681575</v>
      </c>
      <c r="AC158" s="8">
        <v>30.881428166536772</v>
      </c>
      <c r="AD158" s="8">
        <v>29.408656195520347</v>
      </c>
      <c r="AE158" s="8">
        <v>28.008966994570965</v>
      </c>
      <c r="AF158" s="8">
        <v>26.677052430099994</v>
      </c>
      <c r="AG158" s="8">
        <v>25.408106269630519</v>
      </c>
      <c r="AH158" s="8">
        <v>23.757786164255453</v>
      </c>
      <c r="AI158" s="8">
        <v>22.183080573835284</v>
      </c>
      <c r="AJ158" s="8">
        <v>20.678909116109455</v>
      </c>
      <c r="AK158" s="8">
        <v>19.240636559677583</v>
      </c>
      <c r="AL158" s="8">
        <v>17.864025113125763</v>
      </c>
      <c r="AM158" s="8">
        <v>16.462903324242216</v>
      </c>
      <c r="AN158" s="8">
        <v>15.11995593861891</v>
      </c>
      <c r="AO158" s="8">
        <v>13.8316335506615</v>
      </c>
      <c r="AP158" s="8">
        <v>12.594669746745984</v>
      </c>
      <c r="AQ158" s="8">
        <v>11.406053452919823</v>
      </c>
      <c r="AR158" s="8">
        <v>10.512914764222606</v>
      </c>
      <c r="AS158" s="8">
        <v>9.6541078119132688</v>
      </c>
      <c r="AT158" s="8">
        <v>8.827690386462347</v>
      </c>
      <c r="AU158" s="8">
        <v>8.031864066053215</v>
      </c>
      <c r="AV158" s="8">
        <v>7.2649611520780892</v>
      </c>
      <c r="AW158" s="8">
        <v>6.6467956387907279</v>
      </c>
      <c r="AX158" s="8">
        <v>6.0502457813681838</v>
      </c>
      <c r="AY158" s="8">
        <v>5.4741972959103729</v>
      </c>
      <c r="AZ158" s="8">
        <v>4.9176111929412567</v>
      </c>
      <c r="BA158" s="8">
        <v>4.379517523313055</v>
      </c>
      <c r="BB158" s="10" t="s">
        <v>19</v>
      </c>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row>
    <row r="159" spans="2:80" x14ac:dyDescent="0.2">
      <c r="B159" s="101" t="s">
        <v>168</v>
      </c>
      <c r="C159" s="8">
        <v>45.840215866107947</v>
      </c>
      <c r="D159" s="8">
        <v>44.545646431241515</v>
      </c>
      <c r="E159" s="8">
        <v>43.368610868044428</v>
      </c>
      <c r="F159" s="8">
        <v>42.293797893281429</v>
      </c>
      <c r="G159" s="8">
        <v>41.308445037802656</v>
      </c>
      <c r="H159" s="8">
        <v>40.401829471806487</v>
      </c>
      <c r="I159" s="8">
        <v>38.963229669186383</v>
      </c>
      <c r="J159" s="8">
        <v>37.578507796610957</v>
      </c>
      <c r="K159" s="8">
        <v>36.244692764461142</v>
      </c>
      <c r="L159" s="8">
        <v>34.959027993733592</v>
      </c>
      <c r="M159" s="8">
        <v>33.718952399881339</v>
      </c>
      <c r="N159" s="8">
        <v>32.643453550862382</v>
      </c>
      <c r="O159" s="8">
        <v>31.616306613420409</v>
      </c>
      <c r="P159" s="8">
        <v>30.634322589303949</v>
      </c>
      <c r="Q159" s="8">
        <v>29.694586883530846</v>
      </c>
      <c r="R159" s="8">
        <v>28.794430411500993</v>
      </c>
      <c r="S159" s="8">
        <v>27.842589401332031</v>
      </c>
      <c r="T159" s="8">
        <v>26.944629686730444</v>
      </c>
      <c r="U159" s="8">
        <v>26.096102072124722</v>
      </c>
      <c r="V159" s="8">
        <v>25.293034090798361</v>
      </c>
      <c r="W159" s="8">
        <v>24.531867819139265</v>
      </c>
      <c r="X159" s="8">
        <v>23.615957887322029</v>
      </c>
      <c r="Y159" s="8">
        <v>22.755366051637615</v>
      </c>
      <c r="Z159" s="8">
        <v>21.945227656997208</v>
      </c>
      <c r="AA159" s="8">
        <v>21.181232199242793</v>
      </c>
      <c r="AB159" s="8">
        <v>20.459546603325453</v>
      </c>
      <c r="AC159" s="8">
        <v>19.489753789660664</v>
      </c>
      <c r="AD159" s="8">
        <v>18.570116345817361</v>
      </c>
      <c r="AE159" s="8">
        <v>17.696841474955857</v>
      </c>
      <c r="AF159" s="8">
        <v>16.866509397476424</v>
      </c>
      <c r="AG159" s="8">
        <v>16.07602859419033</v>
      </c>
      <c r="AH159" s="8">
        <v>15.040645606805056</v>
      </c>
      <c r="AI159" s="8">
        <v>14.051762468996904</v>
      </c>
      <c r="AJ159" s="8">
        <v>13.106315461530677</v>
      </c>
      <c r="AK159" s="8">
        <v>12.201504225451444</v>
      </c>
      <c r="AL159" s="8">
        <v>11.334764059047782</v>
      </c>
      <c r="AM159" s="8">
        <v>10.512792141377378</v>
      </c>
      <c r="AN159" s="8">
        <v>9.7232760024379221</v>
      </c>
      <c r="AO159" s="8">
        <v>8.9643305709775571</v>
      </c>
      <c r="AP159" s="8">
        <v>8.2342139861195278</v>
      </c>
      <c r="AQ159" s="8">
        <v>7.5313142510851536</v>
      </c>
      <c r="AR159" s="8">
        <v>6.9789356585843327</v>
      </c>
      <c r="AS159" s="8">
        <v>6.4463272616357381</v>
      </c>
      <c r="AT159" s="8">
        <v>5.9324463271616317</v>
      </c>
      <c r="AU159" s="8">
        <v>5.4363221838880902</v>
      </c>
      <c r="AV159" s="8">
        <v>4.9570501029592089</v>
      </c>
      <c r="AW159" s="8">
        <v>4.5728336411850519</v>
      </c>
      <c r="AX159" s="8">
        <v>4.20089415391715</v>
      </c>
      <c r="AY159" s="8">
        <v>3.8406524601944207</v>
      </c>
      <c r="AZ159" s="8">
        <v>3.4915652464333635</v>
      </c>
      <c r="BA159" s="8">
        <v>3.1531223322752595</v>
      </c>
      <c r="BB159" s="10" t="s">
        <v>19</v>
      </c>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row>
    <row r="160" spans="2:80" x14ac:dyDescent="0.2">
      <c r="B160" s="101" t="s">
        <v>169</v>
      </c>
      <c r="C160" s="8">
        <v>3.9374689802905536</v>
      </c>
      <c r="D160" s="8">
        <v>3.8532287657652851</v>
      </c>
      <c r="E160" s="8">
        <v>3.7748327790897021</v>
      </c>
      <c r="F160" s="8">
        <v>3.7016932376787195</v>
      </c>
      <c r="G160" s="8">
        <v>3.6332986237331051</v>
      </c>
      <c r="H160" s="8">
        <v>3.5692017036651262</v>
      </c>
      <c r="I160" s="8">
        <v>3.4208007420512239</v>
      </c>
      <c r="J160" s="8">
        <v>3.2807938715456877</v>
      </c>
      <c r="K160" s="8">
        <v>3.1484884805589819</v>
      </c>
      <c r="L160" s="8">
        <v>3.023266116024891</v>
      </c>
      <c r="M160" s="8">
        <v>2.9045728168794529</v>
      </c>
      <c r="N160" s="8">
        <v>2.7360977953766739</v>
      </c>
      <c r="O160" s="8">
        <v>2.5797556071627992</v>
      </c>
      <c r="P160" s="8">
        <v>2.4342811746277886</v>
      </c>
      <c r="Q160" s="8">
        <v>2.2985793903520766</v>
      </c>
      <c r="R160" s="8">
        <v>2.1716974992140652</v>
      </c>
      <c r="S160" s="8">
        <v>2.0130303326107466</v>
      </c>
      <c r="T160" s="8">
        <v>1.8671876785137396</v>
      </c>
      <c r="U160" s="8">
        <v>1.732675091538711</v>
      </c>
      <c r="V160" s="8">
        <v>1.6082216419100144</v>
      </c>
      <c r="W160" s="8">
        <v>1.4927396341887831</v>
      </c>
      <c r="X160" s="8">
        <v>1.3402079458021059</v>
      </c>
      <c r="Y160" s="8">
        <v>1.2017748517122973</v>
      </c>
      <c r="Z160" s="8">
        <v>1.0755719868336202</v>
      </c>
      <c r="AA160" s="8">
        <v>0.96004715095646831</v>
      </c>
      <c r="AB160" s="8">
        <v>0.85390014633512512</v>
      </c>
      <c r="AC160" s="8">
        <v>0.71256460513056485</v>
      </c>
      <c r="AD160" s="8">
        <v>0.58369236135622105</v>
      </c>
      <c r="AE160" s="8">
        <v>0.4657044686732924</v>
      </c>
      <c r="AF160" s="8">
        <v>0.35727788485800588</v>
      </c>
      <c r="AG160" s="8">
        <v>0.25729564677840244</v>
      </c>
      <c r="AH160" s="8">
        <v>0.23804087256003681</v>
      </c>
      <c r="AI160" s="8">
        <v>0.22048191279797555</v>
      </c>
      <c r="AJ160" s="8">
        <v>0.20440418517309836</v>
      </c>
      <c r="AK160" s="8">
        <v>0.18962784546405384</v>
      </c>
      <c r="AL160" s="8">
        <v>0.17600103141960433</v>
      </c>
      <c r="AM160" s="8">
        <v>0.15986648194467565</v>
      </c>
      <c r="AN160" s="8">
        <v>0.14509896600474814</v>
      </c>
      <c r="AO160" s="8">
        <v>0.13153180742027082</v>
      </c>
      <c r="AP160" s="8">
        <v>0.119024367876587</v>
      </c>
      <c r="AQ160" s="8">
        <v>0.10745715354488887</v>
      </c>
      <c r="AR160" s="8">
        <v>9.3870639935138417E-2</v>
      </c>
      <c r="AS160" s="8">
        <v>8.1363039889996769E-2</v>
      </c>
      <c r="AT160" s="8">
        <v>6.9810745496422355E-2</v>
      </c>
      <c r="AU160" s="8">
        <v>5.910833614031704E-2</v>
      </c>
      <c r="AV160" s="8">
        <v>4.9165352154455298E-2</v>
      </c>
      <c r="AW160" s="8">
        <v>3.8224779311875429E-2</v>
      </c>
      <c r="AX160" s="8">
        <v>2.788345358637534E-2</v>
      </c>
      <c r="AY160" s="8">
        <v>1.8093453603472424E-2</v>
      </c>
      <c r="AZ160" s="8">
        <v>8.8118349719658751E-3</v>
      </c>
      <c r="BA160" s="8">
        <v>5.155523411776277E-10</v>
      </c>
      <c r="BB160" s="10" t="s">
        <v>19</v>
      </c>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row>
    <row r="161" spans="2:80" x14ac:dyDescent="0.2">
      <c r="B161" s="101" t="s">
        <v>170</v>
      </c>
      <c r="C161" s="8">
        <v>0</v>
      </c>
      <c r="D161" s="8">
        <v>0</v>
      </c>
      <c r="E161" s="8">
        <v>0</v>
      </c>
      <c r="F161" s="8">
        <v>0</v>
      </c>
      <c r="G161" s="8">
        <v>0</v>
      </c>
      <c r="H161" s="8">
        <v>0</v>
      </c>
      <c r="I161" s="8">
        <v>0</v>
      </c>
      <c r="J161" s="8">
        <v>0</v>
      </c>
      <c r="K161" s="8">
        <v>0</v>
      </c>
      <c r="L161" s="8">
        <v>0</v>
      </c>
      <c r="M161" s="8">
        <v>0</v>
      </c>
      <c r="N161" s="8">
        <v>0</v>
      </c>
      <c r="O161" s="8">
        <v>0</v>
      </c>
      <c r="P161" s="8">
        <v>0</v>
      </c>
      <c r="Q161" s="8">
        <v>0</v>
      </c>
      <c r="R161" s="8">
        <v>0</v>
      </c>
      <c r="S161" s="8">
        <v>0</v>
      </c>
      <c r="T161" s="8">
        <v>0</v>
      </c>
      <c r="U161" s="8">
        <v>0</v>
      </c>
      <c r="V161" s="8">
        <v>0</v>
      </c>
      <c r="W161" s="8">
        <v>0</v>
      </c>
      <c r="X161" s="8">
        <v>0</v>
      </c>
      <c r="Y161" s="8">
        <v>0</v>
      </c>
      <c r="Z161" s="8">
        <v>0</v>
      </c>
      <c r="AA161" s="8">
        <v>0</v>
      </c>
      <c r="AB161" s="8">
        <v>0</v>
      </c>
      <c r="AC161" s="8">
        <v>0</v>
      </c>
      <c r="AD161" s="8">
        <v>0</v>
      </c>
      <c r="AE161" s="8">
        <v>0</v>
      </c>
      <c r="AF161" s="8">
        <v>0</v>
      </c>
      <c r="AG161" s="8">
        <v>0</v>
      </c>
      <c r="AH161" s="8">
        <v>0</v>
      </c>
      <c r="AI161" s="8">
        <v>0</v>
      </c>
      <c r="AJ161" s="8">
        <v>0</v>
      </c>
      <c r="AK161" s="8">
        <v>0</v>
      </c>
      <c r="AL161" s="8">
        <v>0</v>
      </c>
      <c r="AM161" s="8">
        <v>0</v>
      </c>
      <c r="AN161" s="8">
        <v>0</v>
      </c>
      <c r="AO161" s="8">
        <v>0</v>
      </c>
      <c r="AP161" s="8">
        <v>0</v>
      </c>
      <c r="AQ161" s="8">
        <v>0</v>
      </c>
      <c r="AR161" s="8">
        <v>0</v>
      </c>
      <c r="AS161" s="8">
        <v>0</v>
      </c>
      <c r="AT161" s="8">
        <v>0</v>
      </c>
      <c r="AU161" s="8">
        <v>0</v>
      </c>
      <c r="AV161" s="8">
        <v>0</v>
      </c>
      <c r="AW161" s="8">
        <v>0</v>
      </c>
      <c r="AX161" s="8">
        <v>0</v>
      </c>
      <c r="AY161" s="8">
        <v>0</v>
      </c>
      <c r="AZ161" s="8">
        <v>0</v>
      </c>
      <c r="BA161" s="8">
        <v>0</v>
      </c>
      <c r="BB161" s="10" t="s">
        <v>19</v>
      </c>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row>
    <row r="162" spans="2:80" x14ac:dyDescent="0.2">
      <c r="B162" s="101" t="s">
        <v>171</v>
      </c>
      <c r="C162" s="8">
        <v>16.975947814433873</v>
      </c>
      <c r="D162" s="8">
        <v>16.552999115610117</v>
      </c>
      <c r="E162" s="8">
        <v>16.156863903859509</v>
      </c>
      <c r="F162" s="8">
        <v>15.785070697154229</v>
      </c>
      <c r="G162" s="8">
        <v>15.435442698317626</v>
      </c>
      <c r="H162" s="8">
        <v>15.106055145744733</v>
      </c>
      <c r="I162" s="8">
        <v>14.447150370106105</v>
      </c>
      <c r="J162" s="8">
        <v>13.821487384891727</v>
      </c>
      <c r="K162" s="8">
        <v>13.226612508446792</v>
      </c>
      <c r="L162" s="8">
        <v>12.660307745531313</v>
      </c>
      <c r="M162" s="8">
        <v>12.120563152592064</v>
      </c>
      <c r="N162" s="8">
        <v>11.60968415542709</v>
      </c>
      <c r="O162" s="8">
        <v>11.131666092986988</v>
      </c>
      <c r="P162" s="8">
        <v>10.683437217739334</v>
      </c>
      <c r="Q162" s="8">
        <v>10.262297064410859</v>
      </c>
      <c r="R162" s="8">
        <v>9.8658619992252454</v>
      </c>
      <c r="S162" s="8">
        <v>9.2670948753732851</v>
      </c>
      <c r="T162" s="8">
        <v>8.710843548904295</v>
      </c>
      <c r="U162" s="8">
        <v>8.1927349873726758</v>
      </c>
      <c r="V162" s="8">
        <v>7.7089760052467282</v>
      </c>
      <c r="W162" s="8">
        <v>7.2562602407576051</v>
      </c>
      <c r="X162" s="8">
        <v>6.6834119821901297</v>
      </c>
      <c r="Y162" s="8">
        <v>6.1568274603695317</v>
      </c>
      <c r="Z162" s="8">
        <v>5.6711197506962359</v>
      </c>
      <c r="AA162" s="8">
        <v>5.2217070147697289</v>
      </c>
      <c r="AB162" s="8">
        <v>4.8046675153677603</v>
      </c>
      <c r="AC162" s="8">
        <v>4.3249435756134993</v>
      </c>
      <c r="AD162" s="8">
        <v>3.8838148373009336</v>
      </c>
      <c r="AE162" s="8">
        <v>3.4768037695415979</v>
      </c>
      <c r="AF162" s="8">
        <v>3.1000996553570901</v>
      </c>
      <c r="AG162" s="8">
        <v>2.7504389161966389</v>
      </c>
      <c r="AH162" s="8">
        <v>2.3458789660285246</v>
      </c>
      <c r="AI162" s="8">
        <v>1.9750706429914819</v>
      </c>
      <c r="AJ162" s="8">
        <v>1.633959335094697</v>
      </c>
      <c r="AK162" s="8">
        <v>1.3191148708557199</v>
      </c>
      <c r="AL162" s="8">
        <v>1.0276157654174085</v>
      </c>
      <c r="AM162" s="8">
        <v>0.60490165197210388</v>
      </c>
      <c r="AN162" s="8">
        <v>0.21861840154620182</v>
      </c>
      <c r="AO162" s="8">
        <v>-0.13574901936913358</v>
      </c>
      <c r="AP162" s="8">
        <v>-0.4619991535196033</v>
      </c>
      <c r="AQ162" s="8">
        <v>-0.76335075450991485</v>
      </c>
      <c r="AR162" s="8">
        <v>-0.9753896922876758</v>
      </c>
      <c r="AS162" s="8">
        <v>-1.1705984202734909</v>
      </c>
      <c r="AT162" s="8">
        <v>-1.350904251467876</v>
      </c>
      <c r="AU162" s="8">
        <v>-1.5179510436090027</v>
      </c>
      <c r="AV162" s="8">
        <v>-1.6731494617952951</v>
      </c>
      <c r="AW162" s="8">
        <v>-1.7166018236889005</v>
      </c>
      <c r="AX162" s="8">
        <v>-1.7580923340129126</v>
      </c>
      <c r="AY162" s="8">
        <v>-1.7977509244620886</v>
      </c>
      <c r="AZ162" s="8">
        <v>-1.8356963008756713</v>
      </c>
      <c r="BA162" s="8">
        <v>-1.8720371299706684</v>
      </c>
      <c r="BB162" s="10" t="s">
        <v>19</v>
      </c>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row>
    <row r="163" spans="2:80" x14ac:dyDescent="0.2">
      <c r="B163" s="101" t="s">
        <v>107</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c r="BA163" s="103"/>
      <c r="BB163" s="10"/>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row>
    <row r="164" spans="2:80" x14ac:dyDescent="0.2">
      <c r="B164" s="101" t="s">
        <v>8</v>
      </c>
      <c r="C164" s="8">
        <v>25.25816419589356</v>
      </c>
      <c r="D164" s="8">
        <v>24.9236407134273</v>
      </c>
      <c r="E164" s="8">
        <v>24.615824665958662</v>
      </c>
      <c r="F164" s="8">
        <v>24.33164045489616</v>
      </c>
      <c r="G164" s="8">
        <v>24.068467267468026</v>
      </c>
      <c r="H164" s="8">
        <v>23.824058012514218</v>
      </c>
      <c r="I164" s="8">
        <v>23.086700570605959</v>
      </c>
      <c r="J164" s="8">
        <v>22.400885154583044</v>
      </c>
      <c r="K164" s="8">
        <v>21.761390008365993</v>
      </c>
      <c r="L164" s="8">
        <v>21.163675693199636</v>
      </c>
      <c r="M164" s="8">
        <v>20.603777166665402</v>
      </c>
      <c r="N164" s="8">
        <v>19.949336945809563</v>
      </c>
      <c r="O164" s="8">
        <v>19.335860541926703</v>
      </c>
      <c r="P164" s="8">
        <v>18.759618559665768</v>
      </c>
      <c r="Q164" s="8">
        <v>18.217320974919662</v>
      </c>
      <c r="R164" s="8">
        <v>17.706054281505857</v>
      </c>
      <c r="S164" s="8">
        <v>17.090101563124961</v>
      </c>
      <c r="T164" s="8">
        <v>16.511736495612634</v>
      </c>
      <c r="U164" s="8">
        <v>15.96762034909727</v>
      </c>
      <c r="V164" s="8">
        <v>15.454798440412477</v>
      </c>
      <c r="W164" s="8">
        <v>14.97064645661594</v>
      </c>
      <c r="X164" s="8">
        <v>14.375088112090184</v>
      </c>
      <c r="Y164" s="8">
        <v>13.81435339817129</v>
      </c>
      <c r="Z164" s="8">
        <v>13.28547475135915</v>
      </c>
      <c r="AA164" s="8">
        <v>12.785812477094094</v>
      </c>
      <c r="AB164" s="8">
        <v>12.313010686402796</v>
      </c>
      <c r="AC164" s="8">
        <v>11.764148605167891</v>
      </c>
      <c r="AD164" s="8">
        <v>11.246423258683331</v>
      </c>
      <c r="AE164" s="8">
        <v>10.757258165861048</v>
      </c>
      <c r="AF164" s="8">
        <v>10.294353477930214</v>
      </c>
      <c r="AG164" s="8">
        <v>9.8556498220331878</v>
      </c>
      <c r="AH164" s="8">
        <v>9.405565513088332</v>
      </c>
      <c r="AI164" s="8">
        <v>8.9808700382674491</v>
      </c>
      <c r="AJ164" s="8">
        <v>8.5794740851347555</v>
      </c>
      <c r="AK164" s="8">
        <v>8.199511467240189</v>
      </c>
      <c r="AL164" s="8">
        <v>7.8393101130323153</v>
      </c>
      <c r="AM164" s="8">
        <v>7.4544240042454808</v>
      </c>
      <c r="AN164" s="8">
        <v>7.0926719353905465</v>
      </c>
      <c r="AO164" s="8">
        <v>6.7520290121051412</v>
      </c>
      <c r="AP164" s="8">
        <v>6.4306999560749416</v>
      </c>
      <c r="AQ164" s="8">
        <v>6.1270874551929504</v>
      </c>
      <c r="AR164" s="8">
        <v>5.8753685859119829</v>
      </c>
      <c r="AS164" s="8">
        <v>5.6325416685052501</v>
      </c>
      <c r="AT164" s="8">
        <v>5.3981437190215411</v>
      </c>
      <c r="AU164" s="8">
        <v>5.1717433472170269</v>
      </c>
      <c r="AV164" s="8">
        <v>4.9529381068427538</v>
      </c>
      <c r="AW164" s="8">
        <v>4.7679778707947449</v>
      </c>
      <c r="AX164" s="8">
        <v>4.5889409931360001</v>
      </c>
      <c r="AY164" s="8">
        <v>4.4155474146629716</v>
      </c>
      <c r="AZ164" s="8">
        <v>4.2475344573518639</v>
      </c>
      <c r="BA164" s="8">
        <v>4.084655496560492</v>
      </c>
      <c r="BB164" s="10" t="s">
        <v>20</v>
      </c>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row>
    <row r="165" spans="2:80" x14ac:dyDescent="0.2">
      <c r="B165" s="101" t="s">
        <v>181</v>
      </c>
      <c r="C165" s="8">
        <v>417.51551845257956</v>
      </c>
      <c r="D165" s="8">
        <v>422.06345744814553</v>
      </c>
      <c r="E165" s="8">
        <v>426.10197485509042</v>
      </c>
      <c r="F165" s="8">
        <v>429.71212291529343</v>
      </c>
      <c r="G165" s="8">
        <v>432.95862528929854</v>
      </c>
      <c r="H165" s="8">
        <v>435.89379178714779</v>
      </c>
      <c r="I165" s="8">
        <v>430.61579028700237</v>
      </c>
      <c r="J165" s="8">
        <v>425.11787205768422</v>
      </c>
      <c r="K165" s="8">
        <v>419.38599986116094</v>
      </c>
      <c r="L165" s="8">
        <v>413.4049158300063</v>
      </c>
      <c r="M165" s="8">
        <v>407.15800584191152</v>
      </c>
      <c r="N165" s="8">
        <v>402.76583451802662</v>
      </c>
      <c r="O165" s="8">
        <v>398.19065605564663</v>
      </c>
      <c r="P165" s="8">
        <v>393.42078914805887</v>
      </c>
      <c r="Q165" s="8">
        <v>388.44353672275003</v>
      </c>
      <c r="R165" s="8">
        <v>383.24507307853838</v>
      </c>
      <c r="S165" s="8">
        <v>376.40423715261761</v>
      </c>
      <c r="T165" s="8">
        <v>369.27836639645022</v>
      </c>
      <c r="U165" s="8">
        <v>361.84926709746713</v>
      </c>
      <c r="V165" s="8">
        <v>354.09716348113693</v>
      </c>
      <c r="W165" s="8">
        <v>346.00052192630324</v>
      </c>
      <c r="X165" s="8">
        <v>328.87550029374819</v>
      </c>
      <c r="Y165" s="8">
        <v>311.03693609317003</v>
      </c>
      <c r="Z165" s="8">
        <v>292.43928405426936</v>
      </c>
      <c r="AA165" s="8">
        <v>273.03303844845999</v>
      </c>
      <c r="AB165" s="8">
        <v>252.76429303794794</v>
      </c>
      <c r="AC165" s="8">
        <v>207.53241011487086</v>
      </c>
      <c r="AD165" s="8">
        <v>160.41586540333225</v>
      </c>
      <c r="AE165" s="8">
        <v>111.29436134236641</v>
      </c>
      <c r="AF165" s="8">
        <v>60.03713971353254</v>
      </c>
      <c r="AG165" s="8">
        <v>6.5018193456393707</v>
      </c>
      <c r="AH165" s="8">
        <v>5.3692879373869884</v>
      </c>
      <c r="AI165" s="8">
        <v>4.1895677204574246</v>
      </c>
      <c r="AJ165" s="8">
        <v>2.9596466432329867</v>
      </c>
      <c r="AK165" s="8">
        <v>1.6762507365640076</v>
      </c>
      <c r="AL165" s="8">
        <v>0.33581501182085083</v>
      </c>
      <c r="AM165" s="8">
        <v>0.33320808691581544</v>
      </c>
      <c r="AN165" s="8">
        <v>0.33049254013973678</v>
      </c>
      <c r="AO165" s="8">
        <v>0.3276614381816973</v>
      </c>
      <c r="AP165" s="8">
        <v>0.3247072448341779</v>
      </c>
      <c r="AQ165" s="8">
        <v>0.32162175400454657</v>
      </c>
      <c r="AR165" s="8">
        <v>0.3190638442648423</v>
      </c>
      <c r="AS165" s="8">
        <v>0.31639935495265037</v>
      </c>
      <c r="AT165" s="8">
        <v>0.31362148311653532</v>
      </c>
      <c r="AU165" s="8">
        <v>0.31072283424406749</v>
      </c>
      <c r="AV165" s="8">
        <v>0.30769535653282332</v>
      </c>
      <c r="AW165" s="8">
        <v>0.30507447570000895</v>
      </c>
      <c r="AX165" s="8">
        <v>0.3023443914991607</v>
      </c>
      <c r="AY165" s="8">
        <v>0.29949813350253157</v>
      </c>
      <c r="AZ165" s="8">
        <v>0.29652812515822308</v>
      </c>
      <c r="BA165" s="8">
        <v>0.29342611644305622</v>
      </c>
      <c r="BB165" s="10" t="s">
        <v>20</v>
      </c>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row>
    <row r="166" spans="2:80" x14ac:dyDescent="0.2">
      <c r="B166" s="101" t="s">
        <v>172</v>
      </c>
      <c r="C166" s="8">
        <v>454.35842684622588</v>
      </c>
      <c r="D166" s="8">
        <v>447.76227572777208</v>
      </c>
      <c r="E166" s="8">
        <v>441.48505913378432</v>
      </c>
      <c r="F166" s="8">
        <v>435.50419158981049</v>
      </c>
      <c r="G166" s="8">
        <v>429.79917097594432</v>
      </c>
      <c r="H166" s="8">
        <v>424.35134372269698</v>
      </c>
      <c r="I166" s="8">
        <v>410.43644068537492</v>
      </c>
      <c r="J166" s="8">
        <v>397.02548950128426</v>
      </c>
      <c r="K166" s="8">
        <v>384.09159990006043</v>
      </c>
      <c r="L166" s="8">
        <v>371.60976128925887</v>
      </c>
      <c r="M166" s="8">
        <v>359.55668133418982</v>
      </c>
      <c r="N166" s="8">
        <v>348.47965781897125</v>
      </c>
      <c r="O166" s="8">
        <v>337.9439397391663</v>
      </c>
      <c r="P166" s="8">
        <v>327.9107951682916</v>
      </c>
      <c r="Q166" s="8">
        <v>318.34510127070939</v>
      </c>
      <c r="R166" s="8">
        <v>309.21493349678622</v>
      </c>
      <c r="S166" s="8">
        <v>299.69935769029252</v>
      </c>
      <c r="T166" s="8">
        <v>290.70552565297965</v>
      </c>
      <c r="U166" s="8">
        <v>282.1916712082238</v>
      </c>
      <c r="V166" s="8">
        <v>274.1203702235598</v>
      </c>
      <c r="W166" s="8">
        <v>266.4579906513768</v>
      </c>
      <c r="X166" s="8">
        <v>257.54463289069867</v>
      </c>
      <c r="Y166" s="8">
        <v>249.03209088237014</v>
      </c>
      <c r="Z166" s="8">
        <v>240.89392331655316</v>
      </c>
      <c r="AA166" s="8">
        <v>233.1059645750702</v>
      </c>
      <c r="AB166" s="8">
        <v>225.64608506424872</v>
      </c>
      <c r="AC166" s="8">
        <v>218.716018087046</v>
      </c>
      <c r="AD166" s="8">
        <v>212.03495961825848</v>
      </c>
      <c r="AE166" s="8">
        <v>205.58972560277581</v>
      </c>
      <c r="AF166" s="8">
        <v>199.3680465717473</v>
      </c>
      <c r="AG166" s="8">
        <v>193.35848968774033</v>
      </c>
      <c r="AH166" s="8">
        <v>187.99233565734249</v>
      </c>
      <c r="AI166" s="8">
        <v>182.8011770288893</v>
      </c>
      <c r="AJ166" s="8">
        <v>177.77659098986635</v>
      </c>
      <c r="AK166" s="8">
        <v>172.91068673054275</v>
      </c>
      <c r="AL166" s="8">
        <v>168.19606409387495</v>
      </c>
      <c r="AM166" s="8">
        <v>163.5648742127031</v>
      </c>
      <c r="AN166" s="8">
        <v>159.08433685044832</v>
      </c>
      <c r="AO166" s="8">
        <v>154.74721857346952</v>
      </c>
      <c r="AP166" s="8">
        <v>150.54674172851611</v>
      </c>
      <c r="AQ166" s="8">
        <v>146.47654910091254</v>
      </c>
      <c r="AR166" s="8">
        <v>142.13101988953991</v>
      </c>
      <c r="AS166" s="8">
        <v>137.92952979625466</v>
      </c>
      <c r="AT166" s="8">
        <v>133.86503398625655</v>
      </c>
      <c r="AU166" s="8">
        <v>129.93093966454865</v>
      </c>
      <c r="AV166" s="8">
        <v>126.12107039131541</v>
      </c>
      <c r="AW166" s="8">
        <v>121.62962176537023</v>
      </c>
      <c r="AX166" s="8">
        <v>117.27149495878288</v>
      </c>
      <c r="AY166" s="8">
        <v>113.04084060328637</v>
      </c>
      <c r="AZ166" s="8">
        <v>108.93214657910143</v>
      </c>
      <c r="BA166" s="8">
        <v>104.94021405498776</v>
      </c>
      <c r="BB166" s="10" t="s">
        <v>20</v>
      </c>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row>
    <row r="167" spans="2:80" x14ac:dyDescent="0.2">
      <c r="B167" s="101" t="s">
        <v>180</v>
      </c>
      <c r="C167" s="8">
        <v>85.246472060416721</v>
      </c>
      <c r="D167" s="8">
        <v>84.887001043767654</v>
      </c>
      <c r="E167" s="8">
        <v>84.565644357424901</v>
      </c>
      <c r="F167" s="8">
        <v>84.27664535401901</v>
      </c>
      <c r="G167" s="8">
        <v>84.015351102708109</v>
      </c>
      <c r="H167" s="8">
        <v>83.77795997004732</v>
      </c>
      <c r="I167" s="8">
        <v>82.432653743176274</v>
      </c>
      <c r="J167" s="8">
        <v>81.100745331083246</v>
      </c>
      <c r="K167" s="8">
        <v>79.782035583517654</v>
      </c>
      <c r="L167" s="8">
        <v>78.476329277763028</v>
      </c>
      <c r="M167" s="8">
        <v>77.183435022290908</v>
      </c>
      <c r="N167" s="8">
        <v>75.614312315367215</v>
      </c>
      <c r="O167" s="8">
        <v>74.077653455954959</v>
      </c>
      <c r="P167" s="8">
        <v>72.572461284136608</v>
      </c>
      <c r="Q167" s="8">
        <v>71.097779064469123</v>
      </c>
      <c r="R167" s="8">
        <v>69.652688458046583</v>
      </c>
      <c r="S167" s="8">
        <v>67.562631234668657</v>
      </c>
      <c r="T167" s="8">
        <v>65.582506557334739</v>
      </c>
      <c r="U167" s="8">
        <v>63.70386335450646</v>
      </c>
      <c r="V167" s="8">
        <v>61.919095147492143</v>
      </c>
      <c r="W167" s="8">
        <v>60.221337112473392</v>
      </c>
      <c r="X167" s="8">
        <v>58.283776655995396</v>
      </c>
      <c r="Y167" s="8">
        <v>56.411482289412341</v>
      </c>
      <c r="Z167" s="8">
        <v>54.601210933437557</v>
      </c>
      <c r="AA167" s="8">
        <v>52.849930873172994</v>
      </c>
      <c r="AB167" s="8">
        <v>51.154804814850742</v>
      </c>
      <c r="AC167" s="8">
        <v>49.4655592847148</v>
      </c>
      <c r="AD167" s="8">
        <v>47.807758029935123</v>
      </c>
      <c r="AE167" s="8">
        <v>46.180531172620775</v>
      </c>
      <c r="AF167" s="8">
        <v>44.583040627572089</v>
      </c>
      <c r="AG167" s="8">
        <v>43.014478662964898</v>
      </c>
      <c r="AH167" s="8">
        <v>41.537285780264028</v>
      </c>
      <c r="AI167" s="8">
        <v>40.078029118003307</v>
      </c>
      <c r="AJ167" s="8">
        <v>38.63638397246099</v>
      </c>
      <c r="AK167" s="8">
        <v>37.212033430490088</v>
      </c>
      <c r="AL167" s="8">
        <v>35.804668137263683</v>
      </c>
      <c r="AM167" s="8">
        <v>34.510168308167223</v>
      </c>
      <c r="AN167" s="8">
        <v>33.236937428713624</v>
      </c>
      <c r="AO167" s="8">
        <v>31.984455588939348</v>
      </c>
      <c r="AP167" s="8">
        <v>30.752219687212236</v>
      </c>
      <c r="AQ167" s="8">
        <v>29.53974275642523</v>
      </c>
      <c r="AR167" s="8">
        <v>28.448198902395706</v>
      </c>
      <c r="AS167" s="8">
        <v>27.375291009233226</v>
      </c>
      <c r="AT167" s="8">
        <v>26.320545858101575</v>
      </c>
      <c r="AU167" s="8">
        <v>25.283506117478609</v>
      </c>
      <c r="AV167" s="8">
        <v>24.263729681977328</v>
      </c>
      <c r="AW167" s="8">
        <v>23.402345205924849</v>
      </c>
      <c r="AX167" s="8">
        <v>22.552884756143282</v>
      </c>
      <c r="AY167" s="8">
        <v>21.715102440585547</v>
      </c>
      <c r="AZ167" s="8">
        <v>20.888759081952475</v>
      </c>
      <c r="BA167" s="8">
        <v>20.073621990041545</v>
      </c>
      <c r="BB167" s="10" t="s">
        <v>20</v>
      </c>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row>
    <row r="168" spans="2:80" x14ac:dyDescent="0.2">
      <c r="B168" s="101" t="s">
        <v>179</v>
      </c>
      <c r="C168" s="8">
        <v>66.402924045911263</v>
      </c>
      <c r="D168" s="8">
        <v>66.002779697515749</v>
      </c>
      <c r="E168" s="8">
        <v>65.643499418629773</v>
      </c>
      <c r="F168" s="8">
        <v>65.319127553240165</v>
      </c>
      <c r="G168" s="8">
        <v>65.024812153704843</v>
      </c>
      <c r="H168" s="8">
        <v>64.756560626279182</v>
      </c>
      <c r="I168" s="8">
        <v>63.074494221022704</v>
      </c>
      <c r="J168" s="8">
        <v>61.546915516001008</v>
      </c>
      <c r="K168" s="8">
        <v>60.153475812525883</v>
      </c>
      <c r="L168" s="8">
        <v>58.877249805375861</v>
      </c>
      <c r="M168" s="8">
        <v>57.704044715479213</v>
      </c>
      <c r="N168" s="8">
        <v>55.786655405969569</v>
      </c>
      <c r="O168" s="8">
        <v>54.022808052660785</v>
      </c>
      <c r="P168" s="8">
        <v>52.39476952813542</v>
      </c>
      <c r="Q168" s="8">
        <v>50.887436226407623</v>
      </c>
      <c r="R168" s="8">
        <v>49.487864093371108</v>
      </c>
      <c r="S168" s="8">
        <v>47.470957191138524</v>
      </c>
      <c r="T168" s="8">
        <v>45.597704300237609</v>
      </c>
      <c r="U168" s="8">
        <v>43.853285575813814</v>
      </c>
      <c r="V168" s="8">
        <v>42.224851892881937</v>
      </c>
      <c r="W168" s="8">
        <v>40.701207807101014</v>
      </c>
      <c r="X168" s="8">
        <v>38.820103608746912</v>
      </c>
      <c r="Y168" s="8">
        <v>37.059939811317264</v>
      </c>
      <c r="Z168" s="8">
        <v>35.40941637352752</v>
      </c>
      <c r="AA168" s="8">
        <v>33.858598489936441</v>
      </c>
      <c r="AB168" s="8">
        <v>32.398716456418235</v>
      </c>
      <c r="AC168" s="8">
        <v>30.819000814101958</v>
      </c>
      <c r="AD168" s="8">
        <v>29.332010945745502</v>
      </c>
      <c r="AE168" s="8">
        <v>27.929815436289701</v>
      </c>
      <c r="AF168" s="8">
        <v>26.605362359299342</v>
      </c>
      <c r="AG168" s="8">
        <v>25.352360660691492</v>
      </c>
      <c r="AH168" s="8">
        <v>24.031772261263583</v>
      </c>
      <c r="AI168" s="8">
        <v>22.782595215608318</v>
      </c>
      <c r="AJ168" s="8">
        <v>21.599189616934805</v>
      </c>
      <c r="AK168" s="8">
        <v>20.476494227202846</v>
      </c>
      <c r="AL168" s="8">
        <v>19.409954117100376</v>
      </c>
      <c r="AM168" s="8">
        <v>18.289890686238333</v>
      </c>
      <c r="AN168" s="8">
        <v>17.226035657162541</v>
      </c>
      <c r="AO168" s="8">
        <v>16.214261517029072</v>
      </c>
      <c r="AP168" s="8">
        <v>15.250835221166872</v>
      </c>
      <c r="AQ168" s="8">
        <v>14.332372168362593</v>
      </c>
      <c r="AR168" s="8">
        <v>13.403859104397181</v>
      </c>
      <c r="AS168" s="8">
        <v>12.518851186089702</v>
      </c>
      <c r="AT168" s="8">
        <v>11.674360778785022</v>
      </c>
      <c r="AU168" s="8">
        <v>10.867667686193979</v>
      </c>
      <c r="AV168" s="8">
        <v>10.096289880703464</v>
      </c>
      <c r="AW168" s="8">
        <v>9.386119534563349</v>
      </c>
      <c r="AX168" s="8">
        <v>8.7071760712190382</v>
      </c>
      <c r="AY168" s="8">
        <v>8.0574441834415378</v>
      </c>
      <c r="AZ168" s="8">
        <v>7.4350783293049298</v>
      </c>
      <c r="BA168" s="8">
        <v>6.8383852250314989</v>
      </c>
      <c r="BB168" s="10" t="s">
        <v>20</v>
      </c>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row>
    <row r="169" spans="2:80" x14ac:dyDescent="0.2">
      <c r="B169" s="101" t="s">
        <v>137</v>
      </c>
      <c r="C169" s="8">
        <v>72.636395589344019</v>
      </c>
      <c r="D169" s="8">
        <v>72.259321917644797</v>
      </c>
      <c r="E169" s="8">
        <v>71.921244856679351</v>
      </c>
      <c r="F169" s="8">
        <v>71.616412352331437</v>
      </c>
      <c r="G169" s="8">
        <v>71.340150584738765</v>
      </c>
      <c r="H169" s="8">
        <v>71.088622631551431</v>
      </c>
      <c r="I169" s="8">
        <v>69.329595022179063</v>
      </c>
      <c r="J169" s="8">
        <v>67.686895011727202</v>
      </c>
      <c r="K169" s="8">
        <v>66.149352524601525</v>
      </c>
      <c r="L169" s="8">
        <v>64.707183236630129</v>
      </c>
      <c r="M169" s="8">
        <v>63.351780145336313</v>
      </c>
      <c r="N169" s="8">
        <v>61.405237248433863</v>
      </c>
      <c r="O169" s="8">
        <v>59.582522462510298</v>
      </c>
      <c r="P169" s="8">
        <v>57.872184159700055</v>
      </c>
      <c r="Q169" s="8">
        <v>56.26414054724512</v>
      </c>
      <c r="R169" s="8">
        <v>54.749480791537387</v>
      </c>
      <c r="S169" s="8">
        <v>52.673885310067057</v>
      </c>
      <c r="T169" s="8">
        <v>50.736183127208442</v>
      </c>
      <c r="U169" s="8">
        <v>48.923074507650341</v>
      </c>
      <c r="V169" s="8">
        <v>47.222916778352889</v>
      </c>
      <c r="W169" s="8">
        <v>45.625474050073414</v>
      </c>
      <c r="X169" s="8">
        <v>43.66980285767611</v>
      </c>
      <c r="Y169" s="8">
        <v>41.825126434336816</v>
      </c>
      <c r="Z169" s="8">
        <v>40.082256212598097</v>
      </c>
      <c r="AA169" s="8">
        <v>38.4329906088131</v>
      </c>
      <c r="AB169" s="8">
        <v>36.869985968470829</v>
      </c>
      <c r="AC169" s="8">
        <v>35.192572348253918</v>
      </c>
      <c r="AD169" s="8">
        <v>33.598094150260053</v>
      </c>
      <c r="AE169" s="8">
        <v>32.080548966876265</v>
      </c>
      <c r="AF169" s="8">
        <v>30.634499974016176</v>
      </c>
      <c r="AG169" s="8">
        <v>29.255010848324424</v>
      </c>
      <c r="AH169" s="8">
        <v>27.833766621975126</v>
      </c>
      <c r="AI169" s="8">
        <v>26.476647603427004</v>
      </c>
      <c r="AJ169" s="8">
        <v>25.179409634953046</v>
      </c>
      <c r="AK169" s="8">
        <v>23.938175009744025</v>
      </c>
      <c r="AL169" s="8">
        <v>22.749393757256573</v>
      </c>
      <c r="AM169" s="8">
        <v>21.547328252378922</v>
      </c>
      <c r="AN169" s="8">
        <v>20.397549330924477</v>
      </c>
      <c r="AO169" s="8">
        <v>19.296718122319689</v>
      </c>
      <c r="AP169" s="8">
        <v>18.241774111863194</v>
      </c>
      <c r="AQ169" s="8">
        <v>17.229906725399672</v>
      </c>
      <c r="AR169" s="8">
        <v>16.234229238358548</v>
      </c>
      <c r="AS169" s="8">
        <v>15.279693327775739</v>
      </c>
      <c r="AT169" s="8">
        <v>14.363800643561033</v>
      </c>
      <c r="AU169" s="8">
        <v>13.48425110755972</v>
      </c>
      <c r="AV169" s="8">
        <v>12.638923627335776</v>
      </c>
      <c r="AW169" s="8">
        <v>11.869286203451596</v>
      </c>
      <c r="AX169" s="8">
        <v>11.129433877453556</v>
      </c>
      <c r="AY169" s="8">
        <v>10.4176704387057</v>
      </c>
      <c r="AZ169" s="8">
        <v>9.7324260723101421</v>
      </c>
      <c r="BA169" s="8">
        <v>9.0722458012052858</v>
      </c>
      <c r="BB169" s="10" t="s">
        <v>20</v>
      </c>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row>
    <row r="170" spans="2:80" x14ac:dyDescent="0.2">
      <c r="B170" s="101" t="s">
        <v>173</v>
      </c>
      <c r="C170" s="8">
        <v>7.5870485226626565</v>
      </c>
      <c r="D170" s="8">
        <v>7.4624226391967987</v>
      </c>
      <c r="E170" s="8">
        <v>7.3445103718553799</v>
      </c>
      <c r="F170" s="8">
        <v>7.2327834541877438</v>
      </c>
      <c r="G170" s="8">
        <v>7.1267676260120503</v>
      </c>
      <c r="H170" s="8">
        <v>7.0260359038812119</v>
      </c>
      <c r="I170" s="8">
        <v>6.7326770673069971</v>
      </c>
      <c r="J170" s="8">
        <v>6.4658095243306608</v>
      </c>
      <c r="K170" s="8">
        <v>6.2219999169557623</v>
      </c>
      <c r="L170" s="8">
        <v>5.9983836166383799</v>
      </c>
      <c r="M170" s="8">
        <v>5.7925516458578263</v>
      </c>
      <c r="N170" s="8">
        <v>5.5385555473337318</v>
      </c>
      <c r="O170" s="8">
        <v>5.2987361139127014</v>
      </c>
      <c r="P170" s="8">
        <v>5.0719386741004362</v>
      </c>
      <c r="Q170" s="8">
        <v>4.8571306373392611</v>
      </c>
      <c r="R170" s="8">
        <v>4.6533857752906922</v>
      </c>
      <c r="S170" s="8">
        <v>4.4306750861118687</v>
      </c>
      <c r="T170" s="8">
        <v>4.2197195544449704</v>
      </c>
      <c r="U170" s="8">
        <v>4.0196124163774494</v>
      </c>
      <c r="V170" s="8">
        <v>3.8295378308562555</v>
      </c>
      <c r="W170" s="8">
        <v>3.6487597621324861</v>
      </c>
      <c r="X170" s="8">
        <v>3.4613821229469468</v>
      </c>
      <c r="Y170" s="8">
        <v>3.2826739455454126</v>
      </c>
      <c r="Z170" s="8">
        <v>3.1120471648416781</v>
      </c>
      <c r="AA170" s="8">
        <v>2.9489657257794311</v>
      </c>
      <c r="AB170" s="8">
        <v>2.7929399578351513</v>
      </c>
      <c r="AC170" s="8">
        <v>2.645958951497708</v>
      </c>
      <c r="AD170" s="8">
        <v>2.5046801872192477</v>
      </c>
      <c r="AE170" s="8">
        <v>2.3687781450488368</v>
      </c>
      <c r="AF170" s="8">
        <v>2.2379516193408082</v>
      </c>
      <c r="AG170" s="8">
        <v>2.1119214902110834</v>
      </c>
      <c r="AH170" s="8">
        <v>1.983570165111822</v>
      </c>
      <c r="AI170" s="8">
        <v>1.8594454014296933</v>
      </c>
      <c r="AJ170" s="8">
        <v>1.73934181217906</v>
      </c>
      <c r="AK170" s="8">
        <v>1.6230671057815496</v>
      </c>
      <c r="AL170" s="8">
        <v>1.5104410587428769</v>
      </c>
      <c r="AM170" s="8">
        <v>1.3952401476781715</v>
      </c>
      <c r="AN170" s="8">
        <v>1.283207388263703</v>
      </c>
      <c r="AO170" s="8">
        <v>1.1742138617255848</v>
      </c>
      <c r="AP170" s="8">
        <v>1.0681375503199251</v>
      </c>
      <c r="AQ170" s="8">
        <v>0.96486288166510292</v>
      </c>
      <c r="AR170" s="8">
        <v>0.86010564436529402</v>
      </c>
      <c r="AS170" s="8">
        <v>0.75778290871884557</v>
      </c>
      <c r="AT170" s="8">
        <v>0.65781078474801458</v>
      </c>
      <c r="AU170" s="8">
        <v>0.5601091930353016</v>
      </c>
      <c r="AV170" s="8">
        <v>0.46460165079250426</v>
      </c>
      <c r="AW170" s="8">
        <v>0.36794624225092398</v>
      </c>
      <c r="AX170" s="8">
        <v>0.27321411433757237</v>
      </c>
      <c r="AY170" s="8">
        <v>0.18034842746728028</v>
      </c>
      <c r="AZ170" s="8">
        <v>8.9294559947488333E-2</v>
      </c>
      <c r="BA170" s="8">
        <v>8.450386302022648E-10</v>
      </c>
      <c r="BB170" s="10" t="s">
        <v>20</v>
      </c>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row>
    <row r="171" spans="2:80" x14ac:dyDescent="0.2">
      <c r="B171" s="101" t="s">
        <v>174</v>
      </c>
      <c r="C171" s="8">
        <v>9.557678603548764</v>
      </c>
      <c r="D171" s="8">
        <v>9.1783062694271855</v>
      </c>
      <c r="E171" s="8">
        <v>8.8281802960183473</v>
      </c>
      <c r="F171" s="8">
        <v>8.5040442390855358</v>
      </c>
      <c r="G171" s="8">
        <v>8.2031078060585934</v>
      </c>
      <c r="H171" s="8">
        <v>7.9229663273776598</v>
      </c>
      <c r="I171" s="8">
        <v>7.7069725632315329</v>
      </c>
      <c r="J171" s="8">
        <v>7.5058920055578531</v>
      </c>
      <c r="K171" s="8">
        <v>7.3182316803470382</v>
      </c>
      <c r="L171" s="8">
        <v>7.1426914620739179</v>
      </c>
      <c r="M171" s="8">
        <v>6.9781339098054653</v>
      </c>
      <c r="N171" s="8">
        <v>6.7645381697724742</v>
      </c>
      <c r="O171" s="8">
        <v>6.5644536415271686</v>
      </c>
      <c r="P171" s="8">
        <v>6.3766376312035025</v>
      </c>
      <c r="Q171" s="8">
        <v>6.1999953074282086</v>
      </c>
      <c r="R171" s="8">
        <v>6.0335583447441516</v>
      </c>
      <c r="S171" s="8">
        <v>5.8354417240869276</v>
      </c>
      <c r="T171" s="8">
        <v>5.6493251948741348</v>
      </c>
      <c r="U171" s="8">
        <v>5.4741505226370073</v>
      </c>
      <c r="V171" s="8">
        <v>5.3089803477317101</v>
      </c>
      <c r="W171" s="8">
        <v>5.1529814061112083</v>
      </c>
      <c r="X171" s="8">
        <v>5.0011434087224567</v>
      </c>
      <c r="Y171" s="8">
        <v>4.8584783827043037</v>
      </c>
      <c r="Z171" s="8">
        <v>4.7241794524119118</v>
      </c>
      <c r="AA171" s="8">
        <v>4.5975316793802117</v>
      </c>
      <c r="AB171" s="8">
        <v>4.4778993305895769</v>
      </c>
      <c r="AC171" s="8">
        <v>4.3129808249915644</v>
      </c>
      <c r="AD171" s="8">
        <v>4.1580800588439892</v>
      </c>
      <c r="AE171" s="8">
        <v>4.0123111674928555</v>
      </c>
      <c r="AF171" s="8">
        <v>3.8748897445187303</v>
      </c>
      <c r="AG171" s="8">
        <v>3.7451187210122132</v>
      </c>
      <c r="AH171" s="8">
        <v>3.6241788920399518</v>
      </c>
      <c r="AI171" s="8">
        <v>3.510716864855334</v>
      </c>
      <c r="AJ171" s="8">
        <v>3.4040599001751377</v>
      </c>
      <c r="AK171" s="8">
        <v>3.3036136063851518</v>
      </c>
      <c r="AL171" s="8">
        <v>3.2088508566914404</v>
      </c>
      <c r="AM171" s="8">
        <v>3.1028076164175653</v>
      </c>
      <c r="AN171" s="8">
        <v>3.0039058221274746</v>
      </c>
      <c r="AO171" s="8">
        <v>2.9114475666036048</v>
      </c>
      <c r="AP171" s="8">
        <v>2.8248230122579634</v>
      </c>
      <c r="AQ171" s="8">
        <v>2.7434969239937241</v>
      </c>
      <c r="AR171" s="8">
        <v>2.6798255529944988</v>
      </c>
      <c r="AS171" s="8">
        <v>2.6183792986630694</v>
      </c>
      <c r="AT171" s="8">
        <v>2.5590435227495738</v>
      </c>
      <c r="AU171" s="8">
        <v>2.5017113289488138</v>
      </c>
      <c r="AV171" s="8">
        <v>2.4462829201985925</v>
      </c>
      <c r="AW171" s="8">
        <v>2.4229642544403855</v>
      </c>
      <c r="AX171" s="8">
        <v>2.4003786206823161</v>
      </c>
      <c r="AY171" s="8">
        <v>2.3784919890453606</v>
      </c>
      <c r="AZ171" s="8">
        <v>2.3572724039315363</v>
      </c>
      <c r="BA171" s="8">
        <v>2.3366898283496922</v>
      </c>
      <c r="BB171" s="10" t="s">
        <v>20</v>
      </c>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row>
    <row r="172" spans="2:80" x14ac:dyDescent="0.2">
      <c r="B172" s="101" t="s">
        <v>175</v>
      </c>
      <c r="C172" s="8">
        <v>184.91672276046094</v>
      </c>
      <c r="D172" s="8">
        <v>183.09249290293948</v>
      </c>
      <c r="E172" s="8">
        <v>181.26826304541805</v>
      </c>
      <c r="F172" s="8">
        <v>179.44403318789659</v>
      </c>
      <c r="G172" s="8">
        <v>177.61980333037516</v>
      </c>
      <c r="H172" s="8">
        <v>175.7955734728537</v>
      </c>
      <c r="I172" s="8">
        <v>164.61752516491589</v>
      </c>
      <c r="J172" s="8">
        <v>153.4394768569781</v>
      </c>
      <c r="K172" s="8">
        <v>142.26142854904032</v>
      </c>
      <c r="L172" s="8">
        <v>131.0833802411025</v>
      </c>
      <c r="M172" s="8">
        <v>119.9053319331647</v>
      </c>
      <c r="N172" s="8">
        <v>117.20015851823597</v>
      </c>
      <c r="O172" s="8">
        <v>114.49498510330722</v>
      </c>
      <c r="P172" s="8">
        <v>111.78981168837848</v>
      </c>
      <c r="Q172" s="8">
        <v>109.08463827344973</v>
      </c>
      <c r="R172" s="8">
        <v>106.37946485852099</v>
      </c>
      <c r="S172" s="8">
        <v>103.70113686629193</v>
      </c>
      <c r="T172" s="8">
        <v>101.02280887406287</v>
      </c>
      <c r="U172" s="8">
        <v>98.344480881833817</v>
      </c>
      <c r="V172" s="8">
        <v>95.66615288960476</v>
      </c>
      <c r="W172" s="8">
        <v>92.987824897375702</v>
      </c>
      <c r="X172" s="8">
        <v>88.951995958553198</v>
      </c>
      <c r="Y172" s="8">
        <v>84.916167019730679</v>
      </c>
      <c r="Z172" s="8">
        <v>80.880338080908174</v>
      </c>
      <c r="AA172" s="8">
        <v>76.844509142085656</v>
      </c>
      <c r="AB172" s="8">
        <v>72.808680203263151</v>
      </c>
      <c r="AC172" s="8">
        <v>69.11572940212956</v>
      </c>
      <c r="AD172" s="8">
        <v>65.422778600995969</v>
      </c>
      <c r="AE172" s="8">
        <v>61.729827799862385</v>
      </c>
      <c r="AF172" s="8">
        <v>58.0368769987288</v>
      </c>
      <c r="AG172" s="8">
        <v>54.343926197595209</v>
      </c>
      <c r="AH172" s="8">
        <v>51.451155199885065</v>
      </c>
      <c r="AI172" s="8">
        <v>48.558384202174913</v>
      </c>
      <c r="AJ172" s="8">
        <v>45.665613204464769</v>
      </c>
      <c r="AK172" s="8">
        <v>42.772842206754618</v>
      </c>
      <c r="AL172" s="8">
        <v>39.880071209044473</v>
      </c>
      <c r="AM172" s="8">
        <v>38.434979460102568</v>
      </c>
      <c r="AN172" s="8">
        <v>36.989887711160655</v>
      </c>
      <c r="AO172" s="8">
        <v>35.54479596221875</v>
      </c>
      <c r="AP172" s="8">
        <v>34.099704213276837</v>
      </c>
      <c r="AQ172" s="8">
        <v>32.654612464334932</v>
      </c>
      <c r="AR172" s="8">
        <v>31.868445438639871</v>
      </c>
      <c r="AS172" s="8">
        <v>31.08227841294481</v>
      </c>
      <c r="AT172" s="8">
        <v>30.296111387249749</v>
      </c>
      <c r="AU172" s="8">
        <v>29.509944361554687</v>
      </c>
      <c r="AV172" s="8">
        <v>28.723777335859626</v>
      </c>
      <c r="AW172" s="8">
        <v>28.532167922728544</v>
      </c>
      <c r="AX172" s="8">
        <v>28.340558509597461</v>
      </c>
      <c r="AY172" s="8">
        <v>28.148949096466378</v>
      </c>
      <c r="AZ172" s="8">
        <v>27.957339683335295</v>
      </c>
      <c r="BA172" s="8">
        <v>27.765730270204212</v>
      </c>
      <c r="BB172" s="10" t="s">
        <v>21</v>
      </c>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row>
    <row r="173" spans="2:80" x14ac:dyDescent="0.2">
      <c r="B173" s="101" t="s">
        <v>176</v>
      </c>
      <c r="C173" s="8">
        <v>223.5715263770347</v>
      </c>
      <c r="D173" s="8">
        <v>220.50236675641429</v>
      </c>
      <c r="E173" s="8">
        <v>217.43320713579385</v>
      </c>
      <c r="F173" s="8">
        <v>214.36404751517344</v>
      </c>
      <c r="G173" s="8">
        <v>211.294887894553</v>
      </c>
      <c r="H173" s="8">
        <v>208.22572827393259</v>
      </c>
      <c r="I173" s="8">
        <v>201.82003283318772</v>
      </c>
      <c r="J173" s="8">
        <v>195.41433739244289</v>
      </c>
      <c r="K173" s="8">
        <v>189.00864195169802</v>
      </c>
      <c r="L173" s="8">
        <v>182.60294651095319</v>
      </c>
      <c r="M173" s="8">
        <v>176.19725107020832</v>
      </c>
      <c r="N173" s="8">
        <v>172.32499403317573</v>
      </c>
      <c r="O173" s="8">
        <v>168.45273699614313</v>
      </c>
      <c r="P173" s="8">
        <v>164.58047995911053</v>
      </c>
      <c r="Q173" s="8">
        <v>160.70822292207794</v>
      </c>
      <c r="R173" s="8">
        <v>156.83596588504534</v>
      </c>
      <c r="S173" s="8">
        <v>151.48722070372381</v>
      </c>
      <c r="T173" s="8">
        <v>146.13847552240227</v>
      </c>
      <c r="U173" s="8">
        <v>140.78973034108077</v>
      </c>
      <c r="V173" s="8">
        <v>135.44098515975924</v>
      </c>
      <c r="W173" s="8">
        <v>130.0922399784377</v>
      </c>
      <c r="X173" s="8">
        <v>124.2864072160171</v>
      </c>
      <c r="Y173" s="8">
        <v>118.4805744535965</v>
      </c>
      <c r="Z173" s="8">
        <v>112.6747416911759</v>
      </c>
      <c r="AA173" s="8">
        <v>106.8689089287553</v>
      </c>
      <c r="AB173" s="8">
        <v>101.0630761663347</v>
      </c>
      <c r="AC173" s="8">
        <v>95.993771745190415</v>
      </c>
      <c r="AD173" s="8">
        <v>90.924467324046148</v>
      </c>
      <c r="AE173" s="8">
        <v>85.855162902901867</v>
      </c>
      <c r="AF173" s="8">
        <v>80.7858584817576</v>
      </c>
      <c r="AG173" s="8">
        <v>75.716554060613319</v>
      </c>
      <c r="AH173" s="8">
        <v>72.056322209016272</v>
      </c>
      <c r="AI173" s="8">
        <v>68.396090357419226</v>
      </c>
      <c r="AJ173" s="8">
        <v>64.735858505822179</v>
      </c>
      <c r="AK173" s="8">
        <v>61.075626654225132</v>
      </c>
      <c r="AL173" s="8">
        <v>57.415394802628086</v>
      </c>
      <c r="AM173" s="8">
        <v>55.619178154600839</v>
      </c>
      <c r="AN173" s="8">
        <v>53.822961506573584</v>
      </c>
      <c r="AO173" s="8">
        <v>52.026744858546337</v>
      </c>
      <c r="AP173" s="8">
        <v>50.230528210519083</v>
      </c>
      <c r="AQ173" s="8">
        <v>48.434311562491835</v>
      </c>
      <c r="AR173" s="8">
        <v>47.367148018831514</v>
      </c>
      <c r="AS173" s="8">
        <v>46.299984475171186</v>
      </c>
      <c r="AT173" s="8">
        <v>45.232820931510865</v>
      </c>
      <c r="AU173" s="8">
        <v>44.165657387850537</v>
      </c>
      <c r="AV173" s="8">
        <v>43.098493844190216</v>
      </c>
      <c r="AW173" s="8">
        <v>42.793454942174513</v>
      </c>
      <c r="AX173" s="8">
        <v>42.48841604015881</v>
      </c>
      <c r="AY173" s="8">
        <v>42.183377138143115</v>
      </c>
      <c r="AZ173" s="8">
        <v>41.878338236127412</v>
      </c>
      <c r="BA173" s="8">
        <v>41.573299334111709</v>
      </c>
      <c r="BB173" s="10" t="s">
        <v>21</v>
      </c>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row>
    <row r="174" spans="2:80" x14ac:dyDescent="0.2">
      <c r="B174" s="101" t="s">
        <v>177</v>
      </c>
      <c r="C174" s="8">
        <v>638.60797408262567</v>
      </c>
      <c r="D174" s="8">
        <v>638.07315029369511</v>
      </c>
      <c r="E174" s="8">
        <v>637.53832650476454</v>
      </c>
      <c r="F174" s="8">
        <v>637.00350271583397</v>
      </c>
      <c r="G174" s="8">
        <v>636.46867892690341</v>
      </c>
      <c r="H174" s="8">
        <v>635.93385513797284</v>
      </c>
      <c r="I174" s="8">
        <v>622.16198846726013</v>
      </c>
      <c r="J174" s="8">
        <v>608.39012179654742</v>
      </c>
      <c r="K174" s="8">
        <v>594.61825512583459</v>
      </c>
      <c r="L174" s="8">
        <v>580.84638845512188</v>
      </c>
      <c r="M174" s="8">
        <v>567.07452178440917</v>
      </c>
      <c r="N174" s="8">
        <v>558.66126403807345</v>
      </c>
      <c r="O174" s="8">
        <v>550.24800629173762</v>
      </c>
      <c r="P174" s="8">
        <v>541.83474854540191</v>
      </c>
      <c r="Q174" s="8">
        <v>533.42149079906608</v>
      </c>
      <c r="R174" s="8">
        <v>525.00823305273036</v>
      </c>
      <c r="S174" s="8">
        <v>511.23337303579603</v>
      </c>
      <c r="T174" s="8">
        <v>497.45851301886171</v>
      </c>
      <c r="U174" s="8">
        <v>483.68365300192738</v>
      </c>
      <c r="V174" s="8">
        <v>469.908792984993</v>
      </c>
      <c r="W174" s="8">
        <v>456.13393296805867</v>
      </c>
      <c r="X174" s="8">
        <v>445.93310600051427</v>
      </c>
      <c r="Y174" s="8">
        <v>435.73227903296981</v>
      </c>
      <c r="Z174" s="8">
        <v>425.53145206542541</v>
      </c>
      <c r="AA174" s="8">
        <v>415.33062509788095</v>
      </c>
      <c r="AB174" s="8">
        <v>405.12979813033655</v>
      </c>
      <c r="AC174" s="8">
        <v>396.99807235684005</v>
      </c>
      <c r="AD174" s="8">
        <v>388.86634658334356</v>
      </c>
      <c r="AE174" s="8">
        <v>380.73462080984712</v>
      </c>
      <c r="AF174" s="8">
        <v>372.60289503635062</v>
      </c>
      <c r="AG174" s="8">
        <v>364.47116926285412</v>
      </c>
      <c r="AH174" s="8">
        <v>358.42687976038519</v>
      </c>
      <c r="AI174" s="8">
        <v>352.38259025791621</v>
      </c>
      <c r="AJ174" s="8">
        <v>346.33830075544728</v>
      </c>
      <c r="AK174" s="8">
        <v>340.29401125297829</v>
      </c>
      <c r="AL174" s="8">
        <v>334.24972175050937</v>
      </c>
      <c r="AM174" s="8">
        <v>328.4478099805653</v>
      </c>
      <c r="AN174" s="8">
        <v>322.64589821062117</v>
      </c>
      <c r="AO174" s="8">
        <v>316.8439864406771</v>
      </c>
      <c r="AP174" s="8">
        <v>311.04207467073297</v>
      </c>
      <c r="AQ174" s="8">
        <v>305.2401629007889</v>
      </c>
      <c r="AR174" s="8">
        <v>300.67418852544512</v>
      </c>
      <c r="AS174" s="8">
        <v>296.10821415010133</v>
      </c>
      <c r="AT174" s="8">
        <v>291.54223977475749</v>
      </c>
      <c r="AU174" s="8">
        <v>286.97626539941371</v>
      </c>
      <c r="AV174" s="8">
        <v>282.41029102406992</v>
      </c>
      <c r="AW174" s="8">
        <v>279.36937275800665</v>
      </c>
      <c r="AX174" s="8">
        <v>276.32845449194338</v>
      </c>
      <c r="AY174" s="8">
        <v>273.28753622588005</v>
      </c>
      <c r="AZ174" s="8">
        <v>270.24661795981677</v>
      </c>
      <c r="BA174" s="8">
        <v>267.2056996937535</v>
      </c>
      <c r="BB174" s="10" t="s">
        <v>21</v>
      </c>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row>
    <row r="175" spans="2:80" x14ac:dyDescent="0.2">
      <c r="B175" s="101" t="s">
        <v>178</v>
      </c>
      <c r="C175" s="8">
        <v>1036.5336564469048</v>
      </c>
      <c r="D175" s="8">
        <v>1030.2359106771635</v>
      </c>
      <c r="E175" s="8">
        <v>1023.9381649074222</v>
      </c>
      <c r="F175" s="8">
        <v>1017.640419137681</v>
      </c>
      <c r="G175" s="8">
        <v>1011.3426733679396</v>
      </c>
      <c r="H175" s="8">
        <v>1005.0449275981983</v>
      </c>
      <c r="I175" s="8">
        <v>991.030631076644</v>
      </c>
      <c r="J175" s="8">
        <v>977.01633455508977</v>
      </c>
      <c r="K175" s="8">
        <v>963.00203803353543</v>
      </c>
      <c r="L175" s="8">
        <v>948.9877415119812</v>
      </c>
      <c r="M175" s="8">
        <v>934.97344499042686</v>
      </c>
      <c r="N175" s="8">
        <v>915.43918875767338</v>
      </c>
      <c r="O175" s="8">
        <v>895.90493252492001</v>
      </c>
      <c r="P175" s="8">
        <v>876.37067629216654</v>
      </c>
      <c r="Q175" s="8">
        <v>856.83642005941317</v>
      </c>
      <c r="R175" s="8">
        <v>837.30216382665969</v>
      </c>
      <c r="S175" s="8">
        <v>815.82066936297156</v>
      </c>
      <c r="T175" s="8">
        <v>794.33917489928331</v>
      </c>
      <c r="U175" s="8">
        <v>772.85768043559517</v>
      </c>
      <c r="V175" s="8">
        <v>751.37618597190692</v>
      </c>
      <c r="W175" s="8">
        <v>729.89469150821878</v>
      </c>
      <c r="X175" s="8">
        <v>715.22417150358103</v>
      </c>
      <c r="Y175" s="8">
        <v>700.55365149894328</v>
      </c>
      <c r="Z175" s="8">
        <v>685.88313149430564</v>
      </c>
      <c r="AA175" s="8">
        <v>671.21261148966789</v>
      </c>
      <c r="AB175" s="8">
        <v>656.54209148503014</v>
      </c>
      <c r="AC175" s="8">
        <v>644.90822553169028</v>
      </c>
      <c r="AD175" s="8">
        <v>633.27435957835041</v>
      </c>
      <c r="AE175" s="8">
        <v>621.64049362501044</v>
      </c>
      <c r="AF175" s="8">
        <v>610.00662767167057</v>
      </c>
      <c r="AG175" s="8">
        <v>598.37276171833071</v>
      </c>
      <c r="AH175" s="8">
        <v>593.66986039321239</v>
      </c>
      <c r="AI175" s="8">
        <v>588.96695906809407</v>
      </c>
      <c r="AJ175" s="8">
        <v>584.26405774297587</v>
      </c>
      <c r="AK175" s="8">
        <v>579.56115641785755</v>
      </c>
      <c r="AL175" s="8">
        <v>574.85825509273923</v>
      </c>
      <c r="AM175" s="8">
        <v>571.97296545490565</v>
      </c>
      <c r="AN175" s="8">
        <v>569.08767581707195</v>
      </c>
      <c r="AO175" s="8">
        <v>566.20238617923837</v>
      </c>
      <c r="AP175" s="8">
        <v>563.31709654140468</v>
      </c>
      <c r="AQ175" s="8">
        <v>560.4318069035711</v>
      </c>
      <c r="AR175" s="8">
        <v>558.29103672121823</v>
      </c>
      <c r="AS175" s="8">
        <v>556.15026653886525</v>
      </c>
      <c r="AT175" s="8">
        <v>554.00949635651239</v>
      </c>
      <c r="AU175" s="8">
        <v>551.86872617415941</v>
      </c>
      <c r="AV175" s="8">
        <v>549.72795599180654</v>
      </c>
      <c r="AW175" s="8">
        <v>548.88196448977385</v>
      </c>
      <c r="AX175" s="8">
        <v>548.03597298774116</v>
      </c>
      <c r="AY175" s="8">
        <v>547.18998148570836</v>
      </c>
      <c r="AZ175" s="8">
        <v>546.34398998367567</v>
      </c>
      <c r="BA175" s="8">
        <v>545.49799848164298</v>
      </c>
      <c r="BB175" s="10" t="s">
        <v>21</v>
      </c>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row>
    <row r="176" spans="2:80" x14ac:dyDescent="0.2">
      <c r="B176" s="101" t="s">
        <v>183</v>
      </c>
      <c r="C176" s="8">
        <v>7.9170599285242984</v>
      </c>
      <c r="D176" s="8">
        <v>7.8432213469977698</v>
      </c>
      <c r="E176" s="8">
        <v>7.7693827654712404</v>
      </c>
      <c r="F176" s="8">
        <v>7.6955441839447118</v>
      </c>
      <c r="G176" s="8">
        <v>7.6217056024181824</v>
      </c>
      <c r="H176" s="8">
        <v>7.5478670208916538</v>
      </c>
      <c r="I176" s="8">
        <v>7.0692250637151588</v>
      </c>
      <c r="J176" s="8">
        <v>6.5905831065386629</v>
      </c>
      <c r="K176" s="8">
        <v>6.1119411493621678</v>
      </c>
      <c r="L176" s="8">
        <v>5.6332991921856728</v>
      </c>
      <c r="M176" s="8">
        <v>5.1546572350091768</v>
      </c>
      <c r="N176" s="8">
        <v>5.0167418961553985</v>
      </c>
      <c r="O176" s="8">
        <v>4.8788265573016192</v>
      </c>
      <c r="P176" s="8">
        <v>4.7409112184478408</v>
      </c>
      <c r="Q176" s="8">
        <v>4.6029958795940615</v>
      </c>
      <c r="R176" s="8">
        <v>4.4650805407402832</v>
      </c>
      <c r="S176" s="8">
        <v>4.394247235842812</v>
      </c>
      <c r="T176" s="8">
        <v>4.3234139309453408</v>
      </c>
      <c r="U176" s="8">
        <v>4.2525806260478696</v>
      </c>
      <c r="V176" s="8">
        <v>4.1817473211503984</v>
      </c>
      <c r="W176" s="8">
        <v>4.1109140162529272</v>
      </c>
      <c r="X176" s="8">
        <v>3.9868334968621038</v>
      </c>
      <c r="Y176" s="8">
        <v>3.8627529774712803</v>
      </c>
      <c r="Z176" s="8">
        <v>3.7386724580804569</v>
      </c>
      <c r="AA176" s="8">
        <v>3.6145919386896335</v>
      </c>
      <c r="AB176" s="8">
        <v>3.49051141929881</v>
      </c>
      <c r="AC176" s="8">
        <v>3.3560701737385248</v>
      </c>
      <c r="AD176" s="8">
        <v>3.22162892817824</v>
      </c>
      <c r="AE176" s="8">
        <v>3.0871876826179547</v>
      </c>
      <c r="AF176" s="8">
        <v>2.9527464370576695</v>
      </c>
      <c r="AG176" s="8">
        <v>2.8183051914973847</v>
      </c>
      <c r="AH176" s="8">
        <v>2.7348701595008897</v>
      </c>
      <c r="AI176" s="8">
        <v>2.6514351275043944</v>
      </c>
      <c r="AJ176" s="8">
        <v>2.5680000955078994</v>
      </c>
      <c r="AK176" s="8">
        <v>2.484565063511404</v>
      </c>
      <c r="AL176" s="8">
        <v>2.4011300315149091</v>
      </c>
      <c r="AM176" s="8">
        <v>2.3487545542246924</v>
      </c>
      <c r="AN176" s="8">
        <v>2.2963790769344761</v>
      </c>
      <c r="AO176" s="8">
        <v>2.2440035996442593</v>
      </c>
      <c r="AP176" s="8">
        <v>2.191628122354043</v>
      </c>
      <c r="AQ176" s="8">
        <v>2.1392526450638263</v>
      </c>
      <c r="AR176" s="8">
        <v>2.1073463625769908</v>
      </c>
      <c r="AS176" s="8">
        <v>2.0754400800901553</v>
      </c>
      <c r="AT176" s="8">
        <v>2.0435337976033194</v>
      </c>
      <c r="AU176" s="8">
        <v>2.011627515116484</v>
      </c>
      <c r="AV176" s="8">
        <v>1.9797212326296485</v>
      </c>
      <c r="AW176" s="8">
        <v>1.98176307484572</v>
      </c>
      <c r="AX176" s="8">
        <v>1.9838049170617915</v>
      </c>
      <c r="AY176" s="8">
        <v>1.9858467592778632</v>
      </c>
      <c r="AZ176" s="8">
        <v>1.9878886014939348</v>
      </c>
      <c r="BA176" s="8">
        <v>1.9899304437100063</v>
      </c>
      <c r="BB176" s="4" t="s">
        <v>132</v>
      </c>
      <c r="BC176" s="102" t="s">
        <v>133</v>
      </c>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row>
    <row r="177" spans="2:80" x14ac:dyDescent="0.2">
      <c r="B177" s="101" t="s">
        <v>184</v>
      </c>
      <c r="C177" s="8">
        <v>10.045800371579228</v>
      </c>
      <c r="D177" s="8">
        <v>9.9087816219765461</v>
      </c>
      <c r="E177" s="8">
        <v>9.7717628723738645</v>
      </c>
      <c r="F177" s="8">
        <v>9.634744122771183</v>
      </c>
      <c r="G177" s="8">
        <v>9.4977253731685014</v>
      </c>
      <c r="H177" s="8">
        <v>9.3607066235658198</v>
      </c>
      <c r="I177" s="8">
        <v>9.1961830829936471</v>
      </c>
      <c r="J177" s="8">
        <v>9.0316595424214743</v>
      </c>
      <c r="K177" s="8">
        <v>8.8671360018492997</v>
      </c>
      <c r="L177" s="8">
        <v>8.702612461277127</v>
      </c>
      <c r="M177" s="8">
        <v>8.5380889207049542</v>
      </c>
      <c r="N177" s="8">
        <v>8.3934807922586483</v>
      </c>
      <c r="O177" s="8">
        <v>8.2488726638123424</v>
      </c>
      <c r="P177" s="8">
        <v>8.1042645353660383</v>
      </c>
      <c r="Q177" s="8">
        <v>7.9596564069197324</v>
      </c>
      <c r="R177" s="8">
        <v>7.8150482784734265</v>
      </c>
      <c r="S177" s="8">
        <v>7.6391777776569585</v>
      </c>
      <c r="T177" s="8">
        <v>7.4633072768404904</v>
      </c>
      <c r="U177" s="8">
        <v>7.2874367760240215</v>
      </c>
      <c r="V177" s="8">
        <v>7.1115662752075535</v>
      </c>
      <c r="W177" s="8">
        <v>6.9356957743910854</v>
      </c>
      <c r="X177" s="8">
        <v>6.7828922816772925</v>
      </c>
      <c r="Y177" s="8">
        <v>6.6300887889634996</v>
      </c>
      <c r="Z177" s="8">
        <v>6.4772852962497058</v>
      </c>
      <c r="AA177" s="8">
        <v>6.3244818035359129</v>
      </c>
      <c r="AB177" s="8">
        <v>6.17167831082212</v>
      </c>
      <c r="AC177" s="8">
        <v>6.114142006013453</v>
      </c>
      <c r="AD177" s="8">
        <v>6.0566057012047869</v>
      </c>
      <c r="AE177" s="8">
        <v>5.9990693963961199</v>
      </c>
      <c r="AF177" s="8">
        <v>5.9415330915874538</v>
      </c>
      <c r="AG177" s="8">
        <v>5.8839967867787868</v>
      </c>
      <c r="AH177" s="8">
        <v>5.8441969076360101</v>
      </c>
      <c r="AI177" s="8">
        <v>5.8043970284932342</v>
      </c>
      <c r="AJ177" s="8">
        <v>5.7645971493504575</v>
      </c>
      <c r="AK177" s="8">
        <v>5.7247972702076817</v>
      </c>
      <c r="AL177" s="8">
        <v>5.684997391064905</v>
      </c>
      <c r="AM177" s="8">
        <v>5.6260703878688449</v>
      </c>
      <c r="AN177" s="8">
        <v>5.5671433846727849</v>
      </c>
      <c r="AO177" s="8">
        <v>5.508216381476724</v>
      </c>
      <c r="AP177" s="8">
        <v>5.449289378280664</v>
      </c>
      <c r="AQ177" s="8">
        <v>5.3903623750846039</v>
      </c>
      <c r="AR177" s="8">
        <v>5.3407998450147813</v>
      </c>
      <c r="AS177" s="8">
        <v>5.2912373149449596</v>
      </c>
      <c r="AT177" s="8">
        <v>5.241674784875137</v>
      </c>
      <c r="AU177" s="8">
        <v>5.1921122548053154</v>
      </c>
      <c r="AV177" s="8">
        <v>5.1425497247354928</v>
      </c>
      <c r="AW177" s="8">
        <v>5.0716889566871357</v>
      </c>
      <c r="AX177" s="8">
        <v>5.0008281886387795</v>
      </c>
      <c r="AY177" s="8">
        <v>4.9299674205904225</v>
      </c>
      <c r="AZ177" s="8">
        <v>4.8591066525420663</v>
      </c>
      <c r="BA177" s="8">
        <v>4.7882458844937092</v>
      </c>
      <c r="BB177" s="4" t="s">
        <v>132</v>
      </c>
      <c r="BC177" s="102" t="s">
        <v>134</v>
      </c>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row>
    <row r="178" spans="2:80" x14ac:dyDescent="0.2">
      <c r="B178" s="101" t="s">
        <v>185</v>
      </c>
      <c r="C178" s="8">
        <v>26.000089408160061</v>
      </c>
      <c r="D178" s="8">
        <v>25.894057219698055</v>
      </c>
      <c r="E178" s="8">
        <v>25.78802503123605</v>
      </c>
      <c r="F178" s="8">
        <v>25.681992842774044</v>
      </c>
      <c r="G178" s="8">
        <v>25.575960654312038</v>
      </c>
      <c r="H178" s="8">
        <v>25.469928465850032</v>
      </c>
      <c r="I178" s="8">
        <v>24.834328981832535</v>
      </c>
      <c r="J178" s="8">
        <v>24.198729497815041</v>
      </c>
      <c r="K178" s="8">
        <v>23.563130013797544</v>
      </c>
      <c r="L178" s="8">
        <v>22.92753052978005</v>
      </c>
      <c r="M178" s="8">
        <v>22.291931045762553</v>
      </c>
      <c r="N178" s="8">
        <v>21.948235917785237</v>
      </c>
      <c r="O178" s="8">
        <v>21.604540789807924</v>
      </c>
      <c r="P178" s="8">
        <v>21.260845661830608</v>
      </c>
      <c r="Q178" s="8">
        <v>20.917150533853295</v>
      </c>
      <c r="R178" s="8">
        <v>20.573455405875979</v>
      </c>
      <c r="S178" s="8">
        <v>20.005989489342785</v>
      </c>
      <c r="T178" s="8">
        <v>19.438523572809586</v>
      </c>
      <c r="U178" s="8">
        <v>18.871057656276392</v>
      </c>
      <c r="V178" s="8">
        <v>18.303591739743194</v>
      </c>
      <c r="W178" s="8">
        <v>17.736125823209999</v>
      </c>
      <c r="X178" s="8">
        <v>17.34189623529155</v>
      </c>
      <c r="Y178" s="8">
        <v>16.947666647373101</v>
      </c>
      <c r="Z178" s="8">
        <v>16.553437059454648</v>
      </c>
      <c r="AA178" s="8">
        <v>16.159207471536199</v>
      </c>
      <c r="AB178" s="8">
        <v>15.76497788361775</v>
      </c>
      <c r="AC178" s="8">
        <v>15.558409036070497</v>
      </c>
      <c r="AD178" s="8">
        <v>15.351840188523243</v>
      </c>
      <c r="AE178" s="8">
        <v>15.14527134097599</v>
      </c>
      <c r="AF178" s="8">
        <v>14.938702493428735</v>
      </c>
      <c r="AG178" s="8">
        <v>14.732133645881483</v>
      </c>
      <c r="AH178" s="8">
        <v>14.562345120006809</v>
      </c>
      <c r="AI178" s="8">
        <v>14.392556594132133</v>
      </c>
      <c r="AJ178" s="8">
        <v>14.222768068257459</v>
      </c>
      <c r="AK178" s="8">
        <v>14.052979542382783</v>
      </c>
      <c r="AL178" s="8">
        <v>13.883191016508109</v>
      </c>
      <c r="AM178" s="8">
        <v>13.731738635874665</v>
      </c>
      <c r="AN178" s="8">
        <v>13.580286255241223</v>
      </c>
      <c r="AO178" s="8">
        <v>13.428833874607779</v>
      </c>
      <c r="AP178" s="8">
        <v>13.277381493974337</v>
      </c>
      <c r="AQ178" s="8">
        <v>13.125929113340893</v>
      </c>
      <c r="AR178" s="8">
        <v>13.010885009047639</v>
      </c>
      <c r="AS178" s="8">
        <v>12.895840904754385</v>
      </c>
      <c r="AT178" s="8">
        <v>12.780796800461133</v>
      </c>
      <c r="AU178" s="8">
        <v>12.665752696167878</v>
      </c>
      <c r="AV178" s="8">
        <v>12.550708591874624</v>
      </c>
      <c r="AW178" s="8">
        <v>12.478873153584997</v>
      </c>
      <c r="AX178" s="8">
        <v>12.40703771529537</v>
      </c>
      <c r="AY178" s="8">
        <v>12.335202277005742</v>
      </c>
      <c r="AZ178" s="8">
        <v>12.263366838716115</v>
      </c>
      <c r="BA178" s="8">
        <v>12.191531400426488</v>
      </c>
      <c r="BB178" s="4" t="s">
        <v>132</v>
      </c>
      <c r="BC178" s="102" t="s">
        <v>135</v>
      </c>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row>
    <row r="179" spans="2:80" x14ac:dyDescent="0.2">
      <c r="B179" s="101" t="s">
        <v>186</v>
      </c>
      <c r="C179" s="8">
        <v>44.218441191482945</v>
      </c>
      <c r="D179" s="8">
        <v>44.00539920378511</v>
      </c>
      <c r="E179" s="8">
        <v>43.792357216087275</v>
      </c>
      <c r="F179" s="8">
        <v>43.579315228389447</v>
      </c>
      <c r="G179" s="8">
        <v>43.366273240691612</v>
      </c>
      <c r="H179" s="8">
        <v>43.153231252993777</v>
      </c>
      <c r="I179" s="8">
        <v>42.149780551164383</v>
      </c>
      <c r="J179" s="8">
        <v>41.14632984933499</v>
      </c>
      <c r="K179" s="8">
        <v>40.142879147505603</v>
      </c>
      <c r="L179" s="8">
        <v>39.139428445676209</v>
      </c>
      <c r="M179" s="8">
        <v>38.135977743846816</v>
      </c>
      <c r="N179" s="8">
        <v>37.274314765878557</v>
      </c>
      <c r="O179" s="8">
        <v>36.412651787910306</v>
      </c>
      <c r="P179" s="8">
        <v>35.550988809942048</v>
      </c>
      <c r="Q179" s="8">
        <v>34.689325831973797</v>
      </c>
      <c r="R179" s="8">
        <v>33.827662854005538</v>
      </c>
      <c r="S179" s="8">
        <v>32.732965400960445</v>
      </c>
      <c r="T179" s="8">
        <v>31.638267947915359</v>
      </c>
      <c r="U179" s="8">
        <v>30.543570494870266</v>
      </c>
      <c r="V179" s="8">
        <v>29.448873041825177</v>
      </c>
      <c r="W179" s="8">
        <v>28.354175588780087</v>
      </c>
      <c r="X179" s="8">
        <v>27.731621152205747</v>
      </c>
      <c r="Y179" s="8">
        <v>27.109066715631407</v>
      </c>
      <c r="Z179" s="8">
        <v>26.48651227905707</v>
      </c>
      <c r="AA179" s="8">
        <v>25.86395784248273</v>
      </c>
      <c r="AB179" s="8">
        <v>25.24140340590839</v>
      </c>
      <c r="AC179" s="8">
        <v>24.770625046288576</v>
      </c>
      <c r="AD179" s="8">
        <v>24.299846686668758</v>
      </c>
      <c r="AE179" s="8">
        <v>23.829068327048944</v>
      </c>
      <c r="AF179" s="8">
        <v>23.358289967429126</v>
      </c>
      <c r="AG179" s="8">
        <v>22.887511607809312</v>
      </c>
      <c r="AH179" s="8">
        <v>22.594821563874298</v>
      </c>
      <c r="AI179" s="8">
        <v>22.30213151993928</v>
      </c>
      <c r="AJ179" s="8">
        <v>22.009441476004266</v>
      </c>
      <c r="AK179" s="8">
        <v>21.716751432069248</v>
      </c>
      <c r="AL179" s="8">
        <v>21.424061388134234</v>
      </c>
      <c r="AM179" s="8">
        <v>21.191793436115749</v>
      </c>
      <c r="AN179" s="8">
        <v>20.959525484097263</v>
      </c>
      <c r="AO179" s="8">
        <v>20.727257532078781</v>
      </c>
      <c r="AP179" s="8">
        <v>20.494989580060295</v>
      </c>
      <c r="AQ179" s="8">
        <v>20.26272162804181</v>
      </c>
      <c r="AR179" s="8">
        <v>20.08336864007784</v>
      </c>
      <c r="AS179" s="8">
        <v>19.90401565211387</v>
      </c>
      <c r="AT179" s="8">
        <v>19.724662664149896</v>
      </c>
      <c r="AU179" s="8">
        <v>19.545309676185926</v>
      </c>
      <c r="AV179" s="8">
        <v>19.365956688221956</v>
      </c>
      <c r="AW179" s="8">
        <v>19.268932423821884</v>
      </c>
      <c r="AX179" s="8">
        <v>19.171908159421811</v>
      </c>
      <c r="AY179" s="8">
        <v>19.074883895021735</v>
      </c>
      <c r="AZ179" s="8">
        <v>18.977859630621662</v>
      </c>
      <c r="BA179" s="8">
        <v>18.880835366221589</v>
      </c>
      <c r="BB179" s="4" t="s">
        <v>132</v>
      </c>
      <c r="BC179" s="102" t="s">
        <v>136</v>
      </c>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row>
    <row r="180" spans="2:80" x14ac:dyDescent="0.2">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10"/>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row>
    <row r="181" spans="2:80" x14ac:dyDescent="0.2">
      <c r="B181" s="1" t="s">
        <v>193</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10"/>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row>
    <row r="182" spans="2:80" x14ac:dyDescent="0.2">
      <c r="B182" s="5" t="s">
        <v>1</v>
      </c>
      <c r="C182" s="6">
        <v>2010</v>
      </c>
      <c r="D182" s="3">
        <v>2011</v>
      </c>
      <c r="E182" s="3">
        <v>2012</v>
      </c>
      <c r="F182" s="3">
        <v>2013</v>
      </c>
      <c r="G182" s="3">
        <v>2014</v>
      </c>
      <c r="H182" s="6">
        <v>2015</v>
      </c>
      <c r="I182" s="3">
        <v>2016</v>
      </c>
      <c r="J182" s="3">
        <v>2017</v>
      </c>
      <c r="K182" s="3">
        <v>2018</v>
      </c>
      <c r="L182" s="3">
        <v>2019</v>
      </c>
      <c r="M182" s="6">
        <v>2020</v>
      </c>
      <c r="N182" s="3">
        <v>2021</v>
      </c>
      <c r="O182" s="3">
        <v>2022</v>
      </c>
      <c r="P182" s="3">
        <v>2023</v>
      </c>
      <c r="Q182" s="3">
        <v>2024</v>
      </c>
      <c r="R182" s="6">
        <v>2025</v>
      </c>
      <c r="S182" s="3">
        <v>2026</v>
      </c>
      <c r="T182" s="3">
        <v>2027</v>
      </c>
      <c r="U182" s="3">
        <v>2028</v>
      </c>
      <c r="V182" s="3">
        <v>2029</v>
      </c>
      <c r="W182" s="6">
        <v>2030</v>
      </c>
      <c r="X182" s="3">
        <v>2031</v>
      </c>
      <c r="Y182" s="3">
        <v>2032</v>
      </c>
      <c r="Z182" s="3">
        <v>2033</v>
      </c>
      <c r="AA182" s="3">
        <v>2034</v>
      </c>
      <c r="AB182" s="6">
        <v>2035</v>
      </c>
      <c r="AC182" s="3">
        <v>2036</v>
      </c>
      <c r="AD182" s="3">
        <v>2037</v>
      </c>
      <c r="AE182" s="3">
        <v>2038</v>
      </c>
      <c r="AF182" s="3">
        <v>2039</v>
      </c>
      <c r="AG182" s="6">
        <v>2040</v>
      </c>
      <c r="AH182" s="3">
        <v>2041</v>
      </c>
      <c r="AI182" s="3">
        <v>2042</v>
      </c>
      <c r="AJ182" s="3">
        <v>2043</v>
      </c>
      <c r="AK182" s="3">
        <v>2044</v>
      </c>
      <c r="AL182" s="6">
        <v>2045</v>
      </c>
      <c r="AM182" s="3">
        <v>2046</v>
      </c>
      <c r="AN182" s="3">
        <v>2047</v>
      </c>
      <c r="AO182" s="3">
        <v>2048</v>
      </c>
      <c r="AP182" s="3">
        <v>2049</v>
      </c>
      <c r="AQ182" s="6">
        <v>2050</v>
      </c>
      <c r="AR182" s="3">
        <v>2051</v>
      </c>
      <c r="AS182" s="3">
        <v>2052</v>
      </c>
      <c r="AT182" s="3">
        <v>2053</v>
      </c>
      <c r="AU182" s="3">
        <v>2054</v>
      </c>
      <c r="AV182" s="6">
        <v>2055</v>
      </c>
      <c r="AW182" s="3">
        <v>2056</v>
      </c>
      <c r="AX182" s="3">
        <v>2057</v>
      </c>
      <c r="AY182" s="3">
        <v>2058</v>
      </c>
      <c r="AZ182" s="3">
        <v>2059</v>
      </c>
      <c r="BA182" s="6">
        <v>2060</v>
      </c>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row>
    <row r="183" spans="2:80" x14ac:dyDescent="0.2">
      <c r="B183" s="101" t="s">
        <v>175</v>
      </c>
      <c r="C183" s="8">
        <v>1.5538991516332601</v>
      </c>
      <c r="D183" s="8">
        <v>1.5650947170306049</v>
      </c>
      <c r="E183" s="8">
        <v>1.5762902824279497</v>
      </c>
      <c r="F183" s="8">
        <v>1.5874858478252947</v>
      </c>
      <c r="G183" s="8">
        <v>1.5986814132226395</v>
      </c>
      <c r="H183" s="8">
        <v>1.6098769786199842</v>
      </c>
      <c r="I183" s="8">
        <v>1.6146285818596668</v>
      </c>
      <c r="J183" s="8">
        <v>1.6193801850993492</v>
      </c>
      <c r="K183" s="8">
        <v>1.6241317883390318</v>
      </c>
      <c r="L183" s="8">
        <v>1.6288833915787142</v>
      </c>
      <c r="M183" s="8">
        <v>1.6336349948183968</v>
      </c>
      <c r="N183" s="8">
        <v>1.6324140877319802</v>
      </c>
      <c r="O183" s="8">
        <v>1.6311931806455637</v>
      </c>
      <c r="P183" s="8">
        <v>1.6299722735591471</v>
      </c>
      <c r="Q183" s="8">
        <v>1.6287513664727307</v>
      </c>
      <c r="R183" s="8">
        <v>1.627530459386314</v>
      </c>
      <c r="S183" s="8">
        <v>1.6233348975789401</v>
      </c>
      <c r="T183" s="8">
        <v>1.6191393357715662</v>
      </c>
      <c r="U183" s="8">
        <v>1.6149437739641923</v>
      </c>
      <c r="V183" s="8">
        <v>1.6107482121568184</v>
      </c>
      <c r="W183" s="8">
        <v>1.6065526503494445</v>
      </c>
      <c r="X183" s="8">
        <v>1.6019434052522075</v>
      </c>
      <c r="Y183" s="8">
        <v>1.5973341601549704</v>
      </c>
      <c r="Z183" s="8">
        <v>1.5927249150577336</v>
      </c>
      <c r="AA183" s="8">
        <v>1.5881156699604966</v>
      </c>
      <c r="AB183" s="8">
        <v>1.5835064248632595</v>
      </c>
      <c r="AC183" s="8">
        <v>1.5776280747201268</v>
      </c>
      <c r="AD183" s="8">
        <v>1.571749724576994</v>
      </c>
      <c r="AE183" s="8">
        <v>1.5658713744338615</v>
      </c>
      <c r="AF183" s="8">
        <v>1.5599930242907287</v>
      </c>
      <c r="AG183" s="8">
        <v>1.554114674147596</v>
      </c>
      <c r="AH183" s="8">
        <v>1.5524849825990401</v>
      </c>
      <c r="AI183" s="8">
        <v>1.5508552910504843</v>
      </c>
      <c r="AJ183" s="8">
        <v>1.5492255995019284</v>
      </c>
      <c r="AK183" s="8">
        <v>1.5475959079533725</v>
      </c>
      <c r="AL183" s="8">
        <v>1.5459662164048167</v>
      </c>
      <c r="AM183" s="8">
        <v>1.5438484513703805</v>
      </c>
      <c r="AN183" s="8">
        <v>1.5417306863359446</v>
      </c>
      <c r="AO183" s="8">
        <v>1.5396129213015084</v>
      </c>
      <c r="AP183" s="8">
        <v>1.5374951562670724</v>
      </c>
      <c r="AQ183" s="8">
        <v>1.5353773912326363</v>
      </c>
      <c r="AR183" s="8">
        <v>1.5318059596514886</v>
      </c>
      <c r="AS183" s="8">
        <v>1.5282345280703409</v>
      </c>
      <c r="AT183" s="8">
        <v>1.524663096489193</v>
      </c>
      <c r="AU183" s="8">
        <v>1.5210916649080453</v>
      </c>
      <c r="AV183" s="8">
        <v>1.5175202333268976</v>
      </c>
      <c r="AW183" s="8">
        <v>1.5136501916758753</v>
      </c>
      <c r="AX183" s="8">
        <v>1.5097801500248531</v>
      </c>
      <c r="AY183" s="8">
        <v>1.5059101083738311</v>
      </c>
      <c r="AZ183" s="8">
        <v>1.5020400667228089</v>
      </c>
      <c r="BA183" s="8">
        <v>1.4981700250717866</v>
      </c>
      <c r="BB183" s="10" t="s">
        <v>203</v>
      </c>
      <c r="BC183" s="8" t="s">
        <v>194</v>
      </c>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row>
    <row r="184" spans="2:80" x14ac:dyDescent="0.2">
      <c r="B184" s="101" t="s">
        <v>176</v>
      </c>
      <c r="C184" s="8">
        <v>0.67671205527708367</v>
      </c>
      <c r="D184" s="8">
        <v>0.67674122469936315</v>
      </c>
      <c r="E184" s="8">
        <v>0.67677039412164264</v>
      </c>
      <c r="F184" s="8">
        <v>0.67679956354392223</v>
      </c>
      <c r="G184" s="8">
        <v>0.67682873296620172</v>
      </c>
      <c r="H184" s="8">
        <v>0.6768579023884812</v>
      </c>
      <c r="I184" s="8">
        <v>0.68411476484598766</v>
      </c>
      <c r="J184" s="8">
        <v>0.69137162730349411</v>
      </c>
      <c r="K184" s="8">
        <v>0.69862848976100045</v>
      </c>
      <c r="L184" s="8">
        <v>0.7058853522185069</v>
      </c>
      <c r="M184" s="8">
        <v>0.71314221467601335</v>
      </c>
      <c r="N184" s="8">
        <v>0.72059748707559557</v>
      </c>
      <c r="O184" s="8">
        <v>0.72805275947517778</v>
      </c>
      <c r="P184" s="8">
        <v>0.73550803187475988</v>
      </c>
      <c r="Q184" s="8">
        <v>0.7429633042743421</v>
      </c>
      <c r="R184" s="8">
        <v>0.75041857667392431</v>
      </c>
      <c r="S184" s="8">
        <v>0.75763618030389224</v>
      </c>
      <c r="T184" s="8">
        <v>0.76485378393386028</v>
      </c>
      <c r="U184" s="8">
        <v>0.7720713875638282</v>
      </c>
      <c r="V184" s="8">
        <v>0.77928899119379624</v>
      </c>
      <c r="W184" s="8">
        <v>0.78650659482376417</v>
      </c>
      <c r="X184" s="8">
        <v>0.79352972082995998</v>
      </c>
      <c r="Y184" s="8">
        <v>0.80055284683615591</v>
      </c>
      <c r="Z184" s="8">
        <v>0.80757597284235172</v>
      </c>
      <c r="AA184" s="8">
        <v>0.81459909884854764</v>
      </c>
      <c r="AB184" s="8">
        <v>0.82162222485474345</v>
      </c>
      <c r="AC184" s="8">
        <v>0.82844118495544983</v>
      </c>
      <c r="AD184" s="8">
        <v>0.8352601450561562</v>
      </c>
      <c r="AE184" s="8">
        <v>0.84207910515686268</v>
      </c>
      <c r="AF184" s="8">
        <v>0.84889806525756906</v>
      </c>
      <c r="AG184" s="8">
        <v>0.85571702535827543</v>
      </c>
      <c r="AH184" s="8">
        <v>0.86244580275513494</v>
      </c>
      <c r="AI184" s="8">
        <v>0.86917458015199434</v>
      </c>
      <c r="AJ184" s="8">
        <v>0.87590335754885384</v>
      </c>
      <c r="AK184" s="8">
        <v>0.88263213494571324</v>
      </c>
      <c r="AL184" s="8">
        <v>0.88936091234257275</v>
      </c>
      <c r="AM184" s="8">
        <v>0.89592153445838851</v>
      </c>
      <c r="AN184" s="8">
        <v>0.90248215657420428</v>
      </c>
      <c r="AO184" s="8">
        <v>0.90904277869002004</v>
      </c>
      <c r="AP184" s="8">
        <v>0.9156034008058358</v>
      </c>
      <c r="AQ184" s="8">
        <v>0.92216402292165156</v>
      </c>
      <c r="AR184" s="8">
        <v>0.92861858042979439</v>
      </c>
      <c r="AS184" s="8">
        <v>0.93507313793793734</v>
      </c>
      <c r="AT184" s="8">
        <v>0.94152769544608017</v>
      </c>
      <c r="AU184" s="8">
        <v>0.94798225295422311</v>
      </c>
      <c r="AV184" s="8">
        <v>0.95443681046236595</v>
      </c>
      <c r="AW184" s="8">
        <v>0.96085343563239878</v>
      </c>
      <c r="AX184" s="8">
        <v>0.96727006080243161</v>
      </c>
      <c r="AY184" s="8">
        <v>0.97368668597246433</v>
      </c>
      <c r="AZ184" s="8">
        <v>0.98010331114249716</v>
      </c>
      <c r="BA184" s="8">
        <v>0.98651993631252999</v>
      </c>
      <c r="BB184" s="10" t="s">
        <v>204</v>
      </c>
      <c r="BC184" s="8" t="s">
        <v>195</v>
      </c>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row>
    <row r="185" spans="2:80" x14ac:dyDescent="0.2">
      <c r="B185" s="101" t="s">
        <v>177</v>
      </c>
      <c r="C185" s="8">
        <v>7.9239009722022162</v>
      </c>
      <c r="D185" s="8">
        <v>7.9191210615018655</v>
      </c>
      <c r="E185" s="8">
        <v>7.9143411508015147</v>
      </c>
      <c r="F185" s="8">
        <v>7.909561240101163</v>
      </c>
      <c r="G185" s="8">
        <v>7.9047813294008122</v>
      </c>
      <c r="H185" s="8">
        <v>7.9000014187004615</v>
      </c>
      <c r="I185" s="8">
        <v>7.9241710609541176</v>
      </c>
      <c r="J185" s="8">
        <v>7.9483407032077729</v>
      </c>
      <c r="K185" s="8">
        <v>7.972510345461429</v>
      </c>
      <c r="L185" s="8">
        <v>7.9966799877150843</v>
      </c>
      <c r="M185" s="8">
        <v>8.0208496299687404</v>
      </c>
      <c r="N185" s="8">
        <v>8.045978546174668</v>
      </c>
      <c r="O185" s="8">
        <v>8.0711074623805938</v>
      </c>
      <c r="P185" s="8">
        <v>8.0962363785865215</v>
      </c>
      <c r="Q185" s="8">
        <v>8.1213652947924473</v>
      </c>
      <c r="R185" s="8">
        <v>8.1464942109983749</v>
      </c>
      <c r="S185" s="8">
        <v>8.1729356133546407</v>
      </c>
      <c r="T185" s="8">
        <v>8.1993770157109047</v>
      </c>
      <c r="U185" s="8">
        <v>8.2258184180671705</v>
      </c>
      <c r="V185" s="8">
        <v>8.2522598204234345</v>
      </c>
      <c r="W185" s="8">
        <v>8.2787012227797003</v>
      </c>
      <c r="X185" s="8">
        <v>8.3041712687516736</v>
      </c>
      <c r="Y185" s="8">
        <v>8.3296413147236468</v>
      </c>
      <c r="Z185" s="8">
        <v>8.3551113606956218</v>
      </c>
      <c r="AA185" s="8">
        <v>8.380581406667595</v>
      </c>
      <c r="AB185" s="8">
        <v>8.4060514526395682</v>
      </c>
      <c r="AC185" s="8">
        <v>8.43099686887704</v>
      </c>
      <c r="AD185" s="8">
        <v>8.4559422851145118</v>
      </c>
      <c r="AE185" s="8">
        <v>8.4808877013519854</v>
      </c>
      <c r="AF185" s="8">
        <v>8.5058331175894573</v>
      </c>
      <c r="AG185" s="8">
        <v>8.5307785338269291</v>
      </c>
      <c r="AH185" s="8">
        <v>8.5541076778201379</v>
      </c>
      <c r="AI185" s="8">
        <v>8.577436821813345</v>
      </c>
      <c r="AJ185" s="8">
        <v>8.6007659658065538</v>
      </c>
      <c r="AK185" s="8">
        <v>8.6240951097997609</v>
      </c>
      <c r="AL185" s="8">
        <v>8.6474242537929698</v>
      </c>
      <c r="AM185" s="8">
        <v>8.6708349334128183</v>
      </c>
      <c r="AN185" s="8">
        <v>8.6942456130326651</v>
      </c>
      <c r="AO185" s="8">
        <v>8.7176562926525136</v>
      </c>
      <c r="AP185" s="8">
        <v>8.7410669722723604</v>
      </c>
      <c r="AQ185" s="8">
        <v>8.764477651892209</v>
      </c>
      <c r="AR185" s="8">
        <v>8.7889884082873468</v>
      </c>
      <c r="AS185" s="8">
        <v>8.8134991646824847</v>
      </c>
      <c r="AT185" s="8">
        <v>8.8380099210776226</v>
      </c>
      <c r="AU185" s="8">
        <v>8.8625206774727605</v>
      </c>
      <c r="AV185" s="8">
        <v>8.8870314338678984</v>
      </c>
      <c r="AW185" s="8">
        <v>8.9111628467094022</v>
      </c>
      <c r="AX185" s="8">
        <v>8.9352942595509059</v>
      </c>
      <c r="AY185" s="8">
        <v>8.9594256723924115</v>
      </c>
      <c r="AZ185" s="8">
        <v>8.9835570852339153</v>
      </c>
      <c r="BA185" s="8">
        <v>9.007688498075419</v>
      </c>
      <c r="BB185" s="10" t="s">
        <v>204</v>
      </c>
      <c r="BC185" s="8" t="s">
        <v>196</v>
      </c>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row>
    <row r="186" spans="2:80" x14ac:dyDescent="0.2">
      <c r="B186" s="101" t="s">
        <v>178</v>
      </c>
      <c r="C186" s="8">
        <v>17.031940861401448</v>
      </c>
      <c r="D186" s="8">
        <v>17.033649926949941</v>
      </c>
      <c r="E186" s="8">
        <v>17.035358992498438</v>
      </c>
      <c r="F186" s="8">
        <v>17.03706805804693</v>
      </c>
      <c r="G186" s="8">
        <v>17.038777123595427</v>
      </c>
      <c r="H186" s="8">
        <v>17.04048618914392</v>
      </c>
      <c r="I186" s="8">
        <v>17.2053791994447</v>
      </c>
      <c r="J186" s="8">
        <v>17.370272209745476</v>
      </c>
      <c r="K186" s="8">
        <v>17.535165220046256</v>
      </c>
      <c r="L186" s="8">
        <v>17.700058230347032</v>
      </c>
      <c r="M186" s="8">
        <v>17.864951240647812</v>
      </c>
      <c r="N186" s="8">
        <v>18.032159088270397</v>
      </c>
      <c r="O186" s="8">
        <v>18.199366935892982</v>
      </c>
      <c r="P186" s="8">
        <v>18.366574783515563</v>
      </c>
      <c r="Q186" s="8">
        <v>18.533782631138148</v>
      </c>
      <c r="R186" s="8">
        <v>18.700990478760733</v>
      </c>
      <c r="S186" s="8">
        <v>18.869658755579259</v>
      </c>
      <c r="T186" s="8">
        <v>19.038327032397781</v>
      </c>
      <c r="U186" s="8">
        <v>19.206995309216307</v>
      </c>
      <c r="V186" s="8">
        <v>19.375663586034829</v>
      </c>
      <c r="W186" s="8">
        <v>19.544331862853355</v>
      </c>
      <c r="X186" s="8">
        <v>19.713980578346959</v>
      </c>
      <c r="Y186" s="8">
        <v>19.883629293840563</v>
      </c>
      <c r="Z186" s="8">
        <v>20.053278009334168</v>
      </c>
      <c r="AA186" s="8">
        <v>20.222926724827772</v>
      </c>
      <c r="AB186" s="8">
        <v>20.392575440321377</v>
      </c>
      <c r="AC186" s="8">
        <v>20.56291417625448</v>
      </c>
      <c r="AD186" s="8">
        <v>20.733252912187584</v>
      </c>
      <c r="AE186" s="8">
        <v>20.903591648120688</v>
      </c>
      <c r="AF186" s="8">
        <v>21.073930384053792</v>
      </c>
      <c r="AG186" s="8">
        <v>21.244269119986896</v>
      </c>
      <c r="AH186" s="8">
        <v>21.415111851300779</v>
      </c>
      <c r="AI186" s="8">
        <v>21.585954582614658</v>
      </c>
      <c r="AJ186" s="8">
        <v>21.756797313928541</v>
      </c>
      <c r="AK186" s="8">
        <v>21.92764004524242</v>
      </c>
      <c r="AL186" s="8">
        <v>22.098482776556303</v>
      </c>
      <c r="AM186" s="8">
        <v>22.269704832797839</v>
      </c>
      <c r="AN186" s="8">
        <v>22.440926889039378</v>
      </c>
      <c r="AO186" s="8">
        <v>22.612148945280914</v>
      </c>
      <c r="AP186" s="8">
        <v>22.783371001522454</v>
      </c>
      <c r="AQ186" s="8">
        <v>22.95459305776399</v>
      </c>
      <c r="AR186" s="8">
        <v>23.126107754999474</v>
      </c>
      <c r="AS186" s="8">
        <v>23.297622452234961</v>
      </c>
      <c r="AT186" s="8">
        <v>23.469137149470445</v>
      </c>
      <c r="AU186" s="8">
        <v>23.640651846705932</v>
      </c>
      <c r="AV186" s="8">
        <v>23.812166543941416</v>
      </c>
      <c r="AW186" s="8">
        <v>23.983911740925677</v>
      </c>
      <c r="AX186" s="8">
        <v>24.155656937909939</v>
      </c>
      <c r="AY186" s="8">
        <v>24.3274021348942</v>
      </c>
      <c r="AZ186" s="8">
        <v>24.499147331878461</v>
      </c>
      <c r="BA186" s="8">
        <v>24.670892528862723</v>
      </c>
      <c r="BB186" s="10" t="s">
        <v>204</v>
      </c>
      <c r="BC186" s="8" t="s">
        <v>197</v>
      </c>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row>
    <row r="187" spans="2:80" x14ac:dyDescent="0.2">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10"/>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row>
    <row r="188" spans="2:80" x14ac:dyDescent="0.2">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10"/>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row>
    <row r="189" spans="2:80" x14ac:dyDescent="0.2">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10"/>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row>
    <row r="190" spans="2:80" x14ac:dyDescent="0.2">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10"/>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row>
    <row r="191" spans="2:80" x14ac:dyDescent="0.2">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10"/>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row>
    <row r="192" spans="2:80" x14ac:dyDescent="0.2">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10"/>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row>
    <row r="193" spans="3:80" x14ac:dyDescent="0.2">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10"/>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row>
    <row r="194" spans="3:80" x14ac:dyDescent="0.2">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10"/>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row>
    <row r="195" spans="3:80" x14ac:dyDescent="0.2">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10"/>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row>
    <row r="196" spans="3:80" x14ac:dyDescent="0.2">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10"/>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row>
    <row r="197" spans="3:80" x14ac:dyDescent="0.2">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10"/>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row>
    <row r="198" spans="3:80" x14ac:dyDescent="0.2">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10"/>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row>
    <row r="199" spans="3:80" x14ac:dyDescent="0.2">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10"/>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row>
    <row r="200" spans="3:80" x14ac:dyDescent="0.2">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10"/>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row>
    <row r="201" spans="3:80" x14ac:dyDescent="0.2">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10"/>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row>
    <row r="202" spans="3:80" x14ac:dyDescent="0.2">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10"/>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row>
    <row r="203" spans="3:80" x14ac:dyDescent="0.2">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10"/>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row>
    <row r="204" spans="3:80" x14ac:dyDescent="0.2">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10"/>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row>
    <row r="205" spans="3:80" x14ac:dyDescent="0.2">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10"/>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row>
    <row r="206" spans="3:80" x14ac:dyDescent="0.2">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10"/>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row>
    <row r="207" spans="3:80" x14ac:dyDescent="0.2">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10"/>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row>
    <row r="208" spans="3:80" x14ac:dyDescent="0.2">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10"/>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row>
    <row r="209" spans="3:80" x14ac:dyDescent="0.2">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10"/>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row>
    <row r="210" spans="3:80" x14ac:dyDescent="0.2">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10"/>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row>
    <row r="211" spans="3:80" x14ac:dyDescent="0.2">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10"/>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row>
    <row r="212" spans="3:80" x14ac:dyDescent="0.2">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10"/>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row>
    <row r="213" spans="3:80" x14ac:dyDescent="0.2">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10"/>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row>
    <row r="214" spans="3:80" x14ac:dyDescent="0.2">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10"/>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row>
    <row r="215" spans="3:80" x14ac:dyDescent="0.2">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10"/>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row>
    <row r="216" spans="3:80" x14ac:dyDescent="0.2">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10"/>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row>
    <row r="217" spans="3:80" x14ac:dyDescent="0.2">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10"/>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row>
    <row r="218" spans="3:80" x14ac:dyDescent="0.2">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10"/>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row>
    <row r="219" spans="3:80" x14ac:dyDescent="0.2">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10"/>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row>
    <row r="220" spans="3:80" x14ac:dyDescent="0.2">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10"/>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row>
    <row r="221" spans="3:80" x14ac:dyDescent="0.2">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10"/>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row>
    <row r="222" spans="3:80" x14ac:dyDescent="0.2">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10"/>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row>
    <row r="223" spans="3:80" x14ac:dyDescent="0.2">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10"/>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row>
    <row r="224" spans="3:80" x14ac:dyDescent="0.2">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10"/>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row>
    <row r="225" spans="3:80" x14ac:dyDescent="0.2">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10"/>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row>
    <row r="226" spans="3:80" x14ac:dyDescent="0.2">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10"/>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row>
    <row r="227" spans="3:80" x14ac:dyDescent="0.2">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10"/>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row>
    <row r="228" spans="3:80" x14ac:dyDescent="0.2">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10"/>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row>
    <row r="229" spans="3:80" x14ac:dyDescent="0.2">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10"/>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row>
    <row r="230" spans="3:80" x14ac:dyDescent="0.2">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10"/>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row>
    <row r="231" spans="3:80" x14ac:dyDescent="0.2">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10"/>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row>
    <row r="232" spans="3:80" x14ac:dyDescent="0.2">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10"/>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row>
    <row r="233" spans="3:80" x14ac:dyDescent="0.2">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10"/>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row>
    <row r="234" spans="3:80" x14ac:dyDescent="0.2">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10"/>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row>
    <row r="235" spans="3:80" x14ac:dyDescent="0.2">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10"/>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row>
    <row r="236" spans="3:80" x14ac:dyDescent="0.2">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10"/>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row>
    <row r="237" spans="3:80" x14ac:dyDescent="0.2">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10"/>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row>
    <row r="238" spans="3:80" x14ac:dyDescent="0.2">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10"/>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row>
    <row r="239" spans="3:80" x14ac:dyDescent="0.2">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10"/>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row>
    <row r="240" spans="3:80" x14ac:dyDescent="0.2">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10"/>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row>
    <row r="241" spans="3:80" x14ac:dyDescent="0.2">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10"/>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row>
    <row r="242" spans="3:80" x14ac:dyDescent="0.2">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10"/>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row>
    <row r="243" spans="3:80" x14ac:dyDescent="0.2">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10"/>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row>
    <row r="244" spans="3:80" x14ac:dyDescent="0.2">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10"/>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row>
    <row r="245" spans="3:80" x14ac:dyDescent="0.2">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10"/>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row>
    <row r="246" spans="3:80" x14ac:dyDescent="0.2">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10"/>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row>
    <row r="247" spans="3:80" x14ac:dyDescent="0.2">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10"/>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row>
    <row r="248" spans="3:80" x14ac:dyDescent="0.2">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10"/>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row>
    <row r="249" spans="3:80" x14ac:dyDescent="0.2">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10"/>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row>
    <row r="250" spans="3:80" x14ac:dyDescent="0.2">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10"/>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row>
    <row r="251" spans="3:80" x14ac:dyDescent="0.2">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10"/>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row>
    <row r="252" spans="3:80" x14ac:dyDescent="0.2">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10"/>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row>
    <row r="253" spans="3:80" x14ac:dyDescent="0.2">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10"/>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row>
    <row r="254" spans="3:80" x14ac:dyDescent="0.2">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10"/>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row>
    <row r="255" spans="3:80" x14ac:dyDescent="0.2">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10"/>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row>
    <row r="256" spans="3:80" x14ac:dyDescent="0.2">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10"/>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row>
    <row r="257" spans="3:80" x14ac:dyDescent="0.2">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10"/>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row>
    <row r="258" spans="3:80" x14ac:dyDescent="0.2">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10"/>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row>
    <row r="259" spans="3:80" x14ac:dyDescent="0.2">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10"/>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row>
    <row r="260" spans="3:80" x14ac:dyDescent="0.2">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10"/>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row>
    <row r="261" spans="3:80" x14ac:dyDescent="0.2">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10"/>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row>
    <row r="262" spans="3:80" x14ac:dyDescent="0.2">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10"/>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row>
    <row r="263" spans="3:80" x14ac:dyDescent="0.2">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10"/>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row>
    <row r="264" spans="3:80" x14ac:dyDescent="0.2">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10"/>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row>
    <row r="265" spans="3:80" x14ac:dyDescent="0.2">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10"/>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row>
    <row r="266" spans="3:80" x14ac:dyDescent="0.2">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10"/>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row>
    <row r="267" spans="3:80" x14ac:dyDescent="0.2">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10"/>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row>
    <row r="268" spans="3:80" x14ac:dyDescent="0.2">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10"/>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row>
    <row r="269" spans="3:80" x14ac:dyDescent="0.2">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10"/>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row>
    <row r="270" spans="3:80" x14ac:dyDescent="0.2">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10"/>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row>
    <row r="271" spans="3:80" x14ac:dyDescent="0.2">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10"/>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row>
    <row r="272" spans="3:80" x14ac:dyDescent="0.2">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10"/>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row>
    <row r="273" spans="3:80" x14ac:dyDescent="0.2">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10"/>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row>
    <row r="274" spans="3:80" x14ac:dyDescent="0.2">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10"/>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row>
    <row r="275" spans="3:80" x14ac:dyDescent="0.2">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10"/>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row>
    <row r="276" spans="3:80" x14ac:dyDescent="0.2">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10"/>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row>
    <row r="277" spans="3:80" x14ac:dyDescent="0.2">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10"/>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row>
    <row r="278" spans="3:80" x14ac:dyDescent="0.2">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10"/>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row>
    <row r="279" spans="3:80" x14ac:dyDescent="0.2">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10"/>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row>
    <row r="280" spans="3:80" x14ac:dyDescent="0.2">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10"/>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row>
    <row r="281" spans="3:80" x14ac:dyDescent="0.2">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10"/>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row>
    <row r="282" spans="3:80" x14ac:dyDescent="0.2">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10"/>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row>
    <row r="283" spans="3:80" x14ac:dyDescent="0.2">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10"/>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row>
    <row r="284" spans="3:80" x14ac:dyDescent="0.2">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10"/>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row>
    <row r="285" spans="3:80" x14ac:dyDescent="0.2">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10"/>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row>
    <row r="286" spans="3:80" x14ac:dyDescent="0.2">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10"/>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row>
    <row r="287" spans="3:80" x14ac:dyDescent="0.2">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10"/>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row>
    <row r="288" spans="3:80" x14ac:dyDescent="0.2">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10"/>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row>
    <row r="289" spans="3:80" x14ac:dyDescent="0.2">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10"/>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row>
    <row r="290" spans="3:80" x14ac:dyDescent="0.2">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10"/>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row>
    <row r="291" spans="3:80" x14ac:dyDescent="0.2">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10"/>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row>
    <row r="292" spans="3:80" x14ac:dyDescent="0.2">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10"/>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row>
    <row r="293" spans="3:80" x14ac:dyDescent="0.2">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10"/>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row>
    <row r="294" spans="3:80" x14ac:dyDescent="0.2">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10"/>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row>
    <row r="295" spans="3:80" x14ac:dyDescent="0.2">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10"/>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row>
    <row r="296" spans="3:80" x14ac:dyDescent="0.2">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10"/>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row>
    <row r="297" spans="3:80" x14ac:dyDescent="0.2">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10"/>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row>
    <row r="298" spans="3:80" x14ac:dyDescent="0.2">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10"/>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row>
    <row r="299" spans="3:80" x14ac:dyDescent="0.2">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10"/>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row>
    <row r="300" spans="3:80" x14ac:dyDescent="0.2">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10"/>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row>
    <row r="301" spans="3:80" x14ac:dyDescent="0.2">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10"/>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row>
    <row r="302" spans="3:80" x14ac:dyDescent="0.2">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10"/>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row>
    <row r="303" spans="3:80" x14ac:dyDescent="0.2">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10"/>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row>
    <row r="304" spans="3:80" x14ac:dyDescent="0.2">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10"/>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row>
    <row r="305" spans="3:80" x14ac:dyDescent="0.2">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10"/>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row>
    <row r="306" spans="3:80" x14ac:dyDescent="0.2">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10"/>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row>
    <row r="307" spans="3:80" x14ac:dyDescent="0.2">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10"/>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row>
    <row r="308" spans="3:80" x14ac:dyDescent="0.2">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10"/>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row>
    <row r="309" spans="3:80" x14ac:dyDescent="0.2">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10"/>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row>
    <row r="310" spans="3:80" x14ac:dyDescent="0.2">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10"/>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row>
    <row r="311" spans="3:80" x14ac:dyDescent="0.2">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10"/>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row>
    <row r="312" spans="3:80" x14ac:dyDescent="0.2">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10"/>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row>
    <row r="313" spans="3:80" x14ac:dyDescent="0.2">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10"/>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row>
    <row r="314" spans="3:80" x14ac:dyDescent="0.2">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10"/>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row>
    <row r="315" spans="3:80" x14ac:dyDescent="0.2">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10"/>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row>
    <row r="316" spans="3:80" x14ac:dyDescent="0.2">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10"/>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row>
    <row r="317" spans="3:80" x14ac:dyDescent="0.2">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10"/>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row>
    <row r="318" spans="3:80" x14ac:dyDescent="0.2">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10"/>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row>
    <row r="319" spans="3:80" x14ac:dyDescent="0.2">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10"/>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row>
    <row r="320" spans="3:80" x14ac:dyDescent="0.2">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10"/>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row>
    <row r="321" spans="3:80" x14ac:dyDescent="0.2">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10"/>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row>
    <row r="322" spans="3:80" x14ac:dyDescent="0.2">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10"/>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row>
    <row r="323" spans="3:80" x14ac:dyDescent="0.2">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10"/>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row>
    <row r="324" spans="3:80" x14ac:dyDescent="0.2">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10"/>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row>
    <row r="325" spans="3:80" x14ac:dyDescent="0.2">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10"/>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row>
    <row r="326" spans="3:80" x14ac:dyDescent="0.2">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10"/>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row>
    <row r="327" spans="3:80" x14ac:dyDescent="0.2">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10"/>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row>
    <row r="328" spans="3:80" x14ac:dyDescent="0.2">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10"/>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row>
    <row r="329" spans="3:80" x14ac:dyDescent="0.2">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10"/>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row>
    <row r="330" spans="3:80" x14ac:dyDescent="0.2">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10"/>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row>
    <row r="331" spans="3:80" x14ac:dyDescent="0.2">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10"/>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row>
    <row r="332" spans="3:80" x14ac:dyDescent="0.2">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10"/>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row>
    <row r="333" spans="3:80" x14ac:dyDescent="0.2">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10"/>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row>
    <row r="334" spans="3:80" x14ac:dyDescent="0.2">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10"/>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row>
    <row r="335" spans="3:80" x14ac:dyDescent="0.2">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10"/>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row>
    <row r="336" spans="3:80" x14ac:dyDescent="0.2">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10"/>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row>
    <row r="337" spans="3:80" x14ac:dyDescent="0.2">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10"/>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row>
  </sheetData>
  <conditionalFormatting sqref="C107:BA107">
    <cfRule type="expression" dxfId="44" priority="2">
      <formula>C107&gt;B107</formula>
    </cfRule>
  </conditionalFormatting>
  <conditionalFormatting sqref="C108:BA108">
    <cfRule type="expression" dxfId="43" priority="1">
      <formula>C108&gt;B108</formula>
    </cfRule>
  </conditionalFormatting>
  <conditionalFormatting sqref="C54:BA56 C69:BA71 C59:BA66">
    <cfRule type="expression" dxfId="42" priority="10">
      <formula>C54&gt;B54</formula>
    </cfRule>
  </conditionalFormatting>
  <conditionalFormatting sqref="C104:BA106 C119:BA121 C109:BA116">
    <cfRule type="expression" dxfId="41" priority="9">
      <formula>C104&gt;B104</formula>
    </cfRule>
  </conditionalFormatting>
  <conditionalFormatting sqref="C67:BA67">
    <cfRule type="expression" dxfId="40" priority="8">
      <formula>C67&gt;B67</formula>
    </cfRule>
  </conditionalFormatting>
  <conditionalFormatting sqref="C68:BA68">
    <cfRule type="expression" dxfId="39" priority="7">
      <formula>C68&gt;B68</formula>
    </cfRule>
  </conditionalFormatting>
  <conditionalFormatting sqref="C117:BA117">
    <cfRule type="expression" dxfId="38" priority="6">
      <formula>C117&gt;B117</formula>
    </cfRule>
  </conditionalFormatting>
  <conditionalFormatting sqref="C118:BA118">
    <cfRule type="expression" dxfId="37" priority="5">
      <formula>C118&gt;B118</formula>
    </cfRule>
  </conditionalFormatting>
  <conditionalFormatting sqref="C57:BA57">
    <cfRule type="expression" dxfId="36" priority="4">
      <formula>C57&gt;B57</formula>
    </cfRule>
  </conditionalFormatting>
  <conditionalFormatting sqref="C58:BA58">
    <cfRule type="expression" dxfId="35" priority="3">
      <formula>C58&gt;B58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CB315"/>
  <sheetViews>
    <sheetView topLeftCell="A121" workbookViewId="0">
      <selection activeCell="D137" sqref="D137"/>
    </sheetView>
  </sheetViews>
  <sheetFormatPr defaultColWidth="11.42578125" defaultRowHeight="11.25" x14ac:dyDescent="0.2"/>
  <cols>
    <col min="1" max="1" width="5" style="9" customWidth="1"/>
    <col min="2" max="2" width="30.42578125" style="2" bestFit="1" customWidth="1"/>
    <col min="3" max="3" width="10.5703125" style="2" bestFit="1" customWidth="1"/>
    <col min="4" max="53" width="10.42578125" style="2" bestFit="1" customWidth="1"/>
    <col min="54" max="54" width="11.42578125" style="4"/>
    <col min="55" max="16384" width="11.42578125" style="2"/>
  </cols>
  <sheetData>
    <row r="1" spans="1:80" ht="21" thickBot="1" x14ac:dyDescent="0.25">
      <c r="B1" s="23" t="s">
        <v>92</v>
      </c>
      <c r="C1" s="24"/>
      <c r="D1" s="25"/>
      <c r="E1" s="26"/>
      <c r="F1" s="25"/>
      <c r="G1" s="25"/>
      <c r="H1" s="25"/>
      <c r="I1" s="25"/>
    </row>
    <row r="2" spans="1:80" x14ac:dyDescent="0.2">
      <c r="A2" s="1"/>
      <c r="B2" s="1" t="s">
        <v>0</v>
      </c>
      <c r="D2" s="3"/>
      <c r="E2" s="3"/>
      <c r="F2" s="3"/>
    </row>
    <row r="3" spans="1:80" x14ac:dyDescent="0.2">
      <c r="A3" s="3"/>
      <c r="B3" s="5" t="s">
        <v>1</v>
      </c>
      <c r="C3" s="6">
        <v>2010</v>
      </c>
      <c r="D3" s="3">
        <v>2011</v>
      </c>
      <c r="E3" s="3">
        <v>2012</v>
      </c>
      <c r="F3" s="3">
        <v>2013</v>
      </c>
      <c r="G3" s="3">
        <v>2014</v>
      </c>
      <c r="H3" s="6">
        <v>2015</v>
      </c>
      <c r="I3" s="3">
        <v>2016</v>
      </c>
      <c r="J3" s="3">
        <v>2017</v>
      </c>
      <c r="K3" s="3">
        <v>2018</v>
      </c>
      <c r="L3" s="3">
        <v>2019</v>
      </c>
      <c r="M3" s="6">
        <v>2020</v>
      </c>
      <c r="N3" s="3">
        <v>2021</v>
      </c>
      <c r="O3" s="3">
        <v>2022</v>
      </c>
      <c r="P3" s="3">
        <v>2023</v>
      </c>
      <c r="Q3" s="3">
        <v>2024</v>
      </c>
      <c r="R3" s="6">
        <v>2025</v>
      </c>
      <c r="S3" s="3">
        <v>2026</v>
      </c>
      <c r="T3" s="3">
        <v>2027</v>
      </c>
      <c r="U3" s="3">
        <v>2028</v>
      </c>
      <c r="V3" s="3">
        <v>2029</v>
      </c>
      <c r="W3" s="6">
        <v>2030</v>
      </c>
      <c r="X3" s="3">
        <v>2031</v>
      </c>
      <c r="Y3" s="3">
        <v>2032</v>
      </c>
      <c r="Z3" s="3">
        <v>2033</v>
      </c>
      <c r="AA3" s="3">
        <v>2034</v>
      </c>
      <c r="AB3" s="6">
        <v>2035</v>
      </c>
      <c r="AC3" s="3">
        <v>2036</v>
      </c>
      <c r="AD3" s="3">
        <v>2037</v>
      </c>
      <c r="AE3" s="3">
        <v>2038</v>
      </c>
      <c r="AF3" s="3">
        <v>2039</v>
      </c>
      <c r="AG3" s="6">
        <v>2040</v>
      </c>
      <c r="AH3" s="3">
        <v>2041</v>
      </c>
      <c r="AI3" s="3">
        <v>2042</v>
      </c>
      <c r="AJ3" s="3">
        <v>2043</v>
      </c>
      <c r="AK3" s="3">
        <v>2044</v>
      </c>
      <c r="AL3" s="6">
        <v>2045</v>
      </c>
      <c r="AM3" s="3">
        <v>2046</v>
      </c>
      <c r="AN3" s="3">
        <v>2047</v>
      </c>
      <c r="AO3" s="3">
        <v>2048</v>
      </c>
      <c r="AP3" s="3">
        <v>2049</v>
      </c>
      <c r="AQ3" s="6">
        <v>2050</v>
      </c>
      <c r="AR3" s="3">
        <v>2051</v>
      </c>
      <c r="AS3" s="3">
        <v>2052</v>
      </c>
      <c r="AT3" s="3">
        <v>2053</v>
      </c>
      <c r="AU3" s="3">
        <v>2054</v>
      </c>
      <c r="AV3" s="6">
        <v>2055</v>
      </c>
      <c r="AW3" s="3">
        <v>2056</v>
      </c>
      <c r="AX3" s="3">
        <v>2057</v>
      </c>
      <c r="AY3" s="3">
        <v>2058</v>
      </c>
      <c r="AZ3" s="3">
        <v>2059</v>
      </c>
      <c r="BA3" s="6">
        <v>2060</v>
      </c>
    </row>
    <row r="4" spans="1:80" x14ac:dyDescent="0.2">
      <c r="A4" s="7"/>
      <c r="B4" s="101" t="s">
        <v>2</v>
      </c>
      <c r="C4" s="8">
        <v>4898.5083573630181</v>
      </c>
      <c r="D4" s="8">
        <v>5027.4671283800208</v>
      </c>
      <c r="E4" s="8">
        <v>5156.4258993970234</v>
      </c>
      <c r="F4" s="8">
        <v>5285.384670414026</v>
      </c>
      <c r="G4" s="8">
        <v>5414.3434414310286</v>
      </c>
      <c r="H4" s="8">
        <v>5543.3022124480312</v>
      </c>
      <c r="I4" s="8">
        <v>5481.1683974378329</v>
      </c>
      <c r="J4" s="8">
        <v>5419.0345824276337</v>
      </c>
      <c r="K4" s="8">
        <v>5356.9007674174354</v>
      </c>
      <c r="L4" s="8">
        <v>5294.7669524072362</v>
      </c>
      <c r="M4" s="8">
        <v>5232.6331373970379</v>
      </c>
      <c r="N4" s="8">
        <v>5183.2064785128205</v>
      </c>
      <c r="O4" s="8">
        <v>5133.779819628603</v>
      </c>
      <c r="P4" s="8">
        <v>5084.3531607443856</v>
      </c>
      <c r="Q4" s="8">
        <v>5034.9265018601682</v>
      </c>
      <c r="R4" s="8">
        <v>4985.4998429759507</v>
      </c>
      <c r="S4" s="8">
        <v>4895.9004829868627</v>
      </c>
      <c r="T4" s="8">
        <v>4806.3011229977747</v>
      </c>
      <c r="U4" s="8">
        <v>4716.7017630086866</v>
      </c>
      <c r="V4" s="8">
        <v>4627.1024030195986</v>
      </c>
      <c r="W4" s="8">
        <v>4537.5030430305105</v>
      </c>
      <c r="X4" s="8">
        <v>4434.1811096546044</v>
      </c>
      <c r="Y4" s="8">
        <v>4330.8591762786982</v>
      </c>
      <c r="Z4" s="8">
        <v>4227.5372429027911</v>
      </c>
      <c r="AA4" s="8">
        <v>4124.215309526885</v>
      </c>
      <c r="AB4" s="8">
        <v>4020.8933761509788</v>
      </c>
      <c r="AC4" s="8">
        <v>3904.9108026732283</v>
      </c>
      <c r="AD4" s="8">
        <v>3788.9282291954778</v>
      </c>
      <c r="AE4" s="8">
        <v>3672.9456557177273</v>
      </c>
      <c r="AF4" s="8">
        <v>3556.9630822399772</v>
      </c>
      <c r="AG4" s="8">
        <v>3440.9805087622267</v>
      </c>
      <c r="AH4" s="8">
        <v>3327.0943074028228</v>
      </c>
      <c r="AI4" s="8">
        <v>3213.2081060434189</v>
      </c>
      <c r="AJ4" s="8">
        <v>3099.321904684015</v>
      </c>
      <c r="AK4" s="8">
        <v>2985.435703324611</v>
      </c>
      <c r="AL4" s="8">
        <v>2871.5495019652071</v>
      </c>
      <c r="AM4" s="8">
        <v>2769.587932114433</v>
      </c>
      <c r="AN4" s="8">
        <v>2667.6263622636593</v>
      </c>
      <c r="AO4" s="8">
        <v>2565.6647924128852</v>
      </c>
      <c r="AP4" s="8">
        <v>2463.7032225621115</v>
      </c>
      <c r="AQ4" s="8">
        <v>2361.7416527113373</v>
      </c>
      <c r="AR4" s="8">
        <v>2281.3406510612031</v>
      </c>
      <c r="AS4" s="8">
        <v>2200.9396494110683</v>
      </c>
      <c r="AT4" s="8">
        <v>2120.5386477609341</v>
      </c>
      <c r="AU4" s="8">
        <v>2040.1376461107998</v>
      </c>
      <c r="AV4" s="8">
        <v>1959.7366444606653</v>
      </c>
      <c r="AW4" s="8">
        <v>1905.8795981427029</v>
      </c>
      <c r="AX4" s="8">
        <v>1852.0225518247407</v>
      </c>
      <c r="AY4" s="8">
        <v>1798.1655055067783</v>
      </c>
      <c r="AZ4" s="8">
        <v>1744.3084591888162</v>
      </c>
      <c r="BA4" s="8">
        <v>1690.4514128708538</v>
      </c>
      <c r="BB4" s="102" t="s">
        <v>3</v>
      </c>
      <c r="BC4" s="8"/>
      <c r="BD4" s="56">
        <f>1-BA4/C4</f>
        <v>0.65490486296100481</v>
      </c>
      <c r="BE4" s="8"/>
      <c r="BF4" s="8"/>
      <c r="BG4" s="8"/>
      <c r="BH4" s="8"/>
      <c r="BI4" s="8"/>
      <c r="BJ4" s="8"/>
      <c r="BK4" s="8"/>
      <c r="BL4" s="8"/>
      <c r="BM4" s="8"/>
      <c r="BN4" s="8"/>
      <c r="BO4" s="8"/>
      <c r="BP4" s="8"/>
      <c r="BQ4" s="8"/>
      <c r="BR4" s="8"/>
      <c r="BS4" s="8"/>
      <c r="BT4" s="8"/>
      <c r="BU4" s="8"/>
      <c r="BV4" s="8"/>
      <c r="BW4" s="8"/>
      <c r="BX4" s="8"/>
      <c r="BY4" s="8"/>
      <c r="BZ4" s="8"/>
      <c r="CA4" s="8"/>
      <c r="CB4" s="8"/>
    </row>
    <row r="5" spans="1:80" x14ac:dyDescent="0.2">
      <c r="A5" s="7"/>
      <c r="B5" s="101" t="s">
        <v>182</v>
      </c>
      <c r="C5" s="8">
        <v>376.14445827887778</v>
      </c>
      <c r="D5" s="8">
        <v>404.55933630916405</v>
      </c>
      <c r="E5" s="8">
        <v>432.97421433945033</v>
      </c>
      <c r="F5" s="8">
        <v>461.38909236973666</v>
      </c>
      <c r="G5" s="8">
        <v>489.80397040002293</v>
      </c>
      <c r="H5" s="8">
        <v>518.21884843030921</v>
      </c>
      <c r="I5" s="8">
        <v>493.8102178952264</v>
      </c>
      <c r="J5" s="8">
        <v>469.40158736014359</v>
      </c>
      <c r="K5" s="8">
        <v>444.99295682506079</v>
      </c>
      <c r="L5" s="8">
        <v>420.58432628997798</v>
      </c>
      <c r="M5" s="8">
        <v>396.17569575489517</v>
      </c>
      <c r="N5" s="8">
        <v>393.82388940824131</v>
      </c>
      <c r="O5" s="8">
        <v>391.47208306158745</v>
      </c>
      <c r="P5" s="8">
        <v>389.12027671493354</v>
      </c>
      <c r="Q5" s="8">
        <v>386.76847036827968</v>
      </c>
      <c r="R5" s="8">
        <v>384.41666402162582</v>
      </c>
      <c r="S5" s="8">
        <v>378.29183423325924</v>
      </c>
      <c r="T5" s="8">
        <v>372.16700444489271</v>
      </c>
      <c r="U5" s="8">
        <v>366.04217465652613</v>
      </c>
      <c r="V5" s="8">
        <v>359.9173448681596</v>
      </c>
      <c r="W5" s="8">
        <v>353.79251507979302</v>
      </c>
      <c r="X5" s="8">
        <v>343.91968727894954</v>
      </c>
      <c r="Y5" s="8">
        <v>334.04685947810606</v>
      </c>
      <c r="Z5" s="8">
        <v>324.17403167726252</v>
      </c>
      <c r="AA5" s="8">
        <v>314.30120387641904</v>
      </c>
      <c r="AB5" s="8">
        <v>304.42837607557556</v>
      </c>
      <c r="AC5" s="8">
        <v>283.4145607006908</v>
      </c>
      <c r="AD5" s="8">
        <v>262.40074532580599</v>
      </c>
      <c r="AE5" s="8">
        <v>241.3869299509212</v>
      </c>
      <c r="AF5" s="8">
        <v>220.37311457603641</v>
      </c>
      <c r="AG5" s="8">
        <v>199.35929920115163</v>
      </c>
      <c r="AH5" s="8">
        <v>183.23849093823986</v>
      </c>
      <c r="AI5" s="8">
        <v>167.11768267532807</v>
      </c>
      <c r="AJ5" s="8">
        <v>150.9968744124163</v>
      </c>
      <c r="AK5" s="8">
        <v>134.87606614950454</v>
      </c>
      <c r="AL5" s="8">
        <v>118.75525788659274</v>
      </c>
      <c r="AM5" s="8">
        <v>99.447889672546864</v>
      </c>
      <c r="AN5" s="8">
        <v>80.14052145850097</v>
      </c>
      <c r="AO5" s="8">
        <v>60.833153244455083</v>
      </c>
      <c r="AP5" s="8">
        <v>41.525785030409196</v>
      </c>
      <c r="AQ5" s="8">
        <v>22.218416816363316</v>
      </c>
      <c r="AR5" s="8">
        <v>19.616075066517105</v>
      </c>
      <c r="AS5" s="8">
        <v>17.013733316670898</v>
      </c>
      <c r="AT5" s="8">
        <v>14.411391566824687</v>
      </c>
      <c r="AU5" s="8">
        <v>11.809049816978478</v>
      </c>
      <c r="AV5" s="8">
        <v>9.2067080671322685</v>
      </c>
      <c r="AW5" s="8">
        <v>8.4584819873937764</v>
      </c>
      <c r="AX5" s="8">
        <v>7.7102559076552835</v>
      </c>
      <c r="AY5" s="8">
        <v>6.9620298279167914</v>
      </c>
      <c r="AZ5" s="8">
        <v>6.2138037481782984</v>
      </c>
      <c r="BA5" s="8">
        <v>5.4655776684398063</v>
      </c>
      <c r="BB5" s="102" t="s">
        <v>3</v>
      </c>
      <c r="BC5" s="8"/>
      <c r="BD5" s="56">
        <f t="shared" ref="BD5:BD15" si="0">1-BA5/C5</f>
        <v>0.98546947177302935</v>
      </c>
      <c r="BE5" s="8"/>
      <c r="BF5" s="8"/>
      <c r="BG5" s="8"/>
      <c r="BH5" s="8"/>
      <c r="BI5" s="8"/>
      <c r="BJ5" s="8"/>
      <c r="BK5" s="8"/>
      <c r="BL5" s="8"/>
      <c r="BM5" s="8"/>
      <c r="BN5" s="8"/>
      <c r="BO5" s="8"/>
      <c r="BP5" s="8"/>
      <c r="BQ5" s="8"/>
      <c r="BR5" s="8"/>
      <c r="BS5" s="8"/>
      <c r="BT5" s="8"/>
      <c r="BU5" s="8"/>
      <c r="BV5" s="8"/>
      <c r="BW5" s="8"/>
      <c r="BX5" s="8"/>
      <c r="BY5" s="8"/>
      <c r="BZ5" s="8"/>
      <c r="CA5" s="8"/>
      <c r="CB5" s="8"/>
    </row>
    <row r="6" spans="1:80" x14ac:dyDescent="0.2">
      <c r="A6" s="7"/>
      <c r="B6" s="101" t="s">
        <v>165</v>
      </c>
      <c r="C6" s="8">
        <v>3099.7542550998419</v>
      </c>
      <c r="D6" s="8">
        <v>3170.8586676248615</v>
      </c>
      <c r="E6" s="8">
        <v>3241.9630801498811</v>
      </c>
      <c r="F6" s="8">
        <v>3313.0674926749011</v>
      </c>
      <c r="G6" s="8">
        <v>3384.1719051999207</v>
      </c>
      <c r="H6" s="8">
        <v>3455.2763177249403</v>
      </c>
      <c r="I6" s="8">
        <v>3425.4612051505546</v>
      </c>
      <c r="J6" s="8">
        <v>3395.6460925761689</v>
      </c>
      <c r="K6" s="8">
        <v>3365.8309800017832</v>
      </c>
      <c r="L6" s="8">
        <v>3336.0158674273976</v>
      </c>
      <c r="M6" s="8">
        <v>3306.2007548530119</v>
      </c>
      <c r="N6" s="8">
        <v>3263.3045364965119</v>
      </c>
      <c r="O6" s="8">
        <v>3220.4083181400119</v>
      </c>
      <c r="P6" s="8">
        <v>3177.512099783512</v>
      </c>
      <c r="Q6" s="8">
        <v>3134.615881427012</v>
      </c>
      <c r="R6" s="8">
        <v>3091.7196630705121</v>
      </c>
      <c r="S6" s="8">
        <v>3019.6016103714792</v>
      </c>
      <c r="T6" s="8">
        <v>2947.4835576724463</v>
      </c>
      <c r="U6" s="8">
        <v>2875.3655049734139</v>
      </c>
      <c r="V6" s="8">
        <v>2803.247452274381</v>
      </c>
      <c r="W6" s="8">
        <v>2731.1293995753481</v>
      </c>
      <c r="X6" s="8">
        <v>2656.1432883174939</v>
      </c>
      <c r="Y6" s="8">
        <v>2581.1571770596393</v>
      </c>
      <c r="Z6" s="8">
        <v>2506.1710658017851</v>
      </c>
      <c r="AA6" s="8">
        <v>2431.1849545439304</v>
      </c>
      <c r="AB6" s="8">
        <v>2356.1988432860762</v>
      </c>
      <c r="AC6" s="8">
        <v>2286.7931458392704</v>
      </c>
      <c r="AD6" s="8">
        <v>2217.3874483924642</v>
      </c>
      <c r="AE6" s="8">
        <v>2147.981750945658</v>
      </c>
      <c r="AF6" s="8">
        <v>2078.5760534988522</v>
      </c>
      <c r="AG6" s="8">
        <v>2009.1703560520461</v>
      </c>
      <c r="AH6" s="8">
        <v>1939.8147518872729</v>
      </c>
      <c r="AI6" s="8">
        <v>1870.4591477224997</v>
      </c>
      <c r="AJ6" s="8">
        <v>1801.1035435577264</v>
      </c>
      <c r="AK6" s="8">
        <v>1731.7479393929532</v>
      </c>
      <c r="AL6" s="8">
        <v>1662.3923352281799</v>
      </c>
      <c r="AM6" s="8">
        <v>1602.4643914256053</v>
      </c>
      <c r="AN6" s="8">
        <v>1542.5364476230307</v>
      </c>
      <c r="AO6" s="8">
        <v>1482.608503820456</v>
      </c>
      <c r="AP6" s="8">
        <v>1422.6805600178811</v>
      </c>
      <c r="AQ6" s="8">
        <v>1362.7526162153065</v>
      </c>
      <c r="AR6" s="8">
        <v>1305.3287910898969</v>
      </c>
      <c r="AS6" s="8">
        <v>1247.9049659644872</v>
      </c>
      <c r="AT6" s="8">
        <v>1190.4811408390779</v>
      </c>
      <c r="AU6" s="8">
        <v>1133.0573157136682</v>
      </c>
      <c r="AV6" s="8">
        <v>1075.6334905882586</v>
      </c>
      <c r="AW6" s="8">
        <v>1036.7211444798938</v>
      </c>
      <c r="AX6" s="8">
        <v>997.80879837152918</v>
      </c>
      <c r="AY6" s="8">
        <v>958.89645226316441</v>
      </c>
      <c r="AZ6" s="8">
        <v>919.98410615479975</v>
      </c>
      <c r="BA6" s="8">
        <v>881.07176004643497</v>
      </c>
      <c r="BB6" s="102" t="s">
        <v>3</v>
      </c>
      <c r="BC6" s="8"/>
      <c r="BD6" s="56">
        <f t="shared" si="0"/>
        <v>0.71576077084276601</v>
      </c>
      <c r="BE6" s="8"/>
      <c r="BF6" s="8"/>
      <c r="BG6" s="8"/>
      <c r="BH6" s="8"/>
      <c r="BI6" s="8"/>
      <c r="BJ6" s="8"/>
      <c r="BK6" s="8"/>
      <c r="BL6" s="8"/>
      <c r="BM6" s="8"/>
      <c r="BN6" s="8"/>
      <c r="BO6" s="8"/>
      <c r="BP6" s="8"/>
      <c r="BQ6" s="8"/>
      <c r="BR6" s="8"/>
      <c r="BS6" s="8"/>
      <c r="BT6" s="8"/>
      <c r="BU6" s="8"/>
      <c r="BV6" s="8"/>
      <c r="BW6" s="8"/>
      <c r="BX6" s="8"/>
      <c r="BY6" s="8"/>
      <c r="BZ6" s="8"/>
      <c r="CA6" s="8"/>
      <c r="CB6" s="8"/>
    </row>
    <row r="7" spans="1:80" x14ac:dyDescent="0.2">
      <c r="A7" s="7"/>
      <c r="B7" s="101" t="s">
        <v>167</v>
      </c>
      <c r="C7" s="8">
        <v>257.31308000000001</v>
      </c>
      <c r="D7" s="8">
        <v>264.30702279000002</v>
      </c>
      <c r="E7" s="8">
        <v>271.30096558000002</v>
      </c>
      <c r="F7" s="8">
        <v>278.29490836999997</v>
      </c>
      <c r="G7" s="8">
        <v>285.28885115999998</v>
      </c>
      <c r="H7" s="8">
        <v>292.28279394999998</v>
      </c>
      <c r="I7" s="8">
        <v>286.19305715999997</v>
      </c>
      <c r="J7" s="8">
        <v>280.10332037000001</v>
      </c>
      <c r="K7" s="8">
        <v>274.01358357999999</v>
      </c>
      <c r="L7" s="8">
        <v>267.92384679000003</v>
      </c>
      <c r="M7" s="8">
        <v>261.83411000000001</v>
      </c>
      <c r="N7" s="8">
        <v>257.92083400000001</v>
      </c>
      <c r="O7" s="8">
        <v>254.00755800000002</v>
      </c>
      <c r="P7" s="8">
        <v>250.09428200000002</v>
      </c>
      <c r="Q7" s="8">
        <v>246.18100600000002</v>
      </c>
      <c r="R7" s="8">
        <v>242.26773000000003</v>
      </c>
      <c r="S7" s="8">
        <v>239.43672000000004</v>
      </c>
      <c r="T7" s="8">
        <v>236.60571000000002</v>
      </c>
      <c r="U7" s="8">
        <v>233.77470000000002</v>
      </c>
      <c r="V7" s="8">
        <v>230.94369</v>
      </c>
      <c r="W7" s="8">
        <v>228.11268000000001</v>
      </c>
      <c r="X7" s="8">
        <v>225.191574</v>
      </c>
      <c r="Y7" s="8">
        <v>222.27046800000002</v>
      </c>
      <c r="Z7" s="8">
        <v>219.34936200000001</v>
      </c>
      <c r="AA7" s="8">
        <v>216.42825600000003</v>
      </c>
      <c r="AB7" s="8">
        <v>213.50715000000002</v>
      </c>
      <c r="AC7" s="8">
        <v>209.67208140000002</v>
      </c>
      <c r="AD7" s="8">
        <v>205.83701280000002</v>
      </c>
      <c r="AE7" s="8">
        <v>202.0019442</v>
      </c>
      <c r="AF7" s="8">
        <v>198.1668756</v>
      </c>
      <c r="AG7" s="8">
        <v>194.331807</v>
      </c>
      <c r="AH7" s="8">
        <v>189.46753759999999</v>
      </c>
      <c r="AI7" s="8">
        <v>184.6032682</v>
      </c>
      <c r="AJ7" s="8">
        <v>179.73899879999999</v>
      </c>
      <c r="AK7" s="8">
        <v>174.87472940000001</v>
      </c>
      <c r="AL7" s="8">
        <v>170.01045999999999</v>
      </c>
      <c r="AM7" s="8">
        <v>166.07104799999999</v>
      </c>
      <c r="AN7" s="8">
        <v>162.13163599999999</v>
      </c>
      <c r="AO7" s="8">
        <v>158.19222400000001</v>
      </c>
      <c r="AP7" s="8">
        <v>154.25281200000001</v>
      </c>
      <c r="AQ7" s="8">
        <v>150.3134</v>
      </c>
      <c r="AR7" s="8">
        <v>144.67867999999999</v>
      </c>
      <c r="AS7" s="8">
        <v>139.04396</v>
      </c>
      <c r="AT7" s="8">
        <v>133.40924000000001</v>
      </c>
      <c r="AU7" s="8">
        <v>127.77452</v>
      </c>
      <c r="AV7" s="8">
        <v>122.13979999999999</v>
      </c>
      <c r="AW7" s="8">
        <v>116.69426</v>
      </c>
      <c r="AX7" s="8">
        <v>111.24871999999999</v>
      </c>
      <c r="AY7" s="8">
        <v>105.80318</v>
      </c>
      <c r="AZ7" s="8">
        <v>100.35764</v>
      </c>
      <c r="BA7" s="8">
        <v>94.912099999999995</v>
      </c>
      <c r="BB7" s="102" t="s">
        <v>3</v>
      </c>
      <c r="BC7" s="8"/>
      <c r="BD7" s="56">
        <f t="shared" si="0"/>
        <v>0.6311415649760207</v>
      </c>
      <c r="BE7" s="8"/>
      <c r="BF7" s="8"/>
      <c r="BG7" s="8"/>
      <c r="BH7" s="8"/>
      <c r="BI7" s="8"/>
      <c r="BJ7" s="8"/>
      <c r="BK7" s="8"/>
      <c r="BL7" s="8"/>
      <c r="BM7" s="8"/>
      <c r="BN7" s="8"/>
      <c r="BO7" s="8"/>
      <c r="BP7" s="8"/>
      <c r="BQ7" s="8"/>
      <c r="BR7" s="8"/>
      <c r="BS7" s="8"/>
      <c r="BT7" s="8"/>
      <c r="BU7" s="8"/>
      <c r="BV7" s="8"/>
      <c r="BW7" s="8"/>
      <c r="BX7" s="8"/>
      <c r="BY7" s="8"/>
      <c r="BZ7" s="8"/>
      <c r="CA7" s="8"/>
      <c r="CB7" s="8"/>
    </row>
    <row r="8" spans="1:80" x14ac:dyDescent="0.2">
      <c r="A8" s="7"/>
      <c r="B8" s="101" t="s">
        <v>166</v>
      </c>
      <c r="C8" s="8">
        <v>189.78557187212368</v>
      </c>
      <c r="D8" s="8">
        <v>193.11239742425948</v>
      </c>
      <c r="E8" s="8">
        <v>196.43922297639531</v>
      </c>
      <c r="F8" s="8">
        <v>199.76604852853112</v>
      </c>
      <c r="G8" s="8">
        <v>203.09287408066695</v>
      </c>
      <c r="H8" s="8">
        <v>206.41969963280275</v>
      </c>
      <c r="I8" s="8">
        <v>202.75114546263907</v>
      </c>
      <c r="J8" s="8">
        <v>199.08259129247537</v>
      </c>
      <c r="K8" s="8">
        <v>195.4140371223117</v>
      </c>
      <c r="L8" s="8">
        <v>191.745482952148</v>
      </c>
      <c r="M8" s="8">
        <v>188.07692878198432</v>
      </c>
      <c r="N8" s="8">
        <v>187.98253268393185</v>
      </c>
      <c r="O8" s="8">
        <v>187.88813658587938</v>
      </c>
      <c r="P8" s="8">
        <v>187.79374048782691</v>
      </c>
      <c r="Q8" s="8">
        <v>187.69934438977444</v>
      </c>
      <c r="R8" s="8">
        <v>187.60494829172197</v>
      </c>
      <c r="S8" s="8">
        <v>186.85767726311528</v>
      </c>
      <c r="T8" s="8">
        <v>186.11040623450856</v>
      </c>
      <c r="U8" s="8">
        <v>185.36313520590187</v>
      </c>
      <c r="V8" s="8">
        <v>184.61586417729515</v>
      </c>
      <c r="W8" s="8">
        <v>183.86859314868846</v>
      </c>
      <c r="X8" s="8">
        <v>182.02348851171143</v>
      </c>
      <c r="Y8" s="8">
        <v>180.17838387473438</v>
      </c>
      <c r="Z8" s="8">
        <v>178.33327923775735</v>
      </c>
      <c r="AA8" s="8">
        <v>176.4881746007803</v>
      </c>
      <c r="AB8" s="8">
        <v>174.64306996380327</v>
      </c>
      <c r="AC8" s="8">
        <v>171.3780706804167</v>
      </c>
      <c r="AD8" s="8">
        <v>168.11307139703013</v>
      </c>
      <c r="AE8" s="8">
        <v>164.84807211364358</v>
      </c>
      <c r="AF8" s="8">
        <v>161.58307283025701</v>
      </c>
      <c r="AG8" s="8">
        <v>158.31807354687044</v>
      </c>
      <c r="AH8" s="8">
        <v>154.46495651094881</v>
      </c>
      <c r="AI8" s="8">
        <v>150.61183947502718</v>
      </c>
      <c r="AJ8" s="8">
        <v>146.75872243910553</v>
      </c>
      <c r="AK8" s="8">
        <v>142.9056054031839</v>
      </c>
      <c r="AL8" s="8">
        <v>139.05248836726227</v>
      </c>
      <c r="AM8" s="8">
        <v>134.4210596347553</v>
      </c>
      <c r="AN8" s="8">
        <v>129.78963090224832</v>
      </c>
      <c r="AO8" s="8">
        <v>125.15820216974136</v>
      </c>
      <c r="AP8" s="8">
        <v>120.5267734372344</v>
      </c>
      <c r="AQ8" s="8">
        <v>115.89534470472742</v>
      </c>
      <c r="AR8" s="8">
        <v>110.6623465413018</v>
      </c>
      <c r="AS8" s="8">
        <v>105.42934837787618</v>
      </c>
      <c r="AT8" s="8">
        <v>100.19635021445058</v>
      </c>
      <c r="AU8" s="8">
        <v>94.963352051024955</v>
      </c>
      <c r="AV8" s="8">
        <v>89.730353887599335</v>
      </c>
      <c r="AW8" s="8">
        <v>85.021599872217251</v>
      </c>
      <c r="AX8" s="8">
        <v>80.312845856835153</v>
      </c>
      <c r="AY8" s="8">
        <v>75.604091841453069</v>
      </c>
      <c r="AZ8" s="8">
        <v>70.895337826070971</v>
      </c>
      <c r="BA8" s="8">
        <v>66.186583810688887</v>
      </c>
      <c r="BB8" s="102" t="s">
        <v>3</v>
      </c>
      <c r="BC8" s="8"/>
      <c r="BD8" s="56">
        <f t="shared" si="0"/>
        <v>0.65125597716519257</v>
      </c>
      <c r="BE8" s="8"/>
      <c r="BF8" s="8"/>
      <c r="BG8" s="8"/>
      <c r="BH8" s="8"/>
      <c r="BI8" s="8"/>
      <c r="BJ8" s="8"/>
      <c r="BK8" s="8"/>
      <c r="BL8" s="8"/>
      <c r="BM8" s="8"/>
      <c r="BN8" s="8"/>
      <c r="BO8" s="8"/>
      <c r="BP8" s="8"/>
      <c r="BQ8" s="8"/>
      <c r="BR8" s="8"/>
      <c r="BS8" s="8"/>
      <c r="BT8" s="8"/>
      <c r="BU8" s="8"/>
      <c r="BV8" s="8"/>
      <c r="BW8" s="8"/>
      <c r="BX8" s="8"/>
      <c r="BY8" s="8"/>
      <c r="BZ8" s="8"/>
      <c r="CA8" s="8"/>
      <c r="CB8" s="8"/>
    </row>
    <row r="9" spans="1:80" x14ac:dyDescent="0.2">
      <c r="A9" s="7"/>
      <c r="B9" s="101" t="s">
        <v>168</v>
      </c>
      <c r="C9" s="8">
        <v>447.09871240179211</v>
      </c>
      <c r="D9" s="8">
        <v>457.4194686285569</v>
      </c>
      <c r="E9" s="8">
        <v>467.74022485532163</v>
      </c>
      <c r="F9" s="8">
        <v>478.06098108208641</v>
      </c>
      <c r="G9" s="8">
        <v>488.38173730885114</v>
      </c>
      <c r="H9" s="8">
        <v>498.70249353561593</v>
      </c>
      <c r="I9" s="8">
        <v>488.94419350308272</v>
      </c>
      <c r="J9" s="8">
        <v>479.18589347054944</v>
      </c>
      <c r="K9" s="8">
        <v>469.42759343801623</v>
      </c>
      <c r="L9" s="8">
        <v>459.66929340548296</v>
      </c>
      <c r="M9" s="8">
        <v>449.91099337294975</v>
      </c>
      <c r="N9" s="8">
        <v>445.90332963858521</v>
      </c>
      <c r="O9" s="8">
        <v>441.89566590422066</v>
      </c>
      <c r="P9" s="8">
        <v>437.88800216985618</v>
      </c>
      <c r="Q9" s="8">
        <v>433.88033843549164</v>
      </c>
      <c r="R9" s="8">
        <v>429.8726747011271</v>
      </c>
      <c r="S9" s="8">
        <v>426.29438817710195</v>
      </c>
      <c r="T9" s="8">
        <v>422.71610165307681</v>
      </c>
      <c r="U9" s="8">
        <v>419.13781512905172</v>
      </c>
      <c r="V9" s="8">
        <v>415.55952860502657</v>
      </c>
      <c r="W9" s="8">
        <v>411.98124208100143</v>
      </c>
      <c r="X9" s="8">
        <v>407.2150422821868</v>
      </c>
      <c r="Y9" s="8">
        <v>402.44884248337218</v>
      </c>
      <c r="Z9" s="8">
        <v>397.68264268455755</v>
      </c>
      <c r="AA9" s="8">
        <v>392.91644288574292</v>
      </c>
      <c r="AB9" s="8">
        <v>388.1502430869283</v>
      </c>
      <c r="AC9" s="8">
        <v>381.05017083326271</v>
      </c>
      <c r="AD9" s="8">
        <v>373.95009857959712</v>
      </c>
      <c r="AE9" s="8">
        <v>366.85002632593148</v>
      </c>
      <c r="AF9" s="8">
        <v>359.74995407226589</v>
      </c>
      <c r="AG9" s="8">
        <v>352.64988181860031</v>
      </c>
      <c r="AH9" s="8">
        <v>343.93250882114046</v>
      </c>
      <c r="AI9" s="8">
        <v>335.21513582368067</v>
      </c>
      <c r="AJ9" s="8">
        <v>326.49776282622082</v>
      </c>
      <c r="AK9" s="8">
        <v>317.78038982876103</v>
      </c>
      <c r="AL9" s="8">
        <v>309.06301683130118</v>
      </c>
      <c r="AM9" s="8">
        <v>300.49216392548738</v>
      </c>
      <c r="AN9" s="8">
        <v>291.92131101967351</v>
      </c>
      <c r="AO9" s="8">
        <v>283.3504581138597</v>
      </c>
      <c r="AP9" s="8">
        <v>274.77960520804584</v>
      </c>
      <c r="AQ9" s="8">
        <v>266.20875230223203</v>
      </c>
      <c r="AR9" s="8">
        <v>255.34103994606502</v>
      </c>
      <c r="AS9" s="8">
        <v>244.47332758989802</v>
      </c>
      <c r="AT9" s="8">
        <v>233.60561523373102</v>
      </c>
      <c r="AU9" s="8">
        <v>222.73790287756401</v>
      </c>
      <c r="AV9" s="8">
        <v>211.87019052139701</v>
      </c>
      <c r="AW9" s="8">
        <v>201.71589178052068</v>
      </c>
      <c r="AX9" s="8">
        <v>191.56159303964435</v>
      </c>
      <c r="AY9" s="8">
        <v>181.40729429876802</v>
      </c>
      <c r="AZ9" s="8">
        <v>171.25299555789172</v>
      </c>
      <c r="BA9" s="8">
        <v>161.09869681701539</v>
      </c>
      <c r="BB9" s="102" t="s">
        <v>3</v>
      </c>
      <c r="BC9" s="8"/>
      <c r="BD9" s="56">
        <f t="shared" si="0"/>
        <v>0.6396798014657632</v>
      </c>
      <c r="BE9" s="8"/>
      <c r="BF9" s="8"/>
      <c r="BG9" s="8"/>
      <c r="BH9" s="8"/>
      <c r="BI9" s="8"/>
      <c r="BJ9" s="8"/>
      <c r="BK9" s="8"/>
      <c r="BL9" s="8"/>
      <c r="BM9" s="8"/>
      <c r="BN9" s="8"/>
      <c r="BO9" s="8"/>
      <c r="BP9" s="8"/>
      <c r="BQ9" s="8"/>
      <c r="BR9" s="8"/>
      <c r="BS9" s="8"/>
      <c r="BT9" s="8"/>
      <c r="BU9" s="8"/>
      <c r="BV9" s="8"/>
      <c r="BW9" s="8"/>
      <c r="BX9" s="8"/>
      <c r="BY9" s="8"/>
      <c r="BZ9" s="8"/>
      <c r="CA9" s="8"/>
      <c r="CB9" s="8"/>
    </row>
    <row r="10" spans="1:80" x14ac:dyDescent="0.2">
      <c r="A10" s="7"/>
      <c r="B10" s="101" t="s">
        <v>169</v>
      </c>
      <c r="C10" s="8">
        <v>83.215372354664638</v>
      </c>
      <c r="D10" s="8">
        <v>83.874287082347323</v>
      </c>
      <c r="E10" s="8">
        <v>84.533201810029993</v>
      </c>
      <c r="F10" s="8">
        <v>85.192116537712678</v>
      </c>
      <c r="G10" s="8">
        <v>85.851031265395349</v>
      </c>
      <c r="H10" s="8">
        <v>86.509945993078034</v>
      </c>
      <c r="I10" s="8">
        <v>86.450453635478908</v>
      </c>
      <c r="J10" s="8">
        <v>86.390961277879782</v>
      </c>
      <c r="K10" s="8">
        <v>86.331468920280656</v>
      </c>
      <c r="L10" s="8">
        <v>86.27197656268153</v>
      </c>
      <c r="M10" s="8">
        <v>86.212484205082404</v>
      </c>
      <c r="N10" s="8">
        <v>85.522233549519072</v>
      </c>
      <c r="O10" s="8">
        <v>84.83198289395574</v>
      </c>
      <c r="P10" s="8">
        <v>84.141732238392422</v>
      </c>
      <c r="Q10" s="8">
        <v>83.451481582829089</v>
      </c>
      <c r="R10" s="8">
        <v>82.761230927265757</v>
      </c>
      <c r="S10" s="8">
        <v>81.580876846244706</v>
      </c>
      <c r="T10" s="8">
        <v>80.400522765223656</v>
      </c>
      <c r="U10" s="8">
        <v>79.220168684202619</v>
      </c>
      <c r="V10" s="8">
        <v>78.039814603181568</v>
      </c>
      <c r="W10" s="8">
        <v>76.859460522160518</v>
      </c>
      <c r="X10" s="8">
        <v>75.539808782761767</v>
      </c>
      <c r="Y10" s="8">
        <v>74.220157043363017</v>
      </c>
      <c r="Z10" s="8">
        <v>72.900505303964252</v>
      </c>
      <c r="AA10" s="8">
        <v>71.580853564565501</v>
      </c>
      <c r="AB10" s="8">
        <v>70.261201825166751</v>
      </c>
      <c r="AC10" s="8">
        <v>66.377267960824213</v>
      </c>
      <c r="AD10" s="8">
        <v>62.493334096481661</v>
      </c>
      <c r="AE10" s="8">
        <v>58.609400232139123</v>
      </c>
      <c r="AF10" s="8">
        <v>54.725466367796578</v>
      </c>
      <c r="AG10" s="8">
        <v>50.841532503454033</v>
      </c>
      <c r="AH10" s="8">
        <v>48.392516812862311</v>
      </c>
      <c r="AI10" s="8">
        <v>45.94350112227059</v>
      </c>
      <c r="AJ10" s="8">
        <v>43.494485431678868</v>
      </c>
      <c r="AK10" s="8">
        <v>41.045469741087139</v>
      </c>
      <c r="AL10" s="8">
        <v>38.596454050495417</v>
      </c>
      <c r="AM10" s="8">
        <v>36.521383181313318</v>
      </c>
      <c r="AN10" s="8">
        <v>34.446312312131219</v>
      </c>
      <c r="AO10" s="8">
        <v>32.37124144294912</v>
      </c>
      <c r="AP10" s="8">
        <v>30.296170573767025</v>
      </c>
      <c r="AQ10" s="8">
        <v>28.221099704584926</v>
      </c>
      <c r="AR10" s="8">
        <v>26.521124846074557</v>
      </c>
      <c r="AS10" s="8">
        <v>24.821149987564187</v>
      </c>
      <c r="AT10" s="8">
        <v>23.121175129053817</v>
      </c>
      <c r="AU10" s="8">
        <v>21.421200270543444</v>
      </c>
      <c r="AV10" s="8">
        <v>19.721225412033075</v>
      </c>
      <c r="AW10" s="8">
        <v>17.935401475958905</v>
      </c>
      <c r="AX10" s="8">
        <v>16.149577539884735</v>
      </c>
      <c r="AY10" s="8">
        <v>14.363753603810567</v>
      </c>
      <c r="AZ10" s="8">
        <v>12.577929667736399</v>
      </c>
      <c r="BA10" s="8">
        <v>10.792105731662229</v>
      </c>
      <c r="BB10" s="102" t="s">
        <v>3</v>
      </c>
      <c r="BC10" s="8"/>
      <c r="BD10" s="56">
        <f t="shared" si="0"/>
        <v>0.87031115253962721</v>
      </c>
      <c r="BE10" s="8"/>
      <c r="BF10" s="8"/>
      <c r="BG10" s="8"/>
      <c r="BH10" s="8"/>
      <c r="BI10" s="8"/>
      <c r="BJ10" s="8"/>
      <c r="BK10" s="8"/>
      <c r="BL10" s="8"/>
      <c r="BM10" s="8"/>
      <c r="BN10" s="8"/>
      <c r="BO10" s="8"/>
      <c r="BP10" s="8"/>
      <c r="BQ10" s="8"/>
      <c r="BR10" s="8"/>
      <c r="BS10" s="8"/>
      <c r="BT10" s="8"/>
      <c r="BU10" s="8"/>
      <c r="BV10" s="8"/>
      <c r="BW10" s="8"/>
      <c r="BX10" s="8"/>
      <c r="BY10" s="8"/>
      <c r="BZ10" s="8"/>
      <c r="CA10" s="8"/>
      <c r="CB10" s="8"/>
    </row>
    <row r="11" spans="1:80" x14ac:dyDescent="0.2">
      <c r="A11" s="7"/>
      <c r="B11" s="101" t="s">
        <v>170</v>
      </c>
      <c r="C11" s="8">
        <v>19.679233359923657</v>
      </c>
      <c r="D11" s="8">
        <v>19.72760550676059</v>
      </c>
      <c r="E11" s="8">
        <v>19.775977653597522</v>
      </c>
      <c r="F11" s="8">
        <v>19.824349800434454</v>
      </c>
      <c r="G11" s="8">
        <v>19.872721947271387</v>
      </c>
      <c r="H11" s="8">
        <v>19.921094094108319</v>
      </c>
      <c r="I11" s="8">
        <v>20.391020561368123</v>
      </c>
      <c r="J11" s="8">
        <v>20.86094702862793</v>
      </c>
      <c r="K11" s="8">
        <v>21.330873495887733</v>
      </c>
      <c r="L11" s="8">
        <v>21.80079996314754</v>
      </c>
      <c r="M11" s="8">
        <v>22.270726430407343</v>
      </c>
      <c r="N11" s="8">
        <v>21.917046164366621</v>
      </c>
      <c r="O11" s="8">
        <v>21.563365898325898</v>
      </c>
      <c r="P11" s="8">
        <v>21.209685632285179</v>
      </c>
      <c r="Q11" s="8">
        <v>20.856005366244457</v>
      </c>
      <c r="R11" s="8">
        <v>20.502325100203734</v>
      </c>
      <c r="S11" s="8">
        <v>20.176004689225255</v>
      </c>
      <c r="T11" s="8">
        <v>19.849684278246777</v>
      </c>
      <c r="U11" s="8">
        <v>19.523363867268301</v>
      </c>
      <c r="V11" s="8">
        <v>19.197043456289823</v>
      </c>
      <c r="W11" s="8">
        <v>18.870723045311344</v>
      </c>
      <c r="X11" s="8">
        <v>18.472216180703064</v>
      </c>
      <c r="Y11" s="8">
        <v>18.073709316094785</v>
      </c>
      <c r="Z11" s="8">
        <v>17.675202451486506</v>
      </c>
      <c r="AA11" s="8">
        <v>17.276695586878226</v>
      </c>
      <c r="AB11" s="8">
        <v>16.878188722269947</v>
      </c>
      <c r="AC11" s="8">
        <v>15.988535987365879</v>
      </c>
      <c r="AD11" s="8">
        <v>15.098883252461809</v>
      </c>
      <c r="AE11" s="8">
        <v>14.20923051755774</v>
      </c>
      <c r="AF11" s="8">
        <v>13.319577782653671</v>
      </c>
      <c r="AG11" s="8">
        <v>12.429925047749602</v>
      </c>
      <c r="AH11" s="8">
        <v>11.973145353803654</v>
      </c>
      <c r="AI11" s="8">
        <v>11.516365659857705</v>
      </c>
      <c r="AJ11" s="8">
        <v>11.059585965911754</v>
      </c>
      <c r="AK11" s="8">
        <v>10.602806271965806</v>
      </c>
      <c r="AL11" s="8">
        <v>10.146026578019857</v>
      </c>
      <c r="AM11" s="8">
        <v>9.8164139362557243</v>
      </c>
      <c r="AN11" s="8">
        <v>9.4868012944915918</v>
      </c>
      <c r="AO11" s="8">
        <v>9.1571886527274575</v>
      </c>
      <c r="AP11" s="8">
        <v>8.827576010963325</v>
      </c>
      <c r="AQ11" s="8">
        <v>8.4979633691991925</v>
      </c>
      <c r="AR11" s="8">
        <v>8.1448022226576882</v>
      </c>
      <c r="AS11" s="8">
        <v>7.791641076116183</v>
      </c>
      <c r="AT11" s="8">
        <v>7.4384799295746777</v>
      </c>
      <c r="AU11" s="8">
        <v>7.0853187830331734</v>
      </c>
      <c r="AV11" s="8">
        <v>6.7321576364916682</v>
      </c>
      <c r="AW11" s="8">
        <v>6.5335792799369043</v>
      </c>
      <c r="AX11" s="8">
        <v>6.3350009233821396</v>
      </c>
      <c r="AY11" s="8">
        <v>6.1364225668273757</v>
      </c>
      <c r="AZ11" s="8">
        <v>5.937844210272611</v>
      </c>
      <c r="BA11" s="8">
        <v>5.7392658537178471</v>
      </c>
      <c r="BB11" s="102" t="s">
        <v>3</v>
      </c>
      <c r="BC11" s="8"/>
      <c r="BD11" s="56">
        <f t="shared" si="0"/>
        <v>0.70835927656583708</v>
      </c>
      <c r="BE11" s="8"/>
      <c r="BF11" s="8"/>
      <c r="BG11" s="8"/>
      <c r="BH11" s="8"/>
      <c r="BI11" s="8"/>
      <c r="BJ11" s="8"/>
      <c r="BK11" s="8"/>
      <c r="BL11" s="8"/>
      <c r="BM11" s="8"/>
      <c r="BN11" s="8"/>
      <c r="BO11" s="8"/>
      <c r="BP11" s="8"/>
      <c r="BQ11" s="8"/>
      <c r="BR11" s="8"/>
      <c r="BS11" s="8"/>
      <c r="BT11" s="8"/>
      <c r="BU11" s="8"/>
      <c r="BV11" s="8"/>
      <c r="BW11" s="8"/>
      <c r="BX11" s="8"/>
      <c r="BY11" s="8"/>
      <c r="BZ11" s="8"/>
      <c r="CA11" s="8"/>
      <c r="CB11" s="8"/>
    </row>
    <row r="12" spans="1:80" x14ac:dyDescent="0.2">
      <c r="A12" s="7"/>
      <c r="B12" s="101" t="s">
        <v>171</v>
      </c>
      <c r="C12" s="8">
        <v>63.536138994740995</v>
      </c>
      <c r="D12" s="8">
        <v>64.14668157558674</v>
      </c>
      <c r="E12" s="8">
        <v>64.757224156432486</v>
      </c>
      <c r="F12" s="8">
        <v>65.367766737278217</v>
      </c>
      <c r="G12" s="8">
        <v>65.978309318123962</v>
      </c>
      <c r="H12" s="8">
        <v>66.588851898969708</v>
      </c>
      <c r="I12" s="8">
        <v>66.059433074110785</v>
      </c>
      <c r="J12" s="8">
        <v>65.530014249251863</v>
      </c>
      <c r="K12" s="8">
        <v>65.000595424392941</v>
      </c>
      <c r="L12" s="8">
        <v>64.471176599534019</v>
      </c>
      <c r="M12" s="8">
        <v>63.941757774675089</v>
      </c>
      <c r="N12" s="8">
        <v>63.605187385152476</v>
      </c>
      <c r="O12" s="8">
        <v>63.268616995629863</v>
      </c>
      <c r="P12" s="8">
        <v>62.932046606107249</v>
      </c>
      <c r="Q12" s="8">
        <v>62.595476216584636</v>
      </c>
      <c r="R12" s="8">
        <v>62.258905827062023</v>
      </c>
      <c r="S12" s="8">
        <v>61.404872157019454</v>
      </c>
      <c r="T12" s="8">
        <v>60.550838486976886</v>
      </c>
      <c r="U12" s="8">
        <v>59.696804816934318</v>
      </c>
      <c r="V12" s="8">
        <v>58.842771146891749</v>
      </c>
      <c r="W12" s="8">
        <v>57.988737476849181</v>
      </c>
      <c r="X12" s="8">
        <v>57.06759260205871</v>
      </c>
      <c r="Y12" s="8">
        <v>56.146447727268232</v>
      </c>
      <c r="Z12" s="8">
        <v>55.22530285247776</v>
      </c>
      <c r="AA12" s="8">
        <v>54.304157977687282</v>
      </c>
      <c r="AB12" s="8">
        <v>53.383013102896811</v>
      </c>
      <c r="AC12" s="8">
        <v>50.388731973458334</v>
      </c>
      <c r="AD12" s="8">
        <v>47.394450844019858</v>
      </c>
      <c r="AE12" s="8">
        <v>44.400169714581381</v>
      </c>
      <c r="AF12" s="8">
        <v>41.405888585142904</v>
      </c>
      <c r="AG12" s="8">
        <v>38.411607455704427</v>
      </c>
      <c r="AH12" s="8">
        <v>36.419371459058652</v>
      </c>
      <c r="AI12" s="8">
        <v>34.427135462412878</v>
      </c>
      <c r="AJ12" s="8">
        <v>32.434899465767103</v>
      </c>
      <c r="AK12" s="8">
        <v>30.442663469121335</v>
      </c>
      <c r="AL12" s="8">
        <v>28.45042747247556</v>
      </c>
      <c r="AM12" s="8">
        <v>26.704969245057594</v>
      </c>
      <c r="AN12" s="8">
        <v>24.959511017639631</v>
      </c>
      <c r="AO12" s="8">
        <v>23.214052790221665</v>
      </c>
      <c r="AP12" s="8">
        <v>21.468594562803702</v>
      </c>
      <c r="AQ12" s="8">
        <v>19.723136335385735</v>
      </c>
      <c r="AR12" s="8">
        <v>18.376322623416868</v>
      </c>
      <c r="AS12" s="8">
        <v>17.029508911448005</v>
      </c>
      <c r="AT12" s="8">
        <v>15.682695199479138</v>
      </c>
      <c r="AU12" s="8">
        <v>14.335881487510273</v>
      </c>
      <c r="AV12" s="8">
        <v>12.989067775541407</v>
      </c>
      <c r="AW12" s="8">
        <v>11.401822196022003</v>
      </c>
      <c r="AX12" s="8">
        <v>9.8145766165025972</v>
      </c>
      <c r="AY12" s="8">
        <v>8.2273310369831911</v>
      </c>
      <c r="AZ12" s="8">
        <v>6.6400854574637869</v>
      </c>
      <c r="BA12" s="8">
        <v>5.0528398779443817</v>
      </c>
      <c r="BB12" s="102" t="s">
        <v>3</v>
      </c>
      <c r="BC12" s="8"/>
      <c r="BD12" s="56">
        <f t="shared" si="0"/>
        <v>0.92047297871904654</v>
      </c>
      <c r="BE12" s="8"/>
      <c r="BF12" s="8"/>
      <c r="BG12" s="8"/>
      <c r="BH12" s="8"/>
      <c r="BI12" s="8"/>
      <c r="BJ12" s="8"/>
      <c r="BK12" s="8"/>
      <c r="BL12" s="8"/>
      <c r="BM12" s="8"/>
      <c r="BN12" s="8"/>
      <c r="BO12" s="8"/>
      <c r="BP12" s="8"/>
      <c r="BQ12" s="8"/>
      <c r="BR12" s="8"/>
      <c r="BS12" s="8"/>
      <c r="BT12" s="8"/>
      <c r="BU12" s="8"/>
      <c r="BV12" s="8"/>
      <c r="BW12" s="8"/>
      <c r="BX12" s="8"/>
      <c r="BY12" s="8"/>
      <c r="BZ12" s="8"/>
      <c r="CA12" s="8"/>
      <c r="CB12" s="8"/>
    </row>
    <row r="13" spans="1:80" x14ac:dyDescent="0.2">
      <c r="A13" s="7"/>
      <c r="B13" s="101" t="s">
        <v>107</v>
      </c>
      <c r="C13" s="8">
        <v>892.29555922784198</v>
      </c>
      <c r="D13" s="8">
        <v>910.75536873509122</v>
      </c>
      <c r="E13" s="8">
        <v>929.21517824234036</v>
      </c>
      <c r="F13" s="8">
        <v>947.6749877495896</v>
      </c>
      <c r="G13" s="8">
        <v>966.13479725683874</v>
      </c>
      <c r="H13" s="8">
        <v>984.59460676408798</v>
      </c>
      <c r="I13" s="8">
        <v>986.50232725349019</v>
      </c>
      <c r="J13" s="8">
        <v>988.41004774289229</v>
      </c>
      <c r="K13" s="8">
        <v>990.3177682322945</v>
      </c>
      <c r="L13" s="8">
        <v>992.22548872169659</v>
      </c>
      <c r="M13" s="8">
        <v>994.1332092110988</v>
      </c>
      <c r="N13" s="8">
        <v>994.6524894199631</v>
      </c>
      <c r="O13" s="8">
        <v>995.17176962882741</v>
      </c>
      <c r="P13" s="8">
        <v>995.69104983769171</v>
      </c>
      <c r="Q13" s="8">
        <v>996.21033004655601</v>
      </c>
      <c r="R13" s="8">
        <v>996.72961025542031</v>
      </c>
      <c r="S13" s="8">
        <v>990.13177335877765</v>
      </c>
      <c r="T13" s="8">
        <v>983.5339364621351</v>
      </c>
      <c r="U13" s="8">
        <v>976.93609956549244</v>
      </c>
      <c r="V13" s="8">
        <v>970.33826266884989</v>
      </c>
      <c r="W13" s="8">
        <v>963.74042577220723</v>
      </c>
      <c r="X13" s="8">
        <v>951.36328299321224</v>
      </c>
      <c r="Y13" s="8">
        <v>938.98614021421724</v>
      </c>
      <c r="Z13" s="8">
        <v>926.60899743522214</v>
      </c>
      <c r="AA13" s="8">
        <v>914.23185465622714</v>
      </c>
      <c r="AB13" s="8">
        <v>901.85471187723215</v>
      </c>
      <c r="AC13" s="8">
        <v>887.27565733918061</v>
      </c>
      <c r="AD13" s="8">
        <v>872.69660280112907</v>
      </c>
      <c r="AE13" s="8">
        <v>858.11754826307765</v>
      </c>
      <c r="AF13" s="8">
        <v>843.53849372502611</v>
      </c>
      <c r="AG13" s="8">
        <v>828.95943918697458</v>
      </c>
      <c r="AH13" s="8">
        <v>811.71603894330713</v>
      </c>
      <c r="AI13" s="8">
        <v>794.47263869963967</v>
      </c>
      <c r="AJ13" s="8">
        <v>777.22923845597234</v>
      </c>
      <c r="AK13" s="8">
        <v>759.98583821230488</v>
      </c>
      <c r="AL13" s="8">
        <v>742.74243796863743</v>
      </c>
      <c r="AM13" s="8">
        <v>730.66210390948015</v>
      </c>
      <c r="AN13" s="8">
        <v>718.58176985032276</v>
      </c>
      <c r="AO13" s="8">
        <v>706.50143579116548</v>
      </c>
      <c r="AP13" s="8">
        <v>694.42110173200808</v>
      </c>
      <c r="AQ13" s="8">
        <v>682.3407676728508</v>
      </c>
      <c r="AR13" s="8">
        <v>674.53362011264949</v>
      </c>
      <c r="AS13" s="8">
        <v>666.72647255244817</v>
      </c>
      <c r="AT13" s="8">
        <v>658.91932499224686</v>
      </c>
      <c r="AU13" s="8">
        <v>651.11217743204554</v>
      </c>
      <c r="AV13" s="8">
        <v>643.30502987184423</v>
      </c>
      <c r="AW13" s="8">
        <v>641.04867841893565</v>
      </c>
      <c r="AX13" s="8">
        <v>638.79232696602708</v>
      </c>
      <c r="AY13" s="8">
        <v>636.5359755131185</v>
      </c>
      <c r="AZ13" s="8">
        <v>634.27962406020993</v>
      </c>
      <c r="BA13" s="8">
        <v>632.02327260730135</v>
      </c>
      <c r="BB13" s="102" t="s">
        <v>3</v>
      </c>
      <c r="BC13" s="8"/>
      <c r="BD13" s="56">
        <f t="shared" si="0"/>
        <v>0.29168842535288442</v>
      </c>
      <c r="BE13" s="8"/>
      <c r="BF13" s="8"/>
      <c r="BG13" s="8"/>
      <c r="BH13" s="8"/>
      <c r="BI13" s="8"/>
      <c r="BJ13" s="8"/>
      <c r="BK13" s="8"/>
      <c r="BL13" s="8"/>
      <c r="BM13" s="8"/>
      <c r="BN13" s="8"/>
      <c r="BO13" s="8"/>
      <c r="BP13" s="8"/>
      <c r="BQ13" s="8"/>
      <c r="BR13" s="8"/>
      <c r="BS13" s="8"/>
      <c r="BT13" s="8"/>
      <c r="BU13" s="8"/>
      <c r="BV13" s="8"/>
      <c r="BW13" s="8"/>
      <c r="BX13" s="8"/>
      <c r="BY13" s="8"/>
      <c r="BZ13" s="8"/>
      <c r="CA13" s="8"/>
      <c r="CB13" s="8"/>
    </row>
    <row r="14" spans="1:80" x14ac:dyDescent="0.2">
      <c r="A14" s="7"/>
      <c r="B14" s="101" t="s">
        <v>8</v>
      </c>
      <c r="C14" s="8">
        <v>3448.2944786092767</v>
      </c>
      <c r="D14" s="8">
        <v>3548.6760244818797</v>
      </c>
      <c r="E14" s="8">
        <v>3649.0575703544828</v>
      </c>
      <c r="F14" s="8">
        <v>3749.4391162270858</v>
      </c>
      <c r="G14" s="8">
        <v>3849.8206620996889</v>
      </c>
      <c r="H14" s="8">
        <v>3950.2022079722919</v>
      </c>
      <c r="I14" s="8">
        <v>4000.4372336900997</v>
      </c>
      <c r="J14" s="8">
        <v>4050.6722594079074</v>
      </c>
      <c r="K14" s="8">
        <v>4100.9072851257151</v>
      </c>
      <c r="L14" s="8">
        <v>4151.1423108435229</v>
      </c>
      <c r="M14" s="8">
        <v>4201.3773365613306</v>
      </c>
      <c r="N14" s="8">
        <v>4235.335093125499</v>
      </c>
      <c r="O14" s="8">
        <v>4269.2928496896666</v>
      </c>
      <c r="P14" s="8">
        <v>4303.250606253835</v>
      </c>
      <c r="Q14" s="8">
        <v>4337.2083628180026</v>
      </c>
      <c r="R14" s="8">
        <v>4371.166119382171</v>
      </c>
      <c r="S14" s="8">
        <v>4388.5392811538895</v>
      </c>
      <c r="T14" s="8">
        <v>4405.912442925608</v>
      </c>
      <c r="U14" s="8">
        <v>4423.2856046973266</v>
      </c>
      <c r="V14" s="8">
        <v>4440.6587664690451</v>
      </c>
      <c r="W14" s="8">
        <v>4458.0319282407636</v>
      </c>
      <c r="X14" s="8">
        <v>4435.0225525727719</v>
      </c>
      <c r="Y14" s="8">
        <v>4412.0131769047803</v>
      </c>
      <c r="Z14" s="8">
        <v>4389.0038012367886</v>
      </c>
      <c r="AA14" s="8">
        <v>4365.9944255687969</v>
      </c>
      <c r="AB14" s="8">
        <v>4342.9850499008053</v>
      </c>
      <c r="AC14" s="8">
        <v>4279.3244867930962</v>
      </c>
      <c r="AD14" s="8">
        <v>4215.6639236853871</v>
      </c>
      <c r="AE14" s="8">
        <v>4152.0033605776789</v>
      </c>
      <c r="AF14" s="8">
        <v>4088.3427974699698</v>
      </c>
      <c r="AG14" s="8">
        <v>4024.6822343622607</v>
      </c>
      <c r="AH14" s="8">
        <v>3959.3906547651327</v>
      </c>
      <c r="AI14" s="8">
        <v>3894.0990751680047</v>
      </c>
      <c r="AJ14" s="8">
        <v>3828.8074955708767</v>
      </c>
      <c r="AK14" s="8">
        <v>3763.5159159737486</v>
      </c>
      <c r="AL14" s="8">
        <v>3698.2243363766206</v>
      </c>
      <c r="AM14" s="8">
        <v>3640.3087760268286</v>
      </c>
      <c r="AN14" s="8">
        <v>3582.3932156770366</v>
      </c>
      <c r="AO14" s="8">
        <v>3524.4776553272445</v>
      </c>
      <c r="AP14" s="8">
        <v>3466.5620949774525</v>
      </c>
      <c r="AQ14" s="8">
        <v>3408.6465346276605</v>
      </c>
      <c r="AR14" s="8">
        <v>3328.178857674</v>
      </c>
      <c r="AS14" s="8">
        <v>3247.7111807203401</v>
      </c>
      <c r="AT14" s="8">
        <v>3167.2435037666796</v>
      </c>
      <c r="AU14" s="8">
        <v>3086.7758268130196</v>
      </c>
      <c r="AV14" s="8">
        <v>3006.3081498593592</v>
      </c>
      <c r="AW14" s="8">
        <v>2940.6320444370972</v>
      </c>
      <c r="AX14" s="8">
        <v>2874.9559390148352</v>
      </c>
      <c r="AY14" s="8">
        <v>2809.2798335925736</v>
      </c>
      <c r="AZ14" s="8">
        <v>2743.6037281703116</v>
      </c>
      <c r="BA14" s="8">
        <v>2677.9276227480495</v>
      </c>
      <c r="BB14" s="102" t="s">
        <v>3</v>
      </c>
      <c r="BC14" s="8"/>
      <c r="BD14" s="56">
        <f t="shared" si="0"/>
        <v>0.22340518208059823</v>
      </c>
      <c r="BE14" s="8"/>
      <c r="BF14" s="8"/>
      <c r="BG14" s="8"/>
      <c r="BH14" s="8"/>
      <c r="BI14" s="8"/>
      <c r="BJ14" s="8"/>
      <c r="BK14" s="8"/>
      <c r="BL14" s="8"/>
      <c r="BM14" s="8"/>
      <c r="BN14" s="8"/>
      <c r="BO14" s="8"/>
      <c r="BP14" s="8"/>
      <c r="BQ14" s="8"/>
      <c r="BR14" s="8"/>
      <c r="BS14" s="8"/>
      <c r="BT14" s="8"/>
      <c r="BU14" s="8"/>
      <c r="BV14" s="8"/>
      <c r="BW14" s="8"/>
      <c r="BX14" s="8"/>
      <c r="BY14" s="8"/>
      <c r="BZ14" s="8"/>
      <c r="CA14" s="8"/>
      <c r="CB14" s="8"/>
    </row>
    <row r="15" spans="1:80" x14ac:dyDescent="0.2">
      <c r="A15" s="7"/>
      <c r="B15" s="101" t="s">
        <v>181</v>
      </c>
      <c r="C15" s="8">
        <v>1.1674112120437488</v>
      </c>
      <c r="D15" s="8">
        <v>1.2545842986933355</v>
      </c>
      <c r="E15" s="8">
        <v>1.3417573853429221</v>
      </c>
      <c r="F15" s="8">
        <v>1.4289304719925089</v>
      </c>
      <c r="G15" s="8">
        <v>1.5161035586420955</v>
      </c>
      <c r="H15" s="8">
        <v>1.6032766452916822</v>
      </c>
      <c r="I15" s="8">
        <v>1.5606753793362642</v>
      </c>
      <c r="J15" s="8">
        <v>1.5180741133808462</v>
      </c>
      <c r="K15" s="8">
        <v>1.4754728474254279</v>
      </c>
      <c r="L15" s="8">
        <v>1.4328715814700099</v>
      </c>
      <c r="M15" s="8">
        <v>1.3902703155145919</v>
      </c>
      <c r="N15" s="8">
        <v>1.3543372594725498</v>
      </c>
      <c r="O15" s="8">
        <v>1.3184042034305075</v>
      </c>
      <c r="P15" s="8">
        <v>1.2824711473884653</v>
      </c>
      <c r="Q15" s="8">
        <v>1.246538091346423</v>
      </c>
      <c r="R15" s="8">
        <v>1.2106050353043809</v>
      </c>
      <c r="S15" s="8">
        <v>1.166201930853541</v>
      </c>
      <c r="T15" s="8">
        <v>1.1217988264027012</v>
      </c>
      <c r="U15" s="8">
        <v>1.0773957219518613</v>
      </c>
      <c r="V15" s="8">
        <v>1.0329926175010213</v>
      </c>
      <c r="W15" s="8">
        <v>0.9885895130501815</v>
      </c>
      <c r="X15" s="8">
        <v>0.95196582953003805</v>
      </c>
      <c r="Y15" s="8">
        <v>0.91534214600989461</v>
      </c>
      <c r="Z15" s="8">
        <v>0.87871846248975105</v>
      </c>
      <c r="AA15" s="8">
        <v>0.8420947789696076</v>
      </c>
      <c r="AB15" s="8">
        <v>0.80547109544946416</v>
      </c>
      <c r="AC15" s="8">
        <v>0.74634840782262257</v>
      </c>
      <c r="AD15" s="8">
        <v>0.68722572019578099</v>
      </c>
      <c r="AE15" s="8">
        <v>0.6281030325689394</v>
      </c>
      <c r="AF15" s="8">
        <v>0.56898034494209782</v>
      </c>
      <c r="AG15" s="8">
        <v>0.50985765731525623</v>
      </c>
      <c r="AH15" s="8">
        <v>0.46159904715859923</v>
      </c>
      <c r="AI15" s="8">
        <v>0.41334043700194223</v>
      </c>
      <c r="AJ15" s="8">
        <v>0.36508182684528523</v>
      </c>
      <c r="AK15" s="8">
        <v>0.31682321668862823</v>
      </c>
      <c r="AL15" s="8">
        <v>0.26856460653197123</v>
      </c>
      <c r="AM15" s="8">
        <v>0.21960174987008488</v>
      </c>
      <c r="AN15" s="8">
        <v>0.17063889320819853</v>
      </c>
      <c r="AO15" s="8">
        <v>0.12167603654631221</v>
      </c>
      <c r="AP15" s="8">
        <v>7.2713179884425855E-2</v>
      </c>
      <c r="AQ15" s="8">
        <v>2.3750323222539491E-2</v>
      </c>
      <c r="AR15" s="8">
        <v>1.9110495210302177E-2</v>
      </c>
      <c r="AS15" s="8">
        <v>1.4470667198064866E-2</v>
      </c>
      <c r="AT15" s="8">
        <v>9.8308391858275539E-3</v>
      </c>
      <c r="AU15" s="8">
        <v>5.1910111735902417E-3</v>
      </c>
      <c r="AV15" s="8">
        <v>5.5118316135292734E-4</v>
      </c>
      <c r="AW15" s="8">
        <v>5.3666161675007681E-4</v>
      </c>
      <c r="AX15" s="8">
        <v>5.2214007214722627E-4</v>
      </c>
      <c r="AY15" s="8">
        <v>5.0761852754437574E-4</v>
      </c>
      <c r="AZ15" s="8">
        <v>4.9309698294152521E-4</v>
      </c>
      <c r="BA15" s="8">
        <v>4.7857543833867467E-4</v>
      </c>
      <c r="BB15" s="102" t="s">
        <v>3</v>
      </c>
      <c r="BC15" s="8"/>
      <c r="BD15" s="56">
        <f t="shared" si="0"/>
        <v>0.99959005410141566</v>
      </c>
      <c r="BE15" s="8"/>
      <c r="BF15" s="8"/>
      <c r="BG15" s="8"/>
      <c r="BH15" s="8"/>
      <c r="BI15" s="8"/>
      <c r="BJ15" s="8"/>
      <c r="BK15" s="8"/>
      <c r="BL15" s="8"/>
      <c r="BM15" s="8"/>
      <c r="BN15" s="8"/>
      <c r="BO15" s="8"/>
      <c r="BP15" s="8"/>
      <c r="BQ15" s="8"/>
      <c r="BR15" s="8"/>
      <c r="BS15" s="8"/>
      <c r="BT15" s="8"/>
      <c r="BU15" s="8"/>
      <c r="BV15" s="8"/>
      <c r="BW15" s="8"/>
      <c r="BX15" s="8"/>
      <c r="BY15" s="8"/>
      <c r="BZ15" s="8"/>
      <c r="CA15" s="8"/>
      <c r="CB15" s="8"/>
    </row>
    <row r="16" spans="1:80" x14ac:dyDescent="0.2">
      <c r="B16" s="101" t="s">
        <v>172</v>
      </c>
      <c r="C16" s="8">
        <v>592.91338891081159</v>
      </c>
      <c r="D16" s="8">
        <v>598.88853739100455</v>
      </c>
      <c r="E16" s="8">
        <v>604.8636858711975</v>
      </c>
      <c r="F16" s="8">
        <v>610.83883435139035</v>
      </c>
      <c r="G16" s="8">
        <v>616.8139828315833</v>
      </c>
      <c r="H16" s="8">
        <v>622.78913131177626</v>
      </c>
      <c r="I16" s="8">
        <v>614.35071661783888</v>
      </c>
      <c r="J16" s="8">
        <v>605.91230192390151</v>
      </c>
      <c r="K16" s="8">
        <v>597.47388722996402</v>
      </c>
      <c r="L16" s="8">
        <v>589.03547253602665</v>
      </c>
      <c r="M16" s="8">
        <v>580.59705784208927</v>
      </c>
      <c r="N16" s="8">
        <v>578.59854093414287</v>
      </c>
      <c r="O16" s="8">
        <v>576.60002402619648</v>
      </c>
      <c r="P16" s="8">
        <v>574.60150711825008</v>
      </c>
      <c r="Q16" s="8">
        <v>572.60299021030369</v>
      </c>
      <c r="R16" s="8">
        <v>570.60447330235729</v>
      </c>
      <c r="S16" s="8">
        <v>570.32518111143384</v>
      </c>
      <c r="T16" s="8">
        <v>570.04588892051049</v>
      </c>
      <c r="U16" s="8">
        <v>569.76659672958704</v>
      </c>
      <c r="V16" s="8">
        <v>569.48730453866369</v>
      </c>
      <c r="W16" s="8">
        <v>569.20801234774024</v>
      </c>
      <c r="X16" s="8">
        <v>563.31358996812617</v>
      </c>
      <c r="Y16" s="8">
        <v>557.41916758851198</v>
      </c>
      <c r="Z16" s="8">
        <v>551.52474520889791</v>
      </c>
      <c r="AA16" s="8">
        <v>545.63032282928373</v>
      </c>
      <c r="AB16" s="8">
        <v>539.73590044966966</v>
      </c>
      <c r="AC16" s="8">
        <v>530.8917088295334</v>
      </c>
      <c r="AD16" s="8">
        <v>522.04751720939714</v>
      </c>
      <c r="AE16" s="8">
        <v>513.20332558926088</v>
      </c>
      <c r="AF16" s="8">
        <v>504.35913396912468</v>
      </c>
      <c r="AG16" s="8">
        <v>495.51494234898843</v>
      </c>
      <c r="AH16" s="8">
        <v>486.43746152708798</v>
      </c>
      <c r="AI16" s="8">
        <v>477.35998070518752</v>
      </c>
      <c r="AJ16" s="8">
        <v>468.28249988328707</v>
      </c>
      <c r="AK16" s="8">
        <v>459.20501906138662</v>
      </c>
      <c r="AL16" s="8">
        <v>450.12753823948617</v>
      </c>
      <c r="AM16" s="8">
        <v>441.74986375479546</v>
      </c>
      <c r="AN16" s="8">
        <v>433.37218927010474</v>
      </c>
      <c r="AO16" s="8">
        <v>424.99451478541408</v>
      </c>
      <c r="AP16" s="8">
        <v>416.61684030072337</v>
      </c>
      <c r="AQ16" s="8">
        <v>408.23916581603265</v>
      </c>
      <c r="AR16" s="8">
        <v>397.46185137027715</v>
      </c>
      <c r="AS16" s="8">
        <v>386.68453692452164</v>
      </c>
      <c r="AT16" s="8">
        <v>375.90722247876613</v>
      </c>
      <c r="AU16" s="8">
        <v>365.12990803301068</v>
      </c>
      <c r="AV16" s="8">
        <v>354.35259358725517</v>
      </c>
      <c r="AW16" s="8">
        <v>346.51294628826025</v>
      </c>
      <c r="AX16" s="8">
        <v>338.67329898926533</v>
      </c>
      <c r="AY16" s="8">
        <v>330.83365169027036</v>
      </c>
      <c r="AZ16" s="8">
        <v>322.99400439127544</v>
      </c>
      <c r="BA16" s="8">
        <v>315.15435709228052</v>
      </c>
      <c r="BB16" s="102" t="s">
        <v>3</v>
      </c>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row>
    <row r="17" spans="1:80" x14ac:dyDescent="0.2">
      <c r="B17" s="101" t="s">
        <v>180</v>
      </c>
      <c r="C17" s="8">
        <v>687.90351643618999</v>
      </c>
      <c r="D17" s="8">
        <v>725.97626722608504</v>
      </c>
      <c r="E17" s="8">
        <v>764.0490180159801</v>
      </c>
      <c r="F17" s="8">
        <v>802.12176880587515</v>
      </c>
      <c r="G17" s="8">
        <v>840.1945195957702</v>
      </c>
      <c r="H17" s="8">
        <v>878.26727038566526</v>
      </c>
      <c r="I17" s="8">
        <v>870.58675415504297</v>
      </c>
      <c r="J17" s="8">
        <v>862.90623792442068</v>
      </c>
      <c r="K17" s="8">
        <v>855.22572169379828</v>
      </c>
      <c r="L17" s="8">
        <v>847.54520546317599</v>
      </c>
      <c r="M17" s="8">
        <v>839.8646892325537</v>
      </c>
      <c r="N17" s="8">
        <v>839.96606422850812</v>
      </c>
      <c r="O17" s="8">
        <v>840.06743922446253</v>
      </c>
      <c r="P17" s="8">
        <v>840.16881422041706</v>
      </c>
      <c r="Q17" s="8">
        <v>840.27018921637148</v>
      </c>
      <c r="R17" s="8">
        <v>840.37156421232589</v>
      </c>
      <c r="S17" s="8">
        <v>850.78965069029312</v>
      </c>
      <c r="T17" s="8">
        <v>861.20773716826034</v>
      </c>
      <c r="U17" s="8">
        <v>871.62582364622767</v>
      </c>
      <c r="V17" s="8">
        <v>882.04391012419489</v>
      </c>
      <c r="W17" s="8">
        <v>892.46199660216212</v>
      </c>
      <c r="X17" s="8">
        <v>889.97696808782246</v>
      </c>
      <c r="Y17" s="8">
        <v>887.4919395734828</v>
      </c>
      <c r="Z17" s="8">
        <v>885.00691105914302</v>
      </c>
      <c r="AA17" s="8">
        <v>882.52188254480336</v>
      </c>
      <c r="AB17" s="8">
        <v>880.0368540304637</v>
      </c>
      <c r="AC17" s="8">
        <v>862.11810565223902</v>
      </c>
      <c r="AD17" s="8">
        <v>844.19935727401435</v>
      </c>
      <c r="AE17" s="8">
        <v>826.28060889578967</v>
      </c>
      <c r="AF17" s="8">
        <v>808.36186051756499</v>
      </c>
      <c r="AG17" s="8">
        <v>790.44311213934031</v>
      </c>
      <c r="AH17" s="8">
        <v>771.23220250174984</v>
      </c>
      <c r="AI17" s="8">
        <v>752.02129286415948</v>
      </c>
      <c r="AJ17" s="8">
        <v>732.810383226569</v>
      </c>
      <c r="AK17" s="8">
        <v>713.59947358897864</v>
      </c>
      <c r="AL17" s="8">
        <v>694.38856395138816</v>
      </c>
      <c r="AM17" s="8">
        <v>680.22638552107094</v>
      </c>
      <c r="AN17" s="8">
        <v>666.06420709075371</v>
      </c>
      <c r="AO17" s="8">
        <v>651.9020286604366</v>
      </c>
      <c r="AP17" s="8">
        <v>637.73985023011937</v>
      </c>
      <c r="AQ17" s="8">
        <v>623.57767179980215</v>
      </c>
      <c r="AR17" s="8">
        <v>605.7893758183593</v>
      </c>
      <c r="AS17" s="8">
        <v>588.00107983691635</v>
      </c>
      <c r="AT17" s="8">
        <v>570.2127838554735</v>
      </c>
      <c r="AU17" s="8">
        <v>552.42448787403055</v>
      </c>
      <c r="AV17" s="8">
        <v>534.6361918925877</v>
      </c>
      <c r="AW17" s="8">
        <v>520.24473234405559</v>
      </c>
      <c r="AX17" s="8">
        <v>505.85327279552354</v>
      </c>
      <c r="AY17" s="8">
        <v>491.46181324699143</v>
      </c>
      <c r="AZ17" s="8">
        <v>477.07035369845937</v>
      </c>
      <c r="BA17" s="8">
        <v>462.67889414992726</v>
      </c>
      <c r="BB17" s="102" t="s">
        <v>3</v>
      </c>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row>
    <row r="18" spans="1:80" x14ac:dyDescent="0.2">
      <c r="A18" s="1"/>
      <c r="B18" s="101" t="s">
        <v>179</v>
      </c>
      <c r="C18" s="8">
        <v>1080.3947938245033</v>
      </c>
      <c r="D18" s="8">
        <v>1135.5705214193765</v>
      </c>
      <c r="E18" s="8">
        <v>1190.74624901425</v>
      </c>
      <c r="F18" s="8">
        <v>1245.9219766091232</v>
      </c>
      <c r="G18" s="8">
        <v>1301.0977042039967</v>
      </c>
      <c r="H18" s="8">
        <v>1356.27343179887</v>
      </c>
      <c r="I18" s="8">
        <v>1406.2926123365173</v>
      </c>
      <c r="J18" s="8">
        <v>1456.3117928741644</v>
      </c>
      <c r="K18" s="8">
        <v>1506.3309734118118</v>
      </c>
      <c r="L18" s="8">
        <v>1556.3501539494589</v>
      </c>
      <c r="M18" s="8">
        <v>1606.3693344871062</v>
      </c>
      <c r="N18" s="8">
        <v>1640.4273316787076</v>
      </c>
      <c r="O18" s="8">
        <v>1674.4853288703089</v>
      </c>
      <c r="P18" s="8">
        <v>1708.5433260619102</v>
      </c>
      <c r="Q18" s="8">
        <v>1742.6013232535115</v>
      </c>
      <c r="R18" s="8">
        <v>1776.6593204451128</v>
      </c>
      <c r="S18" s="8">
        <v>1790.5504536930398</v>
      </c>
      <c r="T18" s="8">
        <v>1804.4415869409668</v>
      </c>
      <c r="U18" s="8">
        <v>1818.332720188894</v>
      </c>
      <c r="V18" s="8">
        <v>1832.2238534368209</v>
      </c>
      <c r="W18" s="8">
        <v>1846.1149866847479</v>
      </c>
      <c r="X18" s="8">
        <v>1840.119710026117</v>
      </c>
      <c r="Y18" s="8">
        <v>1834.1244333674861</v>
      </c>
      <c r="Z18" s="8">
        <v>1828.1291567088551</v>
      </c>
      <c r="AA18" s="8">
        <v>1822.1338800502242</v>
      </c>
      <c r="AB18" s="8">
        <v>1816.1386033915933</v>
      </c>
      <c r="AC18" s="8">
        <v>1793.3985312068805</v>
      </c>
      <c r="AD18" s="8">
        <v>1770.658459022168</v>
      </c>
      <c r="AE18" s="8">
        <v>1747.9183868374553</v>
      </c>
      <c r="AF18" s="8">
        <v>1725.1783146527428</v>
      </c>
      <c r="AG18" s="8">
        <v>1702.43824246803</v>
      </c>
      <c r="AH18" s="8">
        <v>1675.0228261812495</v>
      </c>
      <c r="AI18" s="8">
        <v>1647.6074098944689</v>
      </c>
      <c r="AJ18" s="8">
        <v>1620.1919936076883</v>
      </c>
      <c r="AK18" s="8">
        <v>1592.7765773209078</v>
      </c>
      <c r="AL18" s="8">
        <v>1565.3611610341272</v>
      </c>
      <c r="AM18" s="8">
        <v>1534.0965263655703</v>
      </c>
      <c r="AN18" s="8">
        <v>1502.8318916970136</v>
      </c>
      <c r="AO18" s="8">
        <v>1471.5672570284567</v>
      </c>
      <c r="AP18" s="8">
        <v>1440.3026223598999</v>
      </c>
      <c r="AQ18" s="8">
        <v>1409.037987691343</v>
      </c>
      <c r="AR18" s="8">
        <v>1362.0679793415968</v>
      </c>
      <c r="AS18" s="8">
        <v>1315.0979709918506</v>
      </c>
      <c r="AT18" s="8">
        <v>1268.1279626421046</v>
      </c>
      <c r="AU18" s="8">
        <v>1221.1579542923585</v>
      </c>
      <c r="AV18" s="8">
        <v>1174.1879459426123</v>
      </c>
      <c r="AW18" s="8">
        <v>1128.5347548376096</v>
      </c>
      <c r="AX18" s="8">
        <v>1082.8815637326072</v>
      </c>
      <c r="AY18" s="8">
        <v>1037.2283726276046</v>
      </c>
      <c r="AZ18" s="8">
        <v>991.57518152260195</v>
      </c>
      <c r="BA18" s="8">
        <v>945.92199041759943</v>
      </c>
      <c r="BB18" s="102" t="s">
        <v>3</v>
      </c>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row>
    <row r="19" spans="1:80" x14ac:dyDescent="0.2">
      <c r="A19" s="3"/>
      <c r="B19" s="101" t="s">
        <v>137</v>
      </c>
      <c r="C19" s="8">
        <v>1768.2983102606934</v>
      </c>
      <c r="D19" s="8">
        <v>1861.5467667839644</v>
      </c>
      <c r="E19" s="8">
        <v>1954.7952233072353</v>
      </c>
      <c r="F19" s="8">
        <v>2048.0436798305063</v>
      </c>
      <c r="G19" s="8">
        <v>2141.2921363537771</v>
      </c>
      <c r="H19" s="8">
        <v>2234.5405928770483</v>
      </c>
      <c r="I19" s="8">
        <v>2277.0398968596364</v>
      </c>
      <c r="J19" s="8">
        <v>2319.5392008422241</v>
      </c>
      <c r="K19" s="8">
        <v>2362.0385048248122</v>
      </c>
      <c r="L19" s="8">
        <v>2404.5378088073999</v>
      </c>
      <c r="M19" s="8">
        <v>2447.037112789988</v>
      </c>
      <c r="N19" s="8">
        <v>2480.3678560753874</v>
      </c>
      <c r="O19" s="8">
        <v>2513.6985993607864</v>
      </c>
      <c r="P19" s="8">
        <v>2547.0293426461858</v>
      </c>
      <c r="Q19" s="8">
        <v>2580.3600859315848</v>
      </c>
      <c r="R19" s="8">
        <v>2613.6908292169842</v>
      </c>
      <c r="S19" s="8">
        <v>2637.5740468660488</v>
      </c>
      <c r="T19" s="8">
        <v>2661.4572645151134</v>
      </c>
      <c r="U19" s="8">
        <v>2685.3404821641784</v>
      </c>
      <c r="V19" s="8">
        <v>2709.223699813243</v>
      </c>
      <c r="W19" s="8">
        <v>2733.1069174623076</v>
      </c>
      <c r="X19" s="8">
        <v>2722.545021382412</v>
      </c>
      <c r="Y19" s="8">
        <v>2711.9831253025163</v>
      </c>
      <c r="Z19" s="8">
        <v>2701.4212292226212</v>
      </c>
      <c r="AA19" s="8">
        <v>2690.8593331427255</v>
      </c>
      <c r="AB19" s="8">
        <v>2680.2974370628299</v>
      </c>
      <c r="AC19" s="8">
        <v>2642.0294881844416</v>
      </c>
      <c r="AD19" s="8">
        <v>2603.7615393060532</v>
      </c>
      <c r="AE19" s="8">
        <v>2565.4935904276654</v>
      </c>
      <c r="AF19" s="8">
        <v>2527.225641549277</v>
      </c>
      <c r="AG19" s="8">
        <v>2488.9576926708887</v>
      </c>
      <c r="AH19" s="8">
        <v>2442.5986099786733</v>
      </c>
      <c r="AI19" s="8">
        <v>2396.2395272864583</v>
      </c>
      <c r="AJ19" s="8">
        <v>2349.8804445942428</v>
      </c>
      <c r="AK19" s="8">
        <v>2303.5213619020278</v>
      </c>
      <c r="AL19" s="8">
        <v>2257.1622792098124</v>
      </c>
      <c r="AM19" s="8">
        <v>2211.8673652378266</v>
      </c>
      <c r="AN19" s="8">
        <v>2166.5724512658412</v>
      </c>
      <c r="AO19" s="8">
        <v>2121.2775372938554</v>
      </c>
      <c r="AP19" s="8">
        <v>2075.9826233218701</v>
      </c>
      <c r="AQ19" s="8">
        <v>2030.6877093498842</v>
      </c>
      <c r="AR19" s="8">
        <v>1967.7319982629494</v>
      </c>
      <c r="AS19" s="8">
        <v>1904.7762871760144</v>
      </c>
      <c r="AT19" s="8">
        <v>1841.8205760890796</v>
      </c>
      <c r="AU19" s="8">
        <v>1778.8648650021446</v>
      </c>
      <c r="AV19" s="8">
        <v>1715.9091539152098</v>
      </c>
      <c r="AW19" s="8">
        <v>1657.3495250539941</v>
      </c>
      <c r="AX19" s="8">
        <v>1598.7898961927785</v>
      </c>
      <c r="AY19" s="8">
        <v>1540.2302673315628</v>
      </c>
      <c r="AZ19" s="8">
        <v>1481.6706384703473</v>
      </c>
      <c r="BA19" s="8">
        <v>1423.1110096091315</v>
      </c>
      <c r="BB19" s="102" t="s">
        <v>3</v>
      </c>
      <c r="BC19" s="8"/>
    </row>
    <row r="20" spans="1:80" x14ac:dyDescent="0.2">
      <c r="A20" s="7"/>
      <c r="B20" s="101" t="s">
        <v>173</v>
      </c>
      <c r="C20" s="8">
        <v>149.51127622810026</v>
      </c>
      <c r="D20" s="8">
        <v>150.11338293584348</v>
      </c>
      <c r="E20" s="8">
        <v>150.71548964358669</v>
      </c>
      <c r="F20" s="8">
        <v>151.31759635132994</v>
      </c>
      <c r="G20" s="8">
        <v>151.91970305907316</v>
      </c>
      <c r="H20" s="8">
        <v>152.52180976681638</v>
      </c>
      <c r="I20" s="8">
        <v>157.43422522540385</v>
      </c>
      <c r="J20" s="8">
        <v>162.34664068399135</v>
      </c>
      <c r="K20" s="8">
        <v>167.25905614257883</v>
      </c>
      <c r="L20" s="8">
        <v>172.17147160116633</v>
      </c>
      <c r="M20" s="8">
        <v>177.08388705975381</v>
      </c>
      <c r="N20" s="8">
        <v>175.59733749044753</v>
      </c>
      <c r="O20" s="8">
        <v>174.11078792114125</v>
      </c>
      <c r="P20" s="8">
        <v>172.62423835183495</v>
      </c>
      <c r="Q20" s="8">
        <v>171.13768878252867</v>
      </c>
      <c r="R20" s="8">
        <v>169.65113921322239</v>
      </c>
      <c r="S20" s="8">
        <v>165.5899808388794</v>
      </c>
      <c r="T20" s="8">
        <v>161.52882246453638</v>
      </c>
      <c r="U20" s="8">
        <v>157.46766409019338</v>
      </c>
      <c r="V20" s="8">
        <v>153.40650571585036</v>
      </c>
      <c r="W20" s="8">
        <v>149.34534734150736</v>
      </c>
      <c r="X20" s="8">
        <v>144.12842775533662</v>
      </c>
      <c r="Y20" s="8">
        <v>138.91150816916587</v>
      </c>
      <c r="Z20" s="8">
        <v>133.69458858299512</v>
      </c>
      <c r="AA20" s="8">
        <v>128.47766899682438</v>
      </c>
      <c r="AB20" s="8">
        <v>123.26074941065363</v>
      </c>
      <c r="AC20" s="8">
        <v>116.55038530029363</v>
      </c>
      <c r="AD20" s="8">
        <v>109.84002118993362</v>
      </c>
      <c r="AE20" s="8">
        <v>103.12965707957363</v>
      </c>
      <c r="AF20" s="8">
        <v>96.419292969213629</v>
      </c>
      <c r="AG20" s="8">
        <v>89.708928858853625</v>
      </c>
      <c r="AH20" s="8">
        <v>85.627704667115424</v>
      </c>
      <c r="AI20" s="8">
        <v>81.546480475377223</v>
      </c>
      <c r="AJ20" s="8">
        <v>77.465256283639036</v>
      </c>
      <c r="AK20" s="8">
        <v>73.384032091900835</v>
      </c>
      <c r="AL20" s="8">
        <v>69.302807900162634</v>
      </c>
      <c r="AM20" s="8">
        <v>66.186371280855738</v>
      </c>
      <c r="AN20" s="8">
        <v>63.069934661548849</v>
      </c>
      <c r="AO20" s="8">
        <v>59.953498042241961</v>
      </c>
      <c r="AP20" s="8">
        <v>56.837061422935065</v>
      </c>
      <c r="AQ20" s="8">
        <v>53.720624803628176</v>
      </c>
      <c r="AR20" s="8">
        <v>51.282614584464078</v>
      </c>
      <c r="AS20" s="8">
        <v>48.844604365299979</v>
      </c>
      <c r="AT20" s="8">
        <v>46.40659414613588</v>
      </c>
      <c r="AU20" s="8">
        <v>43.968583926971782</v>
      </c>
      <c r="AV20" s="8">
        <v>41.530573707807683</v>
      </c>
      <c r="AW20" s="8">
        <v>39.879808895076636</v>
      </c>
      <c r="AX20" s="8">
        <v>38.229044082345588</v>
      </c>
      <c r="AY20" s="8">
        <v>36.578279269614541</v>
      </c>
      <c r="AZ20" s="8">
        <v>34.927514456883493</v>
      </c>
      <c r="BA20" s="8">
        <v>33.276749644152446</v>
      </c>
      <c r="BB20" s="102" t="s">
        <v>3</v>
      </c>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row>
    <row r="21" spans="1:80" x14ac:dyDescent="0.2">
      <c r="A21" s="7"/>
      <c r="B21" s="101" t="s">
        <v>174</v>
      </c>
      <c r="C21" s="8">
        <v>936.40409199762757</v>
      </c>
      <c r="D21" s="8">
        <v>936.87275307237394</v>
      </c>
      <c r="E21" s="8">
        <v>937.3414141471203</v>
      </c>
      <c r="F21" s="8">
        <v>937.81007522186655</v>
      </c>
      <c r="G21" s="8">
        <v>938.27873629661292</v>
      </c>
      <c r="H21" s="8">
        <v>938.74739737135928</v>
      </c>
      <c r="I21" s="8">
        <v>950.05171960788448</v>
      </c>
      <c r="J21" s="8">
        <v>961.35604184440967</v>
      </c>
      <c r="K21" s="8">
        <v>972.66036408093476</v>
      </c>
      <c r="L21" s="8">
        <v>983.96468631745995</v>
      </c>
      <c r="M21" s="8">
        <v>995.26900855398515</v>
      </c>
      <c r="N21" s="8">
        <v>999.41702136604852</v>
      </c>
      <c r="O21" s="8">
        <v>1003.5650341781119</v>
      </c>
      <c r="P21" s="8">
        <v>1007.7130469901754</v>
      </c>
      <c r="Q21" s="8">
        <v>1011.8610598022387</v>
      </c>
      <c r="R21" s="8">
        <v>1016.0090726143021</v>
      </c>
      <c r="S21" s="8">
        <v>1013.8838704066734</v>
      </c>
      <c r="T21" s="8">
        <v>1011.7586681990446</v>
      </c>
      <c r="U21" s="8">
        <v>1009.6334659914158</v>
      </c>
      <c r="V21" s="8">
        <v>1007.508263783787</v>
      </c>
      <c r="W21" s="8">
        <v>1005.3830615761583</v>
      </c>
      <c r="X21" s="8">
        <v>1004.0835476373671</v>
      </c>
      <c r="Y21" s="8">
        <v>1002.7840336985761</v>
      </c>
      <c r="Z21" s="8">
        <v>1001.4845197597849</v>
      </c>
      <c r="AA21" s="8">
        <v>1000.1850058209939</v>
      </c>
      <c r="AB21" s="8">
        <v>998.8854918822027</v>
      </c>
      <c r="AC21" s="8">
        <v>989.10655607100512</v>
      </c>
      <c r="AD21" s="8">
        <v>979.32762025980753</v>
      </c>
      <c r="AE21" s="8">
        <v>969.54868444860983</v>
      </c>
      <c r="AF21" s="8">
        <v>959.76974863741225</v>
      </c>
      <c r="AG21" s="8">
        <v>949.99081282621466</v>
      </c>
      <c r="AH21" s="8">
        <v>944.26527954509731</v>
      </c>
      <c r="AI21" s="8">
        <v>938.53974626397996</v>
      </c>
      <c r="AJ21" s="8">
        <v>932.8142129828625</v>
      </c>
      <c r="AK21" s="8">
        <v>927.08867970174515</v>
      </c>
      <c r="AL21" s="8">
        <v>921.3631464206278</v>
      </c>
      <c r="AM21" s="8">
        <v>920.28557400348086</v>
      </c>
      <c r="AN21" s="8">
        <v>919.20800158633392</v>
      </c>
      <c r="AO21" s="8">
        <v>918.13042916918687</v>
      </c>
      <c r="AP21" s="8">
        <v>917.05285675203993</v>
      </c>
      <c r="AQ21" s="8">
        <v>915.97528433489299</v>
      </c>
      <c r="AR21" s="8">
        <v>911.68328296109939</v>
      </c>
      <c r="AS21" s="8">
        <v>907.3912815873058</v>
      </c>
      <c r="AT21" s="8">
        <v>903.09928021351232</v>
      </c>
      <c r="AU21" s="8">
        <v>898.80727883971872</v>
      </c>
      <c r="AV21" s="8">
        <v>894.51527746592512</v>
      </c>
      <c r="AW21" s="8">
        <v>896.8892275381495</v>
      </c>
      <c r="AX21" s="8">
        <v>899.26317761037376</v>
      </c>
      <c r="AY21" s="8">
        <v>901.63712768259813</v>
      </c>
      <c r="AZ21" s="8">
        <v>904.0110777548224</v>
      </c>
      <c r="BA21" s="8">
        <v>906.38502782704677</v>
      </c>
      <c r="BB21" s="102" t="s">
        <v>3</v>
      </c>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row>
    <row r="22" spans="1:80" x14ac:dyDescent="0.2">
      <c r="A22" s="7"/>
      <c r="B22" s="101" t="s">
        <v>175</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4"/>
      <c r="BC22" s="105"/>
      <c r="BD22" s="8"/>
      <c r="BE22" s="8"/>
      <c r="BF22" s="8"/>
      <c r="BG22" s="8"/>
      <c r="BH22" s="8"/>
      <c r="BI22" s="8"/>
      <c r="BJ22" s="8"/>
      <c r="BK22" s="8"/>
      <c r="BL22" s="8"/>
      <c r="BM22" s="8"/>
      <c r="BN22" s="8"/>
      <c r="BO22" s="8"/>
      <c r="BP22" s="8"/>
      <c r="BQ22" s="8"/>
      <c r="BR22" s="8"/>
      <c r="BS22" s="8"/>
      <c r="BT22" s="8"/>
      <c r="BU22" s="8"/>
      <c r="BV22" s="8"/>
      <c r="BW22" s="8"/>
      <c r="BX22" s="8"/>
      <c r="BY22" s="8"/>
      <c r="BZ22" s="8"/>
      <c r="CA22" s="8"/>
      <c r="CB22" s="8"/>
    </row>
    <row r="23" spans="1:80" x14ac:dyDescent="0.2">
      <c r="A23" s="7"/>
      <c r="B23" s="101" t="s">
        <v>176</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4"/>
      <c r="BC23" s="105"/>
      <c r="BD23" s="8"/>
      <c r="BE23" s="8"/>
      <c r="BF23" s="8"/>
      <c r="BG23" s="8"/>
      <c r="BH23" s="8"/>
      <c r="BI23" s="8"/>
      <c r="BJ23" s="8"/>
      <c r="BK23" s="8"/>
      <c r="BL23" s="8"/>
      <c r="BM23" s="8"/>
      <c r="BN23" s="8"/>
      <c r="BO23" s="8"/>
      <c r="BP23" s="8"/>
      <c r="BQ23" s="8"/>
      <c r="BR23" s="8"/>
      <c r="BS23" s="8"/>
      <c r="BT23" s="8"/>
      <c r="BU23" s="8"/>
      <c r="BV23" s="8"/>
      <c r="BW23" s="8"/>
      <c r="BX23" s="8"/>
      <c r="BY23" s="8"/>
      <c r="BZ23" s="8"/>
      <c r="CA23" s="8"/>
      <c r="CB23" s="8"/>
    </row>
    <row r="24" spans="1:80" x14ac:dyDescent="0.2">
      <c r="A24" s="7"/>
      <c r="B24" s="101" t="s">
        <v>177</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4"/>
      <c r="BC24" s="105"/>
      <c r="BD24" s="8"/>
      <c r="BE24" s="8"/>
      <c r="BF24" s="8"/>
      <c r="BG24" s="8"/>
      <c r="BH24" s="8"/>
      <c r="BI24" s="8"/>
      <c r="BJ24" s="8"/>
      <c r="BK24" s="8"/>
      <c r="BL24" s="8"/>
      <c r="BM24" s="8"/>
      <c r="BN24" s="8"/>
      <c r="BO24" s="8"/>
      <c r="BP24" s="8"/>
      <c r="BQ24" s="8"/>
      <c r="BR24" s="8"/>
      <c r="BS24" s="8"/>
      <c r="BT24" s="8"/>
      <c r="BU24" s="8"/>
      <c r="BV24" s="8"/>
      <c r="BW24" s="8"/>
      <c r="BX24" s="8"/>
      <c r="BY24" s="8"/>
      <c r="BZ24" s="8"/>
      <c r="CA24" s="8"/>
      <c r="CB24" s="8"/>
    </row>
    <row r="25" spans="1:80" x14ac:dyDescent="0.2">
      <c r="A25" s="7"/>
      <c r="B25" s="101" t="s">
        <v>178</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4"/>
      <c r="BC25" s="105"/>
      <c r="BD25" s="8"/>
      <c r="BE25" s="8"/>
      <c r="BF25" s="8"/>
      <c r="BG25" s="8"/>
      <c r="BH25" s="8"/>
      <c r="BI25" s="8"/>
      <c r="BJ25" s="8"/>
      <c r="BK25" s="8"/>
      <c r="BL25" s="8"/>
      <c r="BM25" s="8"/>
      <c r="BN25" s="8"/>
      <c r="BO25" s="8"/>
      <c r="BP25" s="8"/>
      <c r="BQ25" s="8"/>
      <c r="BR25" s="8"/>
      <c r="BS25" s="8"/>
      <c r="BT25" s="8"/>
      <c r="BU25" s="8"/>
      <c r="BV25" s="8"/>
      <c r="BW25" s="8"/>
      <c r="BX25" s="8"/>
      <c r="BY25" s="8"/>
      <c r="BZ25" s="8"/>
      <c r="CA25" s="8"/>
      <c r="CB25" s="8"/>
    </row>
    <row r="26" spans="1:80" x14ac:dyDescent="0.2">
      <c r="A26" s="7"/>
      <c r="B26" s="102"/>
      <c r="C26" s="8"/>
      <c r="D26" s="105"/>
      <c r="E26" s="105"/>
      <c r="F26" s="105"/>
      <c r="G26" s="105"/>
      <c r="H26" s="8"/>
      <c r="I26" s="105"/>
      <c r="J26" s="105"/>
      <c r="K26" s="105"/>
      <c r="L26" s="105"/>
      <c r="M26" s="8"/>
      <c r="N26" s="105"/>
      <c r="O26" s="105"/>
      <c r="P26" s="105"/>
      <c r="Q26" s="105"/>
      <c r="R26" s="8"/>
      <c r="S26" s="105"/>
      <c r="T26" s="105"/>
      <c r="U26" s="105"/>
      <c r="V26" s="105"/>
      <c r="W26" s="8"/>
      <c r="X26" s="105"/>
      <c r="Y26" s="105"/>
      <c r="Z26" s="105"/>
      <c r="AA26" s="105"/>
      <c r="AB26" s="8"/>
      <c r="AC26" s="105"/>
      <c r="AD26" s="105"/>
      <c r="AE26" s="105"/>
      <c r="AF26" s="105"/>
      <c r="AG26" s="8"/>
      <c r="AH26" s="105"/>
      <c r="AI26" s="105"/>
      <c r="AJ26" s="105"/>
      <c r="AK26" s="105"/>
      <c r="AL26" s="8"/>
      <c r="AM26" s="105"/>
      <c r="AN26" s="105"/>
      <c r="AO26" s="105"/>
      <c r="AP26" s="105"/>
      <c r="AQ26" s="8"/>
      <c r="AR26" s="105"/>
      <c r="AS26" s="105"/>
      <c r="AT26" s="105"/>
      <c r="AU26" s="105"/>
      <c r="AV26" s="8"/>
      <c r="AW26" s="105"/>
      <c r="AX26" s="105"/>
      <c r="AY26" s="105"/>
      <c r="AZ26" s="105"/>
      <c r="BA26" s="8"/>
      <c r="BB26" s="104"/>
      <c r="BC26" s="105"/>
      <c r="BD26" s="8"/>
      <c r="BE26" s="8"/>
      <c r="BF26" s="8"/>
      <c r="BG26" s="8"/>
      <c r="BH26" s="8"/>
      <c r="BI26" s="8"/>
      <c r="BJ26" s="8"/>
      <c r="BK26" s="8"/>
      <c r="BL26" s="8"/>
      <c r="BM26" s="8"/>
      <c r="BN26" s="8"/>
      <c r="BO26" s="8"/>
      <c r="BP26" s="8"/>
      <c r="BQ26" s="8"/>
      <c r="BR26" s="8"/>
      <c r="BS26" s="8"/>
      <c r="BT26" s="8"/>
      <c r="BU26" s="8"/>
      <c r="BV26" s="8"/>
      <c r="BW26" s="8"/>
      <c r="BX26" s="8"/>
      <c r="BY26" s="8"/>
      <c r="BZ26" s="8"/>
      <c r="CA26" s="8"/>
      <c r="CB26" s="8"/>
    </row>
    <row r="27" spans="1:80" x14ac:dyDescent="0.2">
      <c r="A27" s="7"/>
      <c r="B27" s="1" t="s">
        <v>15</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10"/>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row>
    <row r="28" spans="1:80" x14ac:dyDescent="0.2">
      <c r="A28" s="7"/>
      <c r="B28" s="5" t="s">
        <v>1</v>
      </c>
      <c r="C28" s="6">
        <v>2010</v>
      </c>
      <c r="D28" s="3">
        <v>2011</v>
      </c>
      <c r="E28" s="3">
        <v>2012</v>
      </c>
      <c r="F28" s="3">
        <v>2013</v>
      </c>
      <c r="G28" s="3">
        <v>2014</v>
      </c>
      <c r="H28" s="6">
        <v>2015</v>
      </c>
      <c r="I28" s="3">
        <v>2016</v>
      </c>
      <c r="J28" s="3">
        <v>2017</v>
      </c>
      <c r="K28" s="3">
        <v>2018</v>
      </c>
      <c r="L28" s="3">
        <v>2019</v>
      </c>
      <c r="M28" s="6">
        <v>2020</v>
      </c>
      <c r="N28" s="3">
        <v>2021</v>
      </c>
      <c r="O28" s="3">
        <v>2022</v>
      </c>
      <c r="P28" s="3">
        <v>2023</v>
      </c>
      <c r="Q28" s="3">
        <v>2024</v>
      </c>
      <c r="R28" s="6">
        <v>2025</v>
      </c>
      <c r="S28" s="3">
        <v>2026</v>
      </c>
      <c r="T28" s="3">
        <v>2027</v>
      </c>
      <c r="U28" s="3">
        <v>2028</v>
      </c>
      <c r="V28" s="3">
        <v>2029</v>
      </c>
      <c r="W28" s="6">
        <v>2030</v>
      </c>
      <c r="X28" s="3">
        <v>2031</v>
      </c>
      <c r="Y28" s="3">
        <v>2032</v>
      </c>
      <c r="Z28" s="3">
        <v>2033</v>
      </c>
      <c r="AA28" s="3">
        <v>2034</v>
      </c>
      <c r="AB28" s="6">
        <v>2035</v>
      </c>
      <c r="AC28" s="3">
        <v>2036</v>
      </c>
      <c r="AD28" s="3">
        <v>2037</v>
      </c>
      <c r="AE28" s="3">
        <v>2038</v>
      </c>
      <c r="AF28" s="3">
        <v>2039</v>
      </c>
      <c r="AG28" s="6">
        <v>2040</v>
      </c>
      <c r="AH28" s="3">
        <v>2041</v>
      </c>
      <c r="AI28" s="3">
        <v>2042</v>
      </c>
      <c r="AJ28" s="3">
        <v>2043</v>
      </c>
      <c r="AK28" s="3">
        <v>2044</v>
      </c>
      <c r="AL28" s="6">
        <v>2045</v>
      </c>
      <c r="AM28" s="3">
        <v>2046</v>
      </c>
      <c r="AN28" s="3">
        <v>2047</v>
      </c>
      <c r="AO28" s="3">
        <v>2048</v>
      </c>
      <c r="AP28" s="3">
        <v>2049</v>
      </c>
      <c r="AQ28" s="6">
        <v>2050</v>
      </c>
      <c r="AR28" s="3">
        <v>2051</v>
      </c>
      <c r="AS28" s="3">
        <v>2052</v>
      </c>
      <c r="AT28" s="3">
        <v>2053</v>
      </c>
      <c r="AU28" s="3">
        <v>2054</v>
      </c>
      <c r="AV28" s="6">
        <v>2055</v>
      </c>
      <c r="AW28" s="3">
        <v>2056</v>
      </c>
      <c r="AX28" s="3">
        <v>2057</v>
      </c>
      <c r="AY28" s="3">
        <v>2058</v>
      </c>
      <c r="AZ28" s="3">
        <v>2059</v>
      </c>
      <c r="BA28" s="6">
        <v>2060</v>
      </c>
      <c r="BD28" s="8"/>
      <c r="BE28" s="8"/>
      <c r="BF28" s="8"/>
      <c r="BG28" s="8"/>
      <c r="BH28" s="8"/>
      <c r="BI28" s="8"/>
      <c r="BJ28" s="8"/>
      <c r="BK28" s="8"/>
      <c r="BL28" s="8"/>
      <c r="BM28" s="8"/>
      <c r="BN28" s="8"/>
      <c r="BO28" s="8"/>
      <c r="BP28" s="8"/>
      <c r="BQ28" s="8"/>
      <c r="BR28" s="8"/>
      <c r="BS28" s="8"/>
      <c r="BT28" s="8"/>
      <c r="BU28" s="8"/>
      <c r="BV28" s="8"/>
      <c r="BW28" s="8"/>
      <c r="BX28" s="8"/>
      <c r="BY28" s="8"/>
      <c r="BZ28" s="8"/>
      <c r="CA28" s="8"/>
      <c r="CB28" s="8"/>
    </row>
    <row r="29" spans="1:80" x14ac:dyDescent="0.2">
      <c r="A29" s="7"/>
      <c r="B29" s="101" t="s">
        <v>2</v>
      </c>
      <c r="C29" s="8">
        <v>40071.791858952871</v>
      </c>
      <c r="D29" s="8">
        <v>42213.770607484723</v>
      </c>
      <c r="E29" s="8">
        <v>44355.749356016568</v>
      </c>
      <c r="F29" s="8">
        <v>46497.72810454842</v>
      </c>
      <c r="G29" s="8">
        <v>48639.706853080264</v>
      </c>
      <c r="H29" s="8">
        <v>50781.685601612116</v>
      </c>
      <c r="I29" s="8">
        <v>51925.701245965611</v>
      </c>
      <c r="J29" s="8">
        <v>53069.716890319105</v>
      </c>
      <c r="K29" s="8">
        <v>54213.732534672599</v>
      </c>
      <c r="L29" s="8">
        <v>55357.748179026094</v>
      </c>
      <c r="M29" s="8">
        <v>56501.763823379588</v>
      </c>
      <c r="N29" s="8">
        <v>57755.142145127058</v>
      </c>
      <c r="O29" s="8">
        <v>59008.520466874521</v>
      </c>
      <c r="P29" s="8">
        <v>60261.898788621991</v>
      </c>
      <c r="Q29" s="8">
        <v>61515.277110369454</v>
      </c>
      <c r="R29" s="8">
        <v>62768.655432116924</v>
      </c>
      <c r="S29" s="8">
        <v>64020.646593473044</v>
      </c>
      <c r="T29" s="8">
        <v>65272.637754829164</v>
      </c>
      <c r="U29" s="8">
        <v>66524.628916185291</v>
      </c>
      <c r="V29" s="8">
        <v>67776.620077541404</v>
      </c>
      <c r="W29" s="8">
        <v>69028.611238897531</v>
      </c>
      <c r="X29" s="8">
        <v>70231.838366774522</v>
      </c>
      <c r="Y29" s="8">
        <v>71435.065494651513</v>
      </c>
      <c r="Z29" s="8">
        <v>72638.29262252849</v>
      </c>
      <c r="AA29" s="8">
        <v>73841.519750405481</v>
      </c>
      <c r="AB29" s="8">
        <v>75044.746878282473</v>
      </c>
      <c r="AC29" s="8">
        <v>76177.26800493685</v>
      </c>
      <c r="AD29" s="8">
        <v>77309.789131591242</v>
      </c>
      <c r="AE29" s="8">
        <v>78442.310258245619</v>
      </c>
      <c r="AF29" s="8">
        <v>79574.831384900011</v>
      </c>
      <c r="AG29" s="8">
        <v>80707.352511554389</v>
      </c>
      <c r="AH29" s="8">
        <v>81902.069841951597</v>
      </c>
      <c r="AI29" s="8">
        <v>83096.787172348821</v>
      </c>
      <c r="AJ29" s="8">
        <v>84291.504502746029</v>
      </c>
      <c r="AK29" s="8">
        <v>85486.221833143252</v>
      </c>
      <c r="AL29" s="8">
        <v>86680.939163540461</v>
      </c>
      <c r="AM29" s="8">
        <v>87884.103540726137</v>
      </c>
      <c r="AN29" s="8">
        <v>89087.267917911828</v>
      </c>
      <c r="AO29" s="8">
        <v>90290.432295097504</v>
      </c>
      <c r="AP29" s="8">
        <v>91493.596672283194</v>
      </c>
      <c r="AQ29" s="8">
        <v>92696.761049468871</v>
      </c>
      <c r="AR29" s="8">
        <v>93878.769035020814</v>
      </c>
      <c r="AS29" s="8">
        <v>95060.777020572772</v>
      </c>
      <c r="AT29" s="8">
        <v>96242.785006124715</v>
      </c>
      <c r="AU29" s="8">
        <v>97424.792991676673</v>
      </c>
      <c r="AV29" s="8">
        <v>98606.800977228617</v>
      </c>
      <c r="AW29" s="8">
        <v>99778.411631732582</v>
      </c>
      <c r="AX29" s="8">
        <v>100950.02228623655</v>
      </c>
      <c r="AY29" s="8">
        <v>102121.63294074051</v>
      </c>
      <c r="AZ29" s="8">
        <v>103293.24359524448</v>
      </c>
      <c r="BA29" s="8">
        <v>104464.85424974844</v>
      </c>
      <c r="BB29" s="2" t="s">
        <v>16</v>
      </c>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row>
    <row r="30" spans="1:80" x14ac:dyDescent="0.2">
      <c r="A30" s="7"/>
      <c r="B30" s="101" t="s">
        <v>182</v>
      </c>
      <c r="C30" s="8">
        <v>6090.3282540105502</v>
      </c>
      <c r="D30" s="8">
        <v>6577.0802223717419</v>
      </c>
      <c r="E30" s="8">
        <v>7063.8321907329337</v>
      </c>
      <c r="F30" s="8">
        <v>7550.5841590941254</v>
      </c>
      <c r="G30" s="8">
        <v>8037.3361274553172</v>
      </c>
      <c r="H30" s="8">
        <v>8524.0880958165089</v>
      </c>
      <c r="I30" s="8">
        <v>8703.6699544852781</v>
      </c>
      <c r="J30" s="8">
        <v>8883.2518131540473</v>
      </c>
      <c r="K30" s="8">
        <v>9062.8336718228165</v>
      </c>
      <c r="L30" s="8">
        <v>9242.4155304915857</v>
      </c>
      <c r="M30" s="8">
        <v>9421.9973891603549</v>
      </c>
      <c r="N30" s="8">
        <v>9530.1894569031901</v>
      </c>
      <c r="O30" s="8">
        <v>9638.3815246460254</v>
      </c>
      <c r="P30" s="8">
        <v>9746.5735923888587</v>
      </c>
      <c r="Q30" s="8">
        <v>9854.7656601316939</v>
      </c>
      <c r="R30" s="8">
        <v>9962.9577278745292</v>
      </c>
      <c r="S30" s="8">
        <v>10053.325060989326</v>
      </c>
      <c r="T30" s="8">
        <v>10143.692394104124</v>
      </c>
      <c r="U30" s="8">
        <v>10234.059727218921</v>
      </c>
      <c r="V30" s="8">
        <v>10324.427060333719</v>
      </c>
      <c r="W30" s="8">
        <v>10414.794393448516</v>
      </c>
      <c r="X30" s="8">
        <v>10471.75948946483</v>
      </c>
      <c r="Y30" s="8">
        <v>10528.724585481144</v>
      </c>
      <c r="Z30" s="8">
        <v>10585.689681497457</v>
      </c>
      <c r="AA30" s="8">
        <v>10642.654777513771</v>
      </c>
      <c r="AB30" s="8">
        <v>10699.619873530086</v>
      </c>
      <c r="AC30" s="8">
        <v>10716.791441788917</v>
      </c>
      <c r="AD30" s="8">
        <v>10733.963010047746</v>
      </c>
      <c r="AE30" s="8">
        <v>10751.134578306577</v>
      </c>
      <c r="AF30" s="8">
        <v>10768.306146565406</v>
      </c>
      <c r="AG30" s="8">
        <v>10785.477714824237</v>
      </c>
      <c r="AH30" s="8">
        <v>10791.388067440417</v>
      </c>
      <c r="AI30" s="8">
        <v>10797.298420056597</v>
      </c>
      <c r="AJ30" s="8">
        <v>10803.208772672777</v>
      </c>
      <c r="AK30" s="8">
        <v>10809.119125288957</v>
      </c>
      <c r="AL30" s="8">
        <v>10815.029477905136</v>
      </c>
      <c r="AM30" s="8">
        <v>10820.837477331901</v>
      </c>
      <c r="AN30" s="8">
        <v>10826.645476758664</v>
      </c>
      <c r="AO30" s="8">
        <v>10832.453476185428</v>
      </c>
      <c r="AP30" s="8">
        <v>10838.261475612191</v>
      </c>
      <c r="AQ30" s="8">
        <v>10844.069475038956</v>
      </c>
      <c r="AR30" s="8">
        <v>10848.981386799316</v>
      </c>
      <c r="AS30" s="8">
        <v>10853.893298559677</v>
      </c>
      <c r="AT30" s="8">
        <v>10858.805210320035</v>
      </c>
      <c r="AU30" s="8">
        <v>10863.717122080396</v>
      </c>
      <c r="AV30" s="8">
        <v>10868.629033840756</v>
      </c>
      <c r="AW30" s="8">
        <v>10895.521657079071</v>
      </c>
      <c r="AX30" s="8">
        <v>10922.414280317385</v>
      </c>
      <c r="AY30" s="8">
        <v>10949.306903555702</v>
      </c>
      <c r="AZ30" s="8">
        <v>10976.199526794016</v>
      </c>
      <c r="BA30" s="8">
        <v>11003.092150032331</v>
      </c>
      <c r="BB30" s="2" t="s">
        <v>16</v>
      </c>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row>
    <row r="31" spans="1:80" x14ac:dyDescent="0.2">
      <c r="A31" s="7"/>
      <c r="B31" s="101" t="s">
        <v>165</v>
      </c>
      <c r="C31" s="8">
        <v>17632.903683681092</v>
      </c>
      <c r="D31" s="8">
        <v>18433.222078883304</v>
      </c>
      <c r="E31" s="8">
        <v>19233.540474085516</v>
      </c>
      <c r="F31" s="8">
        <v>20033.858869287724</v>
      </c>
      <c r="G31" s="8">
        <v>20834.177264489936</v>
      </c>
      <c r="H31" s="8">
        <v>21634.495659692147</v>
      </c>
      <c r="I31" s="8">
        <v>22102.583192174166</v>
      </c>
      <c r="J31" s="8">
        <v>22570.670724656182</v>
      </c>
      <c r="K31" s="8">
        <v>23038.758257138201</v>
      </c>
      <c r="L31" s="8">
        <v>23506.845789620216</v>
      </c>
      <c r="M31" s="8">
        <v>23974.933322102235</v>
      </c>
      <c r="N31" s="8">
        <v>24450.928980929304</v>
      </c>
      <c r="O31" s="8">
        <v>24926.924639756373</v>
      </c>
      <c r="P31" s="8">
        <v>25402.920298583442</v>
      </c>
      <c r="Q31" s="8">
        <v>25878.915957410511</v>
      </c>
      <c r="R31" s="8">
        <v>26354.911616237579</v>
      </c>
      <c r="S31" s="8">
        <v>26714.289549822286</v>
      </c>
      <c r="T31" s="8">
        <v>27073.667483406993</v>
      </c>
      <c r="U31" s="8">
        <v>27433.045416991699</v>
      </c>
      <c r="V31" s="8">
        <v>27792.423350576406</v>
      </c>
      <c r="W31" s="8">
        <v>28151.801284161113</v>
      </c>
      <c r="X31" s="8">
        <v>28385.233032517455</v>
      </c>
      <c r="Y31" s="8">
        <v>28618.664780873794</v>
      </c>
      <c r="Z31" s="8">
        <v>28852.096529230137</v>
      </c>
      <c r="AA31" s="8">
        <v>29085.528277586476</v>
      </c>
      <c r="AB31" s="8">
        <v>29318.960025942819</v>
      </c>
      <c r="AC31" s="8">
        <v>29474.693498893448</v>
      </c>
      <c r="AD31" s="8">
        <v>29630.426971844077</v>
      </c>
      <c r="AE31" s="8">
        <v>29786.16044479471</v>
      </c>
      <c r="AF31" s="8">
        <v>29941.893917745339</v>
      </c>
      <c r="AG31" s="8">
        <v>30097.627390695969</v>
      </c>
      <c r="AH31" s="8">
        <v>30274.200132548802</v>
      </c>
      <c r="AI31" s="8">
        <v>30450.772874401639</v>
      </c>
      <c r="AJ31" s="8">
        <v>30627.345616254472</v>
      </c>
      <c r="AK31" s="8">
        <v>30803.918358107308</v>
      </c>
      <c r="AL31" s="8">
        <v>30980.491099960142</v>
      </c>
      <c r="AM31" s="8">
        <v>31134.689415813842</v>
      </c>
      <c r="AN31" s="8">
        <v>31288.887731667546</v>
      </c>
      <c r="AO31" s="8">
        <v>31443.086047521247</v>
      </c>
      <c r="AP31" s="8">
        <v>31597.284363374951</v>
      </c>
      <c r="AQ31" s="8">
        <v>31751.482679228651</v>
      </c>
      <c r="AR31" s="8">
        <v>31894.085843990269</v>
      </c>
      <c r="AS31" s="8">
        <v>32036.689008751884</v>
      </c>
      <c r="AT31" s="8">
        <v>32179.292173513502</v>
      </c>
      <c r="AU31" s="8">
        <v>32321.895338275117</v>
      </c>
      <c r="AV31" s="8">
        <v>32464.498503036735</v>
      </c>
      <c r="AW31" s="8">
        <v>32561.840344638695</v>
      </c>
      <c r="AX31" s="8">
        <v>32659.182186240654</v>
      </c>
      <c r="AY31" s="8">
        <v>32756.524027842614</v>
      </c>
      <c r="AZ31" s="8">
        <v>32853.865869444577</v>
      </c>
      <c r="BA31" s="8">
        <v>32951.207711046532</v>
      </c>
      <c r="BB31" s="2" t="s">
        <v>16</v>
      </c>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row>
    <row r="32" spans="1:80" x14ac:dyDescent="0.2">
      <c r="A32" s="7"/>
      <c r="B32" s="101" t="s">
        <v>167</v>
      </c>
      <c r="C32" s="8">
        <v>5746.88</v>
      </c>
      <c r="D32" s="8">
        <v>6066.17</v>
      </c>
      <c r="E32" s="8">
        <v>6385.46</v>
      </c>
      <c r="F32" s="8">
        <v>6704.76</v>
      </c>
      <c r="G32" s="8">
        <v>7024.05</v>
      </c>
      <c r="H32" s="8">
        <v>7343.34</v>
      </c>
      <c r="I32" s="8">
        <v>7483.31</v>
      </c>
      <c r="J32" s="8">
        <v>7623.28</v>
      </c>
      <c r="K32" s="8">
        <v>7763.24</v>
      </c>
      <c r="L32" s="8">
        <v>7903.21</v>
      </c>
      <c r="M32" s="8">
        <v>8043.18</v>
      </c>
      <c r="N32" s="8">
        <v>8225.48</v>
      </c>
      <c r="O32" s="8">
        <v>8407.7800000000007</v>
      </c>
      <c r="P32" s="8">
        <v>8590.08</v>
      </c>
      <c r="Q32" s="8">
        <v>8772.3799999999992</v>
      </c>
      <c r="R32" s="8">
        <v>8954.68</v>
      </c>
      <c r="S32" s="8">
        <v>9180.56</v>
      </c>
      <c r="T32" s="8">
        <v>9406.4500000000007</v>
      </c>
      <c r="U32" s="8">
        <v>9632.33</v>
      </c>
      <c r="V32" s="8">
        <v>9858.2199999999993</v>
      </c>
      <c r="W32" s="8">
        <v>10084.1</v>
      </c>
      <c r="X32" s="8">
        <v>10332.09</v>
      </c>
      <c r="Y32" s="8">
        <v>10580.08</v>
      </c>
      <c r="Z32" s="8">
        <v>10828.08</v>
      </c>
      <c r="AA32" s="8">
        <v>11076.07</v>
      </c>
      <c r="AB32" s="8">
        <v>11324.06</v>
      </c>
      <c r="AC32" s="8">
        <v>11576.82</v>
      </c>
      <c r="AD32" s="8">
        <v>11829.58</v>
      </c>
      <c r="AE32" s="8">
        <v>12082.35</v>
      </c>
      <c r="AF32" s="8">
        <v>12335.11</v>
      </c>
      <c r="AG32" s="8">
        <v>12587.87</v>
      </c>
      <c r="AH32" s="8">
        <v>12836.91</v>
      </c>
      <c r="AI32" s="8">
        <v>13085.96</v>
      </c>
      <c r="AJ32" s="8">
        <v>13335</v>
      </c>
      <c r="AK32" s="8">
        <v>13584.05</v>
      </c>
      <c r="AL32" s="8">
        <v>13833.09</v>
      </c>
      <c r="AM32" s="8">
        <v>14083.41</v>
      </c>
      <c r="AN32" s="8">
        <v>14333.73</v>
      </c>
      <c r="AO32" s="8">
        <v>14584.05</v>
      </c>
      <c r="AP32" s="8">
        <v>14834.37</v>
      </c>
      <c r="AQ32" s="8">
        <v>15084.69</v>
      </c>
      <c r="AR32" s="8">
        <v>15324.17</v>
      </c>
      <c r="AS32" s="8">
        <v>15563.66</v>
      </c>
      <c r="AT32" s="8">
        <v>15803.14</v>
      </c>
      <c r="AU32" s="8">
        <v>16042.63</v>
      </c>
      <c r="AV32" s="8">
        <v>16282.11</v>
      </c>
      <c r="AW32" s="8">
        <v>16527.009999999998</v>
      </c>
      <c r="AX32" s="8">
        <v>16771.919999999998</v>
      </c>
      <c r="AY32" s="8">
        <v>17016.82</v>
      </c>
      <c r="AZ32" s="8">
        <v>17261.73</v>
      </c>
      <c r="BA32" s="8">
        <v>17506.63</v>
      </c>
      <c r="BB32" s="2" t="s">
        <v>16</v>
      </c>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row>
    <row r="33" spans="1:80" x14ac:dyDescent="0.2">
      <c r="B33" s="101" t="s">
        <v>166</v>
      </c>
      <c r="C33" s="8">
        <v>2370.6799999999998</v>
      </c>
      <c r="D33" s="8">
        <v>2456.6799999999998</v>
      </c>
      <c r="E33" s="8">
        <v>2542.6799999999998</v>
      </c>
      <c r="F33" s="8">
        <v>2628.68</v>
      </c>
      <c r="G33" s="8">
        <v>2714.68</v>
      </c>
      <c r="H33" s="8">
        <v>2800.68</v>
      </c>
      <c r="I33" s="8">
        <v>2841.43</v>
      </c>
      <c r="J33" s="8">
        <v>2882.17</v>
      </c>
      <c r="K33" s="8">
        <v>2922.91</v>
      </c>
      <c r="L33" s="8">
        <v>2963.65</v>
      </c>
      <c r="M33" s="8">
        <v>3004.4</v>
      </c>
      <c r="N33" s="8">
        <v>3071.54</v>
      </c>
      <c r="O33" s="8">
        <v>3138.68</v>
      </c>
      <c r="P33" s="8">
        <v>3205.82</v>
      </c>
      <c r="Q33" s="8">
        <v>3272.96</v>
      </c>
      <c r="R33" s="8">
        <v>3340.1</v>
      </c>
      <c r="S33" s="8">
        <v>3418.99</v>
      </c>
      <c r="T33" s="8">
        <v>3497.89</v>
      </c>
      <c r="U33" s="8">
        <v>3576.78</v>
      </c>
      <c r="V33" s="8">
        <v>3655.68</v>
      </c>
      <c r="W33" s="8">
        <v>3734.57</v>
      </c>
      <c r="X33" s="8">
        <v>3822.26</v>
      </c>
      <c r="Y33" s="8">
        <v>3909.95</v>
      </c>
      <c r="Z33" s="8">
        <v>3997.64</v>
      </c>
      <c r="AA33" s="8">
        <v>4085.33</v>
      </c>
      <c r="AB33" s="8">
        <v>4173.0200000000004</v>
      </c>
      <c r="AC33" s="8">
        <v>4263.96</v>
      </c>
      <c r="AD33" s="8">
        <v>4354.8999999999996</v>
      </c>
      <c r="AE33" s="8">
        <v>4445.83</v>
      </c>
      <c r="AF33" s="8">
        <v>4536.7700000000004</v>
      </c>
      <c r="AG33" s="8">
        <v>4627.71</v>
      </c>
      <c r="AH33" s="8">
        <v>4720.7700000000004</v>
      </c>
      <c r="AI33" s="8">
        <v>4813.83</v>
      </c>
      <c r="AJ33" s="8">
        <v>4906.8900000000003</v>
      </c>
      <c r="AK33" s="8">
        <v>4999.95</v>
      </c>
      <c r="AL33" s="8">
        <v>5093.01</v>
      </c>
      <c r="AM33" s="8">
        <v>5187.7700000000004</v>
      </c>
      <c r="AN33" s="8">
        <v>5282.54</v>
      </c>
      <c r="AO33" s="8">
        <v>5377.3</v>
      </c>
      <c r="AP33" s="8">
        <v>5472.06</v>
      </c>
      <c r="AQ33" s="8">
        <v>5566.82</v>
      </c>
      <c r="AR33" s="8">
        <v>5659.19</v>
      </c>
      <c r="AS33" s="8">
        <v>5751.56</v>
      </c>
      <c r="AT33" s="8">
        <v>5843.93</v>
      </c>
      <c r="AU33" s="8">
        <v>5936.29</v>
      </c>
      <c r="AV33" s="8">
        <v>6028.66</v>
      </c>
      <c r="AW33" s="8">
        <v>6127.72</v>
      </c>
      <c r="AX33" s="8">
        <v>6226.78</v>
      </c>
      <c r="AY33" s="8">
        <v>6325.84</v>
      </c>
      <c r="AZ33" s="8">
        <v>6424.9</v>
      </c>
      <c r="BA33" s="8">
        <v>6523.97</v>
      </c>
      <c r="BB33" s="2" t="s">
        <v>16</v>
      </c>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row>
    <row r="34" spans="1:80" x14ac:dyDescent="0.2">
      <c r="A34" s="1"/>
      <c r="B34" s="101" t="s">
        <v>168</v>
      </c>
      <c r="C34" s="8">
        <v>8117.5611637289585</v>
      </c>
      <c r="D34" s="8">
        <v>8522.8540970598115</v>
      </c>
      <c r="E34" s="8">
        <v>8928.1470303906644</v>
      </c>
      <c r="F34" s="8">
        <v>9333.4399637215174</v>
      </c>
      <c r="G34" s="8">
        <v>9738.7328970523686</v>
      </c>
      <c r="H34" s="8">
        <v>10144.025830383222</v>
      </c>
      <c r="I34" s="8">
        <v>10324.735411596277</v>
      </c>
      <c r="J34" s="8">
        <v>10505.444992809335</v>
      </c>
      <c r="K34" s="8">
        <v>10686.15457402239</v>
      </c>
      <c r="L34" s="8">
        <v>10866.864155235447</v>
      </c>
      <c r="M34" s="8">
        <v>11047.573736448503</v>
      </c>
      <c r="N34" s="8">
        <v>11297.0138094183</v>
      </c>
      <c r="O34" s="8">
        <v>11546.453882388098</v>
      </c>
      <c r="P34" s="8">
        <v>11795.893955357893</v>
      </c>
      <c r="Q34" s="8">
        <v>12045.33402832769</v>
      </c>
      <c r="R34" s="8">
        <v>12294.774101297488</v>
      </c>
      <c r="S34" s="8">
        <v>12599.554426799783</v>
      </c>
      <c r="T34" s="8">
        <v>12904.334752302078</v>
      </c>
      <c r="U34" s="8">
        <v>13209.115077804374</v>
      </c>
      <c r="V34" s="8">
        <v>13513.895403306669</v>
      </c>
      <c r="W34" s="8">
        <v>13818.675728808965</v>
      </c>
      <c r="X34" s="8">
        <v>14154.356841691215</v>
      </c>
      <c r="Y34" s="8">
        <v>14490.037954573463</v>
      </c>
      <c r="Z34" s="8">
        <v>14825.719067455713</v>
      </c>
      <c r="AA34" s="8">
        <v>15161.400180337962</v>
      </c>
      <c r="AB34" s="8">
        <v>15497.081293220212</v>
      </c>
      <c r="AC34" s="8">
        <v>15840.781529904736</v>
      </c>
      <c r="AD34" s="8">
        <v>16184.481766589261</v>
      </c>
      <c r="AE34" s="8">
        <v>16528.182003273785</v>
      </c>
      <c r="AF34" s="8">
        <v>16871.882239958308</v>
      </c>
      <c r="AG34" s="8">
        <v>17215.582476642834</v>
      </c>
      <c r="AH34" s="8">
        <v>17557.686516799797</v>
      </c>
      <c r="AI34" s="8">
        <v>17899.790556956759</v>
      </c>
      <c r="AJ34" s="8">
        <v>18241.894597113722</v>
      </c>
      <c r="AK34" s="8">
        <v>18583.998637270684</v>
      </c>
      <c r="AL34" s="8">
        <v>18926.102677427647</v>
      </c>
      <c r="AM34" s="8">
        <v>19271.184613084373</v>
      </c>
      <c r="AN34" s="8">
        <v>19616.266548741103</v>
      </c>
      <c r="AO34" s="8">
        <v>19961.348484397829</v>
      </c>
      <c r="AP34" s="8">
        <v>20306.430420054559</v>
      </c>
      <c r="AQ34" s="8">
        <v>20651.512355711286</v>
      </c>
      <c r="AR34" s="8">
        <v>20983.364085535075</v>
      </c>
      <c r="AS34" s="8">
        <v>21315.215815358864</v>
      </c>
      <c r="AT34" s="8">
        <v>21647.067545182657</v>
      </c>
      <c r="AU34" s="8">
        <v>21978.919275006447</v>
      </c>
      <c r="AV34" s="8">
        <v>22310.771004830236</v>
      </c>
      <c r="AW34" s="8">
        <v>22654.735688859106</v>
      </c>
      <c r="AX34" s="8">
        <v>22998.700372887975</v>
      </c>
      <c r="AY34" s="8">
        <v>23342.665056916849</v>
      </c>
      <c r="AZ34" s="8">
        <v>23686.629740945718</v>
      </c>
      <c r="BA34" s="8">
        <v>24030.594424974588</v>
      </c>
      <c r="BB34" s="2" t="s">
        <v>16</v>
      </c>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row>
    <row r="35" spans="1:80" x14ac:dyDescent="0.2">
      <c r="A35" s="3"/>
      <c r="B35" s="101" t="s">
        <v>169</v>
      </c>
      <c r="C35" s="8">
        <v>3502.9796675403722</v>
      </c>
      <c r="D35" s="8">
        <v>3633.5489236850945</v>
      </c>
      <c r="E35" s="8">
        <v>3764.1181798298171</v>
      </c>
      <c r="F35" s="8">
        <v>3894.6874359745393</v>
      </c>
      <c r="G35" s="8">
        <v>4025.256692119262</v>
      </c>
      <c r="H35" s="8">
        <v>4155.8259482639842</v>
      </c>
      <c r="I35" s="8">
        <v>4272.2037554176723</v>
      </c>
      <c r="J35" s="8">
        <v>4388.5815625713603</v>
      </c>
      <c r="K35" s="8">
        <v>4504.9593697250484</v>
      </c>
      <c r="L35" s="8">
        <v>4621.3371768787365</v>
      </c>
      <c r="M35" s="8">
        <v>4737.7149840324246</v>
      </c>
      <c r="N35" s="8">
        <v>4908.9068278813411</v>
      </c>
      <c r="O35" s="8">
        <v>5080.0986717302585</v>
      </c>
      <c r="P35" s="8">
        <v>5251.290515579175</v>
      </c>
      <c r="Q35" s="8">
        <v>5422.4823594280924</v>
      </c>
      <c r="R35" s="8">
        <v>5593.6742032770089</v>
      </c>
      <c r="S35" s="8">
        <v>5808.4067403556946</v>
      </c>
      <c r="T35" s="8">
        <v>6023.1392774343794</v>
      </c>
      <c r="U35" s="8">
        <v>6237.8718145130651</v>
      </c>
      <c r="V35" s="8">
        <v>6452.6043515917499</v>
      </c>
      <c r="W35" s="8">
        <v>6667.3368886704357</v>
      </c>
      <c r="X35" s="8">
        <v>6924.7322563422722</v>
      </c>
      <c r="Y35" s="8">
        <v>7182.1276240141087</v>
      </c>
      <c r="Z35" s="8">
        <v>7439.5229916859444</v>
      </c>
      <c r="AA35" s="8">
        <v>7696.9183593577809</v>
      </c>
      <c r="AB35" s="8">
        <v>7954.3137270296174</v>
      </c>
      <c r="AC35" s="8">
        <v>8222.8404732495474</v>
      </c>
      <c r="AD35" s="8">
        <v>8491.3672194694773</v>
      </c>
      <c r="AE35" s="8">
        <v>8759.8939656894072</v>
      </c>
      <c r="AF35" s="8">
        <v>9028.4207119093371</v>
      </c>
      <c r="AG35" s="8">
        <v>9296.947458129267</v>
      </c>
      <c r="AH35" s="8">
        <v>9587.0365800542968</v>
      </c>
      <c r="AI35" s="8">
        <v>9877.1257019793247</v>
      </c>
      <c r="AJ35" s="8">
        <v>10167.214823904354</v>
      </c>
      <c r="AK35" s="8">
        <v>10457.303945829382</v>
      </c>
      <c r="AL35" s="8">
        <v>10747.393067754412</v>
      </c>
      <c r="AM35" s="8">
        <v>11077.266562324385</v>
      </c>
      <c r="AN35" s="8">
        <v>11407.140056894357</v>
      </c>
      <c r="AO35" s="8">
        <v>11737.013551464328</v>
      </c>
      <c r="AP35" s="8">
        <v>12066.887046034301</v>
      </c>
      <c r="AQ35" s="8">
        <v>12396.760540604273</v>
      </c>
      <c r="AR35" s="8">
        <v>12741.831671520018</v>
      </c>
      <c r="AS35" s="8">
        <v>13086.902802435763</v>
      </c>
      <c r="AT35" s="8">
        <v>13431.973933351506</v>
      </c>
      <c r="AU35" s="8">
        <v>13777.045064267251</v>
      </c>
      <c r="AV35" s="8">
        <v>14122.116195182996</v>
      </c>
      <c r="AW35" s="8">
        <v>14443.843014504517</v>
      </c>
      <c r="AX35" s="8">
        <v>14765.569833826039</v>
      </c>
      <c r="AY35" s="8">
        <v>15087.296653147559</v>
      </c>
      <c r="AZ35" s="8">
        <v>15409.023472469082</v>
      </c>
      <c r="BA35" s="8">
        <v>15730.750291790602</v>
      </c>
      <c r="BB35" s="2" t="s">
        <v>16</v>
      </c>
      <c r="BC35" s="8"/>
    </row>
    <row r="36" spans="1:80" x14ac:dyDescent="0.2">
      <c r="A36" s="7"/>
      <c r="B36" s="101" t="s">
        <v>170</v>
      </c>
      <c r="C36" s="8">
        <v>572.75946513692202</v>
      </c>
      <c r="D36" s="8">
        <v>604.1587669087437</v>
      </c>
      <c r="E36" s="8">
        <v>635.5580686805655</v>
      </c>
      <c r="F36" s="8">
        <v>666.95737045238718</v>
      </c>
      <c r="G36" s="8">
        <v>698.35667222420898</v>
      </c>
      <c r="H36" s="8">
        <v>729.75597399603066</v>
      </c>
      <c r="I36" s="8">
        <v>754.48545586292767</v>
      </c>
      <c r="J36" s="8">
        <v>779.21493772982456</v>
      </c>
      <c r="K36" s="8">
        <v>803.94441959672156</v>
      </c>
      <c r="L36" s="8">
        <v>828.67390146361845</v>
      </c>
      <c r="M36" s="8">
        <v>853.40338333051545</v>
      </c>
      <c r="N36" s="8">
        <v>891.85568915818169</v>
      </c>
      <c r="O36" s="8">
        <v>930.30799498584793</v>
      </c>
      <c r="P36" s="8">
        <v>968.76030081351405</v>
      </c>
      <c r="Q36" s="8">
        <v>1007.2126066411803</v>
      </c>
      <c r="R36" s="8">
        <v>1045.6649124688465</v>
      </c>
      <c r="S36" s="8">
        <v>1096.941657739002</v>
      </c>
      <c r="T36" s="8">
        <v>1148.2184030091576</v>
      </c>
      <c r="U36" s="8">
        <v>1199.4951482793131</v>
      </c>
      <c r="V36" s="8">
        <v>1250.7718935494688</v>
      </c>
      <c r="W36" s="8">
        <v>1302.0486388196243</v>
      </c>
      <c r="X36" s="8">
        <v>1365.4422030788032</v>
      </c>
      <c r="Y36" s="8">
        <v>1428.8357673379824</v>
      </c>
      <c r="Z36" s="8">
        <v>1492.2293315971613</v>
      </c>
      <c r="AA36" s="8">
        <v>1555.6228958563404</v>
      </c>
      <c r="AB36" s="8">
        <v>1619.0164601155193</v>
      </c>
      <c r="AC36" s="8">
        <v>1695.2996558489231</v>
      </c>
      <c r="AD36" s="8">
        <v>1771.5828515823266</v>
      </c>
      <c r="AE36" s="8">
        <v>1847.8660473157304</v>
      </c>
      <c r="AF36" s="8">
        <v>1924.1492430491339</v>
      </c>
      <c r="AG36" s="8">
        <v>2000.4324387825377</v>
      </c>
      <c r="AH36" s="8">
        <v>2096.7838030293633</v>
      </c>
      <c r="AI36" s="8">
        <v>2193.1351672761889</v>
      </c>
      <c r="AJ36" s="8">
        <v>2289.4865315230145</v>
      </c>
      <c r="AK36" s="8">
        <v>2385.8378957698396</v>
      </c>
      <c r="AL36" s="8">
        <v>2482.1892600166652</v>
      </c>
      <c r="AM36" s="8">
        <v>2586.9647638352021</v>
      </c>
      <c r="AN36" s="8">
        <v>2691.740267653739</v>
      </c>
      <c r="AO36" s="8">
        <v>2796.5157714722759</v>
      </c>
      <c r="AP36" s="8">
        <v>2901.2912752908128</v>
      </c>
      <c r="AQ36" s="8">
        <v>3006.0667791093497</v>
      </c>
      <c r="AR36" s="8">
        <v>3139.1237154987452</v>
      </c>
      <c r="AS36" s="8">
        <v>3272.1806518881408</v>
      </c>
      <c r="AT36" s="8">
        <v>3405.2375882775368</v>
      </c>
      <c r="AU36" s="8">
        <v>3538.2945246669324</v>
      </c>
      <c r="AV36" s="8">
        <v>3671.3514610563279</v>
      </c>
      <c r="AW36" s="8">
        <v>3797.6429641458926</v>
      </c>
      <c r="AX36" s="8">
        <v>3923.9344672354573</v>
      </c>
      <c r="AY36" s="8">
        <v>4050.225970325022</v>
      </c>
      <c r="AZ36" s="8">
        <v>4176.5174734145867</v>
      </c>
      <c r="BA36" s="8">
        <v>4302.8089765041514</v>
      </c>
      <c r="BB36" s="2" t="s">
        <v>16</v>
      </c>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row>
    <row r="37" spans="1:80" x14ac:dyDescent="0.2">
      <c r="A37" s="7"/>
      <c r="B37" s="101" t="s">
        <v>171</v>
      </c>
      <c r="C37" s="8">
        <v>2930.2202024034505</v>
      </c>
      <c r="D37" s="8">
        <v>3029.390156776351</v>
      </c>
      <c r="E37" s="8">
        <v>3128.5601111492515</v>
      </c>
      <c r="F37" s="8">
        <v>3227.7300655221525</v>
      </c>
      <c r="G37" s="8">
        <v>3326.900019895053</v>
      </c>
      <c r="H37" s="8">
        <v>3426.0699742679535</v>
      </c>
      <c r="I37" s="8">
        <v>3517.7182995547446</v>
      </c>
      <c r="J37" s="8">
        <v>3609.3666248415357</v>
      </c>
      <c r="K37" s="8">
        <v>3701.0149501283267</v>
      </c>
      <c r="L37" s="8">
        <v>3792.6632754151178</v>
      </c>
      <c r="M37" s="8">
        <v>3884.3116007019089</v>
      </c>
      <c r="N37" s="8">
        <v>4017.0511387231595</v>
      </c>
      <c r="O37" s="8">
        <v>4149.7906767444101</v>
      </c>
      <c r="P37" s="8">
        <v>4282.5302147656612</v>
      </c>
      <c r="Q37" s="8">
        <v>4415.2697527869113</v>
      </c>
      <c r="R37" s="8">
        <v>4548.0092908081624</v>
      </c>
      <c r="S37" s="8">
        <v>4711.4650826166926</v>
      </c>
      <c r="T37" s="8">
        <v>4874.9208744252219</v>
      </c>
      <c r="U37" s="8">
        <v>5038.3766662337521</v>
      </c>
      <c r="V37" s="8">
        <v>5201.8324580422814</v>
      </c>
      <c r="W37" s="8">
        <v>5365.2882498508116</v>
      </c>
      <c r="X37" s="8">
        <v>5559.2900532634685</v>
      </c>
      <c r="Y37" s="8">
        <v>5753.2918566761264</v>
      </c>
      <c r="Z37" s="8">
        <v>5947.2936600887833</v>
      </c>
      <c r="AA37" s="8">
        <v>6141.2954635014412</v>
      </c>
      <c r="AB37" s="8">
        <v>6335.2972669140981</v>
      </c>
      <c r="AC37" s="8">
        <v>6527.5408174006243</v>
      </c>
      <c r="AD37" s="8">
        <v>6719.7843678871504</v>
      </c>
      <c r="AE37" s="8">
        <v>6912.0279183736766</v>
      </c>
      <c r="AF37" s="8">
        <v>7104.2714688602027</v>
      </c>
      <c r="AG37" s="8">
        <v>7296.5150193467289</v>
      </c>
      <c r="AH37" s="8">
        <v>7490.2527770249326</v>
      </c>
      <c r="AI37" s="8">
        <v>7683.9905347031363</v>
      </c>
      <c r="AJ37" s="8">
        <v>7877.72829238134</v>
      </c>
      <c r="AK37" s="8">
        <v>8071.4660500595437</v>
      </c>
      <c r="AL37" s="8">
        <v>8265.2038077377474</v>
      </c>
      <c r="AM37" s="8">
        <v>8490.3017984891831</v>
      </c>
      <c r="AN37" s="8">
        <v>8715.3997892406187</v>
      </c>
      <c r="AO37" s="8">
        <v>8940.4977799920525</v>
      </c>
      <c r="AP37" s="8">
        <v>9165.5957707434882</v>
      </c>
      <c r="AQ37" s="8">
        <v>9390.6937614949238</v>
      </c>
      <c r="AR37" s="8">
        <v>9602.7079560212733</v>
      </c>
      <c r="AS37" s="8">
        <v>9814.7221505476209</v>
      </c>
      <c r="AT37" s="8">
        <v>10026.73634507397</v>
      </c>
      <c r="AU37" s="8">
        <v>10238.750539600318</v>
      </c>
      <c r="AV37" s="8">
        <v>10450.764734126667</v>
      </c>
      <c r="AW37" s="8">
        <v>10646.200050358624</v>
      </c>
      <c r="AX37" s="8">
        <v>10841.635366590581</v>
      </c>
      <c r="AY37" s="8">
        <v>11037.070682822537</v>
      </c>
      <c r="AZ37" s="8">
        <v>11232.505999054494</v>
      </c>
      <c r="BA37" s="8">
        <v>11427.941315286451</v>
      </c>
      <c r="BB37" s="2" t="s">
        <v>16</v>
      </c>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row>
    <row r="38" spans="1:80" x14ac:dyDescent="0.2">
      <c r="A38" s="7"/>
      <c r="B38" s="101" t="s">
        <v>107</v>
      </c>
      <c r="C38" s="8">
        <v>4728.0190899918971</v>
      </c>
      <c r="D38" s="8">
        <v>5047.0652854847685</v>
      </c>
      <c r="E38" s="8">
        <v>5366.1114809776391</v>
      </c>
      <c r="F38" s="8">
        <v>5685.1576764705105</v>
      </c>
      <c r="G38" s="8">
        <v>6004.203871963382</v>
      </c>
      <c r="H38" s="8">
        <v>6323.2500674562525</v>
      </c>
      <c r="I38" s="8">
        <v>6522.5089322922149</v>
      </c>
      <c r="J38" s="8">
        <v>6721.7677971281773</v>
      </c>
      <c r="K38" s="8">
        <v>6921.0266619641397</v>
      </c>
      <c r="L38" s="8">
        <v>7120.2855268001022</v>
      </c>
      <c r="M38" s="8">
        <v>7319.5443916360646</v>
      </c>
      <c r="N38" s="8">
        <v>7568.103069994916</v>
      </c>
      <c r="O38" s="8">
        <v>7816.6617483537675</v>
      </c>
      <c r="P38" s="8">
        <v>8065.2204267126181</v>
      </c>
      <c r="Q38" s="8">
        <v>8313.7791050714695</v>
      </c>
      <c r="R38" s="8">
        <v>8562.337783430321</v>
      </c>
      <c r="S38" s="8">
        <v>8845.0708155059565</v>
      </c>
      <c r="T38" s="8">
        <v>9127.803847581592</v>
      </c>
      <c r="U38" s="8">
        <v>9410.5368796572293</v>
      </c>
      <c r="V38" s="8">
        <v>9693.2699117328648</v>
      </c>
      <c r="W38" s="8">
        <v>9976.0029438085003</v>
      </c>
      <c r="X38" s="8">
        <v>10295.756746758749</v>
      </c>
      <c r="Y38" s="8">
        <v>10615.510549708997</v>
      </c>
      <c r="Z38" s="8">
        <v>10935.264352659246</v>
      </c>
      <c r="AA38" s="8">
        <v>11255.018155609494</v>
      </c>
      <c r="AB38" s="8">
        <v>11574.771958559742</v>
      </c>
      <c r="AC38" s="8">
        <v>11922.161061100209</v>
      </c>
      <c r="AD38" s="8">
        <v>12269.550163640675</v>
      </c>
      <c r="AE38" s="8">
        <v>12616.939266181143</v>
      </c>
      <c r="AF38" s="8">
        <v>12964.32836872161</v>
      </c>
      <c r="AG38" s="8">
        <v>13311.717471262076</v>
      </c>
      <c r="AH38" s="8">
        <v>13691.758545108285</v>
      </c>
      <c r="AI38" s="8">
        <v>14071.799618954494</v>
      </c>
      <c r="AJ38" s="8">
        <v>14451.840692800703</v>
      </c>
      <c r="AK38" s="8">
        <v>14831.881766646911</v>
      </c>
      <c r="AL38" s="8">
        <v>15211.92284049312</v>
      </c>
      <c r="AM38" s="8">
        <v>15580.125472171636</v>
      </c>
      <c r="AN38" s="8">
        <v>15948.328103850152</v>
      </c>
      <c r="AO38" s="8">
        <v>16316.530735528668</v>
      </c>
      <c r="AP38" s="8">
        <v>16684.733367207184</v>
      </c>
      <c r="AQ38" s="8">
        <v>17052.9359988857</v>
      </c>
      <c r="AR38" s="8">
        <v>17410.506047176135</v>
      </c>
      <c r="AS38" s="8">
        <v>17768.076095466571</v>
      </c>
      <c r="AT38" s="8">
        <v>18125.646143757003</v>
      </c>
      <c r="AU38" s="8">
        <v>18483.216192047439</v>
      </c>
      <c r="AV38" s="8">
        <v>18840.786240337875</v>
      </c>
      <c r="AW38" s="8">
        <v>19222.470926651175</v>
      </c>
      <c r="AX38" s="8">
        <v>19604.155612964474</v>
      </c>
      <c r="AY38" s="8">
        <v>19985.840299277774</v>
      </c>
      <c r="AZ38" s="8">
        <v>20367.524985591073</v>
      </c>
      <c r="BA38" s="8">
        <v>20749.209671904373</v>
      </c>
      <c r="BB38" s="2" t="s">
        <v>16</v>
      </c>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row>
    <row r="39" spans="1:80" x14ac:dyDescent="0.2">
      <c r="A39" s="7"/>
      <c r="B39" s="101" t="s">
        <v>8</v>
      </c>
      <c r="C39" s="8">
        <v>113317.05521827494</v>
      </c>
      <c r="D39" s="8">
        <v>118232.99106900921</v>
      </c>
      <c r="E39" s="8">
        <v>123148.92691974349</v>
      </c>
      <c r="F39" s="8">
        <v>128064.86277047776</v>
      </c>
      <c r="G39" s="8">
        <v>132980.79862121204</v>
      </c>
      <c r="H39" s="8">
        <v>137896.73447194631</v>
      </c>
      <c r="I39" s="8">
        <v>143300.89361583319</v>
      </c>
      <c r="J39" s="8">
        <v>148705.0527597201</v>
      </c>
      <c r="K39" s="8">
        <v>154109.21190360698</v>
      </c>
      <c r="L39" s="8">
        <v>159513.37104749389</v>
      </c>
      <c r="M39" s="8">
        <v>164917.53019138076</v>
      </c>
      <c r="N39" s="8">
        <v>170657.1942769048</v>
      </c>
      <c r="O39" s="8">
        <v>176396.85836242881</v>
      </c>
      <c r="P39" s="8">
        <v>182136.52244795286</v>
      </c>
      <c r="Q39" s="8">
        <v>187876.18653347687</v>
      </c>
      <c r="R39" s="8">
        <v>193615.85061900091</v>
      </c>
      <c r="S39" s="8">
        <v>200201.03687609916</v>
      </c>
      <c r="T39" s="8">
        <v>206786.2231331974</v>
      </c>
      <c r="U39" s="8">
        <v>213371.40939029568</v>
      </c>
      <c r="V39" s="8">
        <v>219956.59564739393</v>
      </c>
      <c r="W39" s="8">
        <v>226541.78190449218</v>
      </c>
      <c r="X39" s="8">
        <v>233769.47809594369</v>
      </c>
      <c r="Y39" s="8">
        <v>240997.1742873952</v>
      </c>
      <c r="Z39" s="8">
        <v>248224.87047884671</v>
      </c>
      <c r="AA39" s="8">
        <v>255452.56667029823</v>
      </c>
      <c r="AB39" s="8">
        <v>262680.26286174974</v>
      </c>
      <c r="AC39" s="8">
        <v>270617.76022084482</v>
      </c>
      <c r="AD39" s="8">
        <v>278555.25757993985</v>
      </c>
      <c r="AE39" s="8">
        <v>286492.75493903493</v>
      </c>
      <c r="AF39" s="8">
        <v>294430.25229812996</v>
      </c>
      <c r="AG39" s="8">
        <v>302367.74965722504</v>
      </c>
      <c r="AH39" s="8">
        <v>311335.22180992697</v>
      </c>
      <c r="AI39" s="8">
        <v>320302.69396262889</v>
      </c>
      <c r="AJ39" s="8">
        <v>329270.16611533088</v>
      </c>
      <c r="AK39" s="8">
        <v>338237.63826803281</v>
      </c>
      <c r="AL39" s="8">
        <v>347205.11042073474</v>
      </c>
      <c r="AM39" s="8">
        <v>358175.97136246751</v>
      </c>
      <c r="AN39" s="8">
        <v>369146.83230420027</v>
      </c>
      <c r="AO39" s="8">
        <v>380117.69324593304</v>
      </c>
      <c r="AP39" s="8">
        <v>391088.55418766581</v>
      </c>
      <c r="AQ39" s="8">
        <v>402059.41512939858</v>
      </c>
      <c r="AR39" s="8">
        <v>409361.88282749971</v>
      </c>
      <c r="AS39" s="8">
        <v>416664.35052560089</v>
      </c>
      <c r="AT39" s="8">
        <v>423966.81822370202</v>
      </c>
      <c r="AU39" s="8">
        <v>431269.28592180321</v>
      </c>
      <c r="AV39" s="8">
        <v>438571.75361990434</v>
      </c>
      <c r="AW39" s="8">
        <v>445782.45854569995</v>
      </c>
      <c r="AX39" s="8">
        <v>452993.16347149556</v>
      </c>
      <c r="AY39" s="8">
        <v>460203.86839729117</v>
      </c>
      <c r="AZ39" s="8">
        <v>467414.57332308678</v>
      </c>
      <c r="BA39" s="8">
        <v>474625.27824888239</v>
      </c>
      <c r="BB39" s="102" t="s">
        <v>17</v>
      </c>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row>
    <row r="40" spans="1:80" x14ac:dyDescent="0.2">
      <c r="A40" s="7"/>
      <c r="B40" s="101" t="s">
        <v>181</v>
      </c>
      <c r="C40" s="8">
        <v>2.3336344289287259</v>
      </c>
      <c r="D40" s="8">
        <v>2.4808176199682683</v>
      </c>
      <c r="E40" s="8">
        <v>2.6280008110078108</v>
      </c>
      <c r="F40" s="8">
        <v>2.7751840020473537</v>
      </c>
      <c r="G40" s="8">
        <v>2.9223671930868962</v>
      </c>
      <c r="H40" s="8">
        <v>3.0695503841264387</v>
      </c>
      <c r="I40" s="8">
        <v>3.0081593764439098</v>
      </c>
      <c r="J40" s="8">
        <v>2.946768368761381</v>
      </c>
      <c r="K40" s="8">
        <v>2.8853773610788522</v>
      </c>
      <c r="L40" s="8">
        <v>2.8239863533963234</v>
      </c>
      <c r="M40" s="8">
        <v>2.7625953457137946</v>
      </c>
      <c r="N40" s="8">
        <v>2.7073434387995188</v>
      </c>
      <c r="O40" s="8">
        <v>2.6520915318852429</v>
      </c>
      <c r="P40" s="8">
        <v>2.5968396249709671</v>
      </c>
      <c r="Q40" s="8">
        <v>2.5415877180566913</v>
      </c>
      <c r="R40" s="8">
        <v>2.4863358111424154</v>
      </c>
      <c r="S40" s="8">
        <v>2.4366090949195671</v>
      </c>
      <c r="T40" s="8">
        <v>2.3868823786967188</v>
      </c>
      <c r="U40" s="8">
        <v>2.3371556624738705</v>
      </c>
      <c r="V40" s="8">
        <v>2.2874289462510222</v>
      </c>
      <c r="W40" s="8">
        <v>2.2377022300281739</v>
      </c>
      <c r="X40" s="8">
        <v>2.1929481854276105</v>
      </c>
      <c r="Y40" s="8">
        <v>2.1481941408270471</v>
      </c>
      <c r="Z40" s="8">
        <v>2.1034400962264832</v>
      </c>
      <c r="AA40" s="8">
        <v>2.0586860516259198</v>
      </c>
      <c r="AB40" s="8">
        <v>2.0139320070253564</v>
      </c>
      <c r="AC40" s="8">
        <v>1.9736533668848493</v>
      </c>
      <c r="AD40" s="8">
        <v>1.933374726744342</v>
      </c>
      <c r="AE40" s="8">
        <v>1.8930960866038349</v>
      </c>
      <c r="AF40" s="8">
        <v>1.8528174464633276</v>
      </c>
      <c r="AG40" s="8">
        <v>1.8125388063228205</v>
      </c>
      <c r="AH40" s="8">
        <v>1.7762880301963642</v>
      </c>
      <c r="AI40" s="8">
        <v>1.7400372540699078</v>
      </c>
      <c r="AJ40" s="8">
        <v>1.7037864779434513</v>
      </c>
      <c r="AK40" s="8">
        <v>1.667535701816995</v>
      </c>
      <c r="AL40" s="8">
        <v>1.6312849256905386</v>
      </c>
      <c r="AM40" s="8">
        <v>1.5986592271767277</v>
      </c>
      <c r="AN40" s="8">
        <v>1.5660335286629168</v>
      </c>
      <c r="AO40" s="8">
        <v>1.5334078301491061</v>
      </c>
      <c r="AP40" s="8">
        <v>1.5007821316352952</v>
      </c>
      <c r="AQ40" s="8">
        <v>1.4681564331214843</v>
      </c>
      <c r="AR40" s="8">
        <v>1.4387933044590546</v>
      </c>
      <c r="AS40" s="8">
        <v>1.409430175796625</v>
      </c>
      <c r="AT40" s="8">
        <v>1.3800670471341956</v>
      </c>
      <c r="AU40" s="8">
        <v>1.350703918471766</v>
      </c>
      <c r="AV40" s="8">
        <v>1.3213407898093363</v>
      </c>
      <c r="AW40" s="8">
        <v>1.2949139740131497</v>
      </c>
      <c r="AX40" s="8">
        <v>1.2684871582169628</v>
      </c>
      <c r="AY40" s="8">
        <v>1.2420603424207761</v>
      </c>
      <c r="AZ40" s="8">
        <v>1.2156335266245892</v>
      </c>
      <c r="BA40" s="8">
        <v>1.1892067108284026</v>
      </c>
      <c r="BB40" s="102" t="s">
        <v>17</v>
      </c>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row>
    <row r="41" spans="1:80" x14ac:dyDescent="0.2">
      <c r="A41" s="7"/>
      <c r="B41" s="101" t="s">
        <v>172</v>
      </c>
      <c r="C41" s="8">
        <v>1120.2478370494468</v>
      </c>
      <c r="D41" s="8">
        <v>1148.7067651303728</v>
      </c>
      <c r="E41" s="8">
        <v>1177.1656932112985</v>
      </c>
      <c r="F41" s="8">
        <v>1205.6246212922244</v>
      </c>
      <c r="G41" s="8">
        <v>1234.0835493731502</v>
      </c>
      <c r="H41" s="8">
        <v>1262.5424774540761</v>
      </c>
      <c r="I41" s="8">
        <v>1286.1946630193988</v>
      </c>
      <c r="J41" s="8">
        <v>1309.8468485847216</v>
      </c>
      <c r="K41" s="8">
        <v>1333.4990341500445</v>
      </c>
      <c r="L41" s="8">
        <v>1357.1512197153672</v>
      </c>
      <c r="M41" s="8">
        <v>1380.80340528069</v>
      </c>
      <c r="N41" s="8">
        <v>1417.3356963761853</v>
      </c>
      <c r="O41" s="8">
        <v>1453.8679874716804</v>
      </c>
      <c r="P41" s="8">
        <v>1490.4002785671757</v>
      </c>
      <c r="Q41" s="8">
        <v>1526.9325696626709</v>
      </c>
      <c r="R41" s="8">
        <v>1563.4648607581662</v>
      </c>
      <c r="S41" s="8">
        <v>1609.0939217718217</v>
      </c>
      <c r="T41" s="8">
        <v>1654.7229827854774</v>
      </c>
      <c r="U41" s="8">
        <v>1700.3520437991328</v>
      </c>
      <c r="V41" s="8">
        <v>1745.9811048127885</v>
      </c>
      <c r="W41" s="8">
        <v>1791.610165826444</v>
      </c>
      <c r="X41" s="8">
        <v>1832.5230406509099</v>
      </c>
      <c r="Y41" s="8">
        <v>1873.4359154753756</v>
      </c>
      <c r="Z41" s="8">
        <v>1914.3487902998415</v>
      </c>
      <c r="AA41" s="8">
        <v>1955.2616651243072</v>
      </c>
      <c r="AB41" s="8">
        <v>1996.1745399487731</v>
      </c>
      <c r="AC41" s="8">
        <v>2032.3080573846696</v>
      </c>
      <c r="AD41" s="8">
        <v>2068.4415748205661</v>
      </c>
      <c r="AE41" s="8">
        <v>2104.575092256463</v>
      </c>
      <c r="AF41" s="8">
        <v>2140.7086096923595</v>
      </c>
      <c r="AG41" s="8">
        <v>2176.8421271282559</v>
      </c>
      <c r="AH41" s="8">
        <v>2211.5112329464223</v>
      </c>
      <c r="AI41" s="8">
        <v>2246.1803387645887</v>
      </c>
      <c r="AJ41" s="8">
        <v>2280.849444582755</v>
      </c>
      <c r="AK41" s="8">
        <v>2315.5185504009214</v>
      </c>
      <c r="AL41" s="8">
        <v>2350.1876562190878</v>
      </c>
      <c r="AM41" s="8">
        <v>2386.8618553759311</v>
      </c>
      <c r="AN41" s="8">
        <v>2423.5360545327744</v>
      </c>
      <c r="AO41" s="8">
        <v>2460.2102536896173</v>
      </c>
      <c r="AP41" s="8">
        <v>2496.8844528464606</v>
      </c>
      <c r="AQ41" s="8">
        <v>2533.5586520033039</v>
      </c>
      <c r="AR41" s="8">
        <v>2572.4760762254618</v>
      </c>
      <c r="AS41" s="8">
        <v>2611.3935004476198</v>
      </c>
      <c r="AT41" s="8">
        <v>2650.3109246697777</v>
      </c>
      <c r="AU41" s="8">
        <v>2689.2283488919356</v>
      </c>
      <c r="AV41" s="8">
        <v>2728.1457731140936</v>
      </c>
      <c r="AW41" s="8">
        <v>2765.3135563854557</v>
      </c>
      <c r="AX41" s="8">
        <v>2802.4813396568179</v>
      </c>
      <c r="AY41" s="8">
        <v>2839.6491229281801</v>
      </c>
      <c r="AZ41" s="8">
        <v>2876.8169061995422</v>
      </c>
      <c r="BA41" s="8">
        <v>2913.9846894709044</v>
      </c>
      <c r="BB41" s="102" t="s">
        <v>17</v>
      </c>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row>
    <row r="42" spans="1:80" x14ac:dyDescent="0.2">
      <c r="A42" s="7"/>
      <c r="B42" s="101" t="s">
        <v>180</v>
      </c>
      <c r="C42" s="8">
        <v>6810.0523093494985</v>
      </c>
      <c r="D42" s="8">
        <v>7213.9035347213558</v>
      </c>
      <c r="E42" s="8">
        <v>7617.7547600932139</v>
      </c>
      <c r="F42" s="8">
        <v>8021.6059854650712</v>
      </c>
      <c r="G42" s="8">
        <v>8425.4572108369284</v>
      </c>
      <c r="H42" s="8">
        <v>8829.3084362087866</v>
      </c>
      <c r="I42" s="8">
        <v>8876.0241357391278</v>
      </c>
      <c r="J42" s="8">
        <v>8922.739835269469</v>
      </c>
      <c r="K42" s="8">
        <v>8969.4555347998103</v>
      </c>
      <c r="L42" s="8">
        <v>9016.1712343301515</v>
      </c>
      <c r="M42" s="8">
        <v>9062.8869338604927</v>
      </c>
      <c r="N42" s="8">
        <v>9202.7947477322523</v>
      </c>
      <c r="O42" s="8">
        <v>9342.7025616040119</v>
      </c>
      <c r="P42" s="8">
        <v>9482.6103754757714</v>
      </c>
      <c r="Q42" s="8">
        <v>9622.518189347531</v>
      </c>
      <c r="R42" s="8">
        <v>9762.4260032192906</v>
      </c>
      <c r="S42" s="8">
        <v>10101.176549094096</v>
      </c>
      <c r="T42" s="8">
        <v>10439.9270949689</v>
      </c>
      <c r="U42" s="8">
        <v>10778.677640843705</v>
      </c>
      <c r="V42" s="8">
        <v>11117.428186718509</v>
      </c>
      <c r="W42" s="8">
        <v>11456.178732593315</v>
      </c>
      <c r="X42" s="8">
        <v>11709.396433130674</v>
      </c>
      <c r="Y42" s="8">
        <v>11962.614133668036</v>
      </c>
      <c r="Z42" s="8">
        <v>12215.831834205395</v>
      </c>
      <c r="AA42" s="8">
        <v>12469.049534742757</v>
      </c>
      <c r="AB42" s="8">
        <v>12722.267235280116</v>
      </c>
      <c r="AC42" s="8">
        <v>12828.12612176252</v>
      </c>
      <c r="AD42" s="8">
        <v>12933.985008244923</v>
      </c>
      <c r="AE42" s="8">
        <v>13039.843894727328</v>
      </c>
      <c r="AF42" s="8">
        <v>13145.702781209731</v>
      </c>
      <c r="AG42" s="8">
        <v>13251.561667692135</v>
      </c>
      <c r="AH42" s="8">
        <v>13298.264259329648</v>
      </c>
      <c r="AI42" s="8">
        <v>13344.966850967161</v>
      </c>
      <c r="AJ42" s="8">
        <v>13391.669442604676</v>
      </c>
      <c r="AK42" s="8">
        <v>13438.372034242189</v>
      </c>
      <c r="AL42" s="8">
        <v>13485.074625879703</v>
      </c>
      <c r="AM42" s="8">
        <v>13583.065433368492</v>
      </c>
      <c r="AN42" s="8">
        <v>13681.056240857282</v>
      </c>
      <c r="AO42" s="8">
        <v>13779.047048346074</v>
      </c>
      <c r="AP42" s="8">
        <v>13877.037855834864</v>
      </c>
      <c r="AQ42" s="8">
        <v>13975.028663323654</v>
      </c>
      <c r="AR42" s="8">
        <v>14099.865447231759</v>
      </c>
      <c r="AS42" s="8">
        <v>14224.702231139865</v>
      </c>
      <c r="AT42" s="8">
        <v>14349.539015047971</v>
      </c>
      <c r="AU42" s="8">
        <v>14474.375798956076</v>
      </c>
      <c r="AV42" s="8">
        <v>14599.212582864182</v>
      </c>
      <c r="AW42" s="8">
        <v>14718.182456932711</v>
      </c>
      <c r="AX42" s="8">
        <v>14837.15233100124</v>
      </c>
      <c r="AY42" s="8">
        <v>14956.122205069769</v>
      </c>
      <c r="AZ42" s="8">
        <v>15075.092079138298</v>
      </c>
      <c r="BA42" s="8">
        <v>15194.061953206827</v>
      </c>
      <c r="BB42" s="102" t="s">
        <v>17</v>
      </c>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row>
    <row r="43" spans="1:80" x14ac:dyDescent="0.2">
      <c r="A43" s="7"/>
      <c r="B43" s="101" t="s">
        <v>179</v>
      </c>
      <c r="C43" s="8">
        <v>13776.477488435143</v>
      </c>
      <c r="D43" s="8">
        <v>14559.936763502861</v>
      </c>
      <c r="E43" s="8">
        <v>15343.39603857058</v>
      </c>
      <c r="F43" s="8">
        <v>16126.855313638298</v>
      </c>
      <c r="G43" s="8">
        <v>16910.314588706016</v>
      </c>
      <c r="H43" s="8">
        <v>17693.773863773735</v>
      </c>
      <c r="I43" s="8">
        <v>18720.34501106005</v>
      </c>
      <c r="J43" s="8">
        <v>19746.916158346365</v>
      </c>
      <c r="K43" s="8">
        <v>20773.487305632683</v>
      </c>
      <c r="L43" s="8">
        <v>21800.058452918998</v>
      </c>
      <c r="M43" s="8">
        <v>22826.629600205313</v>
      </c>
      <c r="N43" s="8">
        <v>23918.570432266759</v>
      </c>
      <c r="O43" s="8">
        <v>25010.511264328205</v>
      </c>
      <c r="P43" s="8">
        <v>26102.45209638965</v>
      </c>
      <c r="Q43" s="8">
        <v>27194.3929284511</v>
      </c>
      <c r="R43" s="8">
        <v>28286.333760512545</v>
      </c>
      <c r="S43" s="8">
        <v>29443.644277349122</v>
      </c>
      <c r="T43" s="8">
        <v>30600.954794185702</v>
      </c>
      <c r="U43" s="8">
        <v>31758.265311022278</v>
      </c>
      <c r="V43" s="8">
        <v>32915.575827858855</v>
      </c>
      <c r="W43" s="8">
        <v>34072.886344695435</v>
      </c>
      <c r="X43" s="8">
        <v>35295.566546307142</v>
      </c>
      <c r="Y43" s="8">
        <v>36518.246747918856</v>
      </c>
      <c r="Z43" s="8">
        <v>37740.926949530563</v>
      </c>
      <c r="AA43" s="8">
        <v>38963.607151142278</v>
      </c>
      <c r="AB43" s="8">
        <v>40186.287352753985</v>
      </c>
      <c r="AC43" s="8">
        <v>41474.337239140827</v>
      </c>
      <c r="AD43" s="8">
        <v>42762.387125527668</v>
      </c>
      <c r="AE43" s="8">
        <v>44050.437011914517</v>
      </c>
      <c r="AF43" s="8">
        <v>45338.486898301358</v>
      </c>
      <c r="AG43" s="8">
        <v>46626.5367846882</v>
      </c>
      <c r="AH43" s="8">
        <v>47979.956355850176</v>
      </c>
      <c r="AI43" s="8">
        <v>49333.375927012145</v>
      </c>
      <c r="AJ43" s="8">
        <v>50686.79549817412</v>
      </c>
      <c r="AK43" s="8">
        <v>52040.215069336089</v>
      </c>
      <c r="AL43" s="8">
        <v>53393.634640498065</v>
      </c>
      <c r="AM43" s="8">
        <v>54812.423896435168</v>
      </c>
      <c r="AN43" s="8">
        <v>56231.213152372271</v>
      </c>
      <c r="AO43" s="8">
        <v>57650.002408309374</v>
      </c>
      <c r="AP43" s="8">
        <v>59068.791664246477</v>
      </c>
      <c r="AQ43" s="8">
        <v>60487.58092018358</v>
      </c>
      <c r="AR43" s="8">
        <v>61971.739860895817</v>
      </c>
      <c r="AS43" s="8">
        <v>63455.898801608055</v>
      </c>
      <c r="AT43" s="8">
        <v>64940.057742320292</v>
      </c>
      <c r="AU43" s="8">
        <v>66424.21668303253</v>
      </c>
      <c r="AV43" s="8">
        <v>67908.375623744767</v>
      </c>
      <c r="AW43" s="8">
        <v>69457.904249232131</v>
      </c>
      <c r="AX43" s="8">
        <v>71007.432874719496</v>
      </c>
      <c r="AY43" s="8">
        <v>72556.961500206875</v>
      </c>
      <c r="AZ43" s="8">
        <v>74106.490125694239</v>
      </c>
      <c r="BA43" s="8">
        <v>75656.018751181604</v>
      </c>
      <c r="BB43" s="102" t="s">
        <v>17</v>
      </c>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row>
    <row r="44" spans="1:80" x14ac:dyDescent="0.2">
      <c r="A44" s="7"/>
      <c r="B44" s="101" t="s">
        <v>137</v>
      </c>
      <c r="C44" s="8">
        <v>20586.529797784642</v>
      </c>
      <c r="D44" s="8">
        <v>21773.840298224219</v>
      </c>
      <c r="E44" s="8">
        <v>22961.150798663795</v>
      </c>
      <c r="F44" s="8">
        <v>24148.461299103372</v>
      </c>
      <c r="G44" s="8">
        <v>25335.771799542945</v>
      </c>
      <c r="H44" s="8">
        <v>26523.082299982521</v>
      </c>
      <c r="I44" s="8">
        <v>27596.369146799178</v>
      </c>
      <c r="J44" s="8">
        <v>28669.655993615834</v>
      </c>
      <c r="K44" s="8">
        <v>29742.942840432494</v>
      </c>
      <c r="L44" s="8">
        <v>30816.22968724915</v>
      </c>
      <c r="M44" s="8">
        <v>31889.516534065806</v>
      </c>
      <c r="N44" s="8">
        <v>33121.365179999011</v>
      </c>
      <c r="O44" s="8">
        <v>34353.213825932216</v>
      </c>
      <c r="P44" s="8">
        <v>35585.062471865429</v>
      </c>
      <c r="Q44" s="8">
        <v>36816.911117798634</v>
      </c>
      <c r="R44" s="8">
        <v>38048.759763731839</v>
      </c>
      <c r="S44" s="8">
        <v>39544.820826443218</v>
      </c>
      <c r="T44" s="8">
        <v>41040.881889154603</v>
      </c>
      <c r="U44" s="8">
        <v>42536.942951865982</v>
      </c>
      <c r="V44" s="8">
        <v>44033.004014577367</v>
      </c>
      <c r="W44" s="8">
        <v>45529.065077288746</v>
      </c>
      <c r="X44" s="8">
        <v>47004.96297943782</v>
      </c>
      <c r="Y44" s="8">
        <v>48480.860881586887</v>
      </c>
      <c r="Z44" s="8">
        <v>49956.758783735961</v>
      </c>
      <c r="AA44" s="8">
        <v>51432.656685885027</v>
      </c>
      <c r="AB44" s="8">
        <v>52908.554588034101</v>
      </c>
      <c r="AC44" s="8">
        <v>54302.463360903348</v>
      </c>
      <c r="AD44" s="8">
        <v>55696.372133772595</v>
      </c>
      <c r="AE44" s="8">
        <v>57090.280906641841</v>
      </c>
      <c r="AF44" s="8">
        <v>58484.189679511088</v>
      </c>
      <c r="AG44" s="8">
        <v>59878.098452380334</v>
      </c>
      <c r="AH44" s="8">
        <v>61278.220615179824</v>
      </c>
      <c r="AI44" s="8">
        <v>62678.342777979313</v>
      </c>
      <c r="AJ44" s="8">
        <v>64078.464940778795</v>
      </c>
      <c r="AK44" s="8">
        <v>65478.587103578284</v>
      </c>
      <c r="AL44" s="8">
        <v>66878.709266377773</v>
      </c>
      <c r="AM44" s="8">
        <v>68395.489329803662</v>
      </c>
      <c r="AN44" s="8">
        <v>69912.269393229551</v>
      </c>
      <c r="AO44" s="8">
        <v>71429.049456655455</v>
      </c>
      <c r="AP44" s="8">
        <v>72945.829520081345</v>
      </c>
      <c r="AQ44" s="8">
        <v>74462.609583507234</v>
      </c>
      <c r="AR44" s="8">
        <v>76071.605308127575</v>
      </c>
      <c r="AS44" s="8">
        <v>77680.601032747916</v>
      </c>
      <c r="AT44" s="8">
        <v>79289.596757368272</v>
      </c>
      <c r="AU44" s="8">
        <v>80898.592481988613</v>
      </c>
      <c r="AV44" s="8">
        <v>82507.588206608954</v>
      </c>
      <c r="AW44" s="8">
        <v>84176.086706164846</v>
      </c>
      <c r="AX44" s="8">
        <v>85844.585205720738</v>
      </c>
      <c r="AY44" s="8">
        <v>87513.083705276644</v>
      </c>
      <c r="AZ44" s="8">
        <v>89181.582204832535</v>
      </c>
      <c r="BA44" s="8">
        <v>90850.080704388427</v>
      </c>
      <c r="BB44" s="102" t="s">
        <v>17</v>
      </c>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row>
    <row r="45" spans="1:80" x14ac:dyDescent="0.2">
      <c r="A45" s="7"/>
      <c r="B45" s="101" t="s">
        <v>173</v>
      </c>
      <c r="C45" s="8">
        <v>9478.2855449419058</v>
      </c>
      <c r="D45" s="8">
        <v>9748.1199400448495</v>
      </c>
      <c r="E45" s="8">
        <v>10017.954335147793</v>
      </c>
      <c r="F45" s="8">
        <v>10287.788730250739</v>
      </c>
      <c r="G45" s="8">
        <v>10557.623125353683</v>
      </c>
      <c r="H45" s="8">
        <v>10827.457520456626</v>
      </c>
      <c r="I45" s="8">
        <v>11364.86524133184</v>
      </c>
      <c r="J45" s="8">
        <v>11902.272962207053</v>
      </c>
      <c r="K45" s="8">
        <v>12439.680683082268</v>
      </c>
      <c r="L45" s="8">
        <v>12977.088403957481</v>
      </c>
      <c r="M45" s="8">
        <v>13514.496124832694</v>
      </c>
      <c r="N45" s="8">
        <v>13913.943498353085</v>
      </c>
      <c r="O45" s="8">
        <v>14313.390871873475</v>
      </c>
      <c r="P45" s="8">
        <v>14712.838245393865</v>
      </c>
      <c r="Q45" s="8">
        <v>15112.285618914255</v>
      </c>
      <c r="R45" s="8">
        <v>15511.732992434645</v>
      </c>
      <c r="S45" s="8">
        <v>15943.916171439687</v>
      </c>
      <c r="T45" s="8">
        <v>16376.099350444731</v>
      </c>
      <c r="U45" s="8">
        <v>16808.282529449774</v>
      </c>
      <c r="V45" s="8">
        <v>17240.465708454816</v>
      </c>
      <c r="W45" s="8">
        <v>17672.648887459858</v>
      </c>
      <c r="X45" s="8">
        <v>18101.315209224529</v>
      </c>
      <c r="Y45" s="8">
        <v>18529.9815309892</v>
      </c>
      <c r="Z45" s="8">
        <v>18958.647852753867</v>
      </c>
      <c r="AA45" s="8">
        <v>19387.314174518538</v>
      </c>
      <c r="AB45" s="8">
        <v>19815.98049628321</v>
      </c>
      <c r="AC45" s="8">
        <v>20215.883192215631</v>
      </c>
      <c r="AD45" s="8">
        <v>20615.785888148057</v>
      </c>
      <c r="AE45" s="8">
        <v>21015.688584080479</v>
      </c>
      <c r="AF45" s="8">
        <v>21415.591280012904</v>
      </c>
      <c r="AG45" s="8">
        <v>21815.493975945326</v>
      </c>
      <c r="AH45" s="8">
        <v>22186.912709803088</v>
      </c>
      <c r="AI45" s="8">
        <v>22558.331443660849</v>
      </c>
      <c r="AJ45" s="8">
        <v>22929.75017751861</v>
      </c>
      <c r="AK45" s="8">
        <v>23301.168911376371</v>
      </c>
      <c r="AL45" s="8">
        <v>23672.587645234133</v>
      </c>
      <c r="AM45" s="8">
        <v>24007.303794357038</v>
      </c>
      <c r="AN45" s="8">
        <v>24342.019943479943</v>
      </c>
      <c r="AO45" s="8">
        <v>24676.736092602849</v>
      </c>
      <c r="AP45" s="8">
        <v>25011.452241725754</v>
      </c>
      <c r="AQ45" s="8">
        <v>25346.168390848659</v>
      </c>
      <c r="AR45" s="8">
        <v>25647.691256045931</v>
      </c>
      <c r="AS45" s="8">
        <v>25949.214121243203</v>
      </c>
      <c r="AT45" s="8">
        <v>26250.736986440472</v>
      </c>
      <c r="AU45" s="8">
        <v>26552.259851637744</v>
      </c>
      <c r="AV45" s="8">
        <v>26853.782716835016</v>
      </c>
      <c r="AW45" s="8">
        <v>27126.379570888526</v>
      </c>
      <c r="AX45" s="8">
        <v>27398.97642494204</v>
      </c>
      <c r="AY45" s="8">
        <v>27671.573278995551</v>
      </c>
      <c r="AZ45" s="8">
        <v>27944.170133049065</v>
      </c>
      <c r="BA45" s="8">
        <v>28216.766987102576</v>
      </c>
      <c r="BB45" s="102" t="s">
        <v>17</v>
      </c>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row>
    <row r="46" spans="1:80" x14ac:dyDescent="0.2">
      <c r="A46" s="7"/>
      <c r="B46" s="101" t="s">
        <v>174</v>
      </c>
      <c r="C46" s="8">
        <v>82129.658404070011</v>
      </c>
      <c r="D46" s="8">
        <v>85559.843247989804</v>
      </c>
      <c r="E46" s="8">
        <v>88990.028091909582</v>
      </c>
      <c r="F46" s="8">
        <v>92420.212935829375</v>
      </c>
      <c r="G46" s="8">
        <v>95850.397779749153</v>
      </c>
      <c r="H46" s="8">
        <v>99280.582623668946</v>
      </c>
      <c r="I46" s="8">
        <v>103050.45640530632</v>
      </c>
      <c r="J46" s="8">
        <v>106820.33018694371</v>
      </c>
      <c r="K46" s="8">
        <v>110590.20396858109</v>
      </c>
      <c r="L46" s="8">
        <v>114360.07775021848</v>
      </c>
      <c r="M46" s="8">
        <v>118129.95153185586</v>
      </c>
      <c r="N46" s="8">
        <v>122201.84255873771</v>
      </c>
      <c r="O46" s="8">
        <v>126273.73358561957</v>
      </c>
      <c r="P46" s="8">
        <v>130345.62461250141</v>
      </c>
      <c r="Q46" s="8">
        <v>134417.51563938329</v>
      </c>
      <c r="R46" s="8">
        <v>138489.40666626513</v>
      </c>
      <c r="S46" s="8">
        <v>143100.76934734953</v>
      </c>
      <c r="T46" s="8">
        <v>147712.13202843393</v>
      </c>
      <c r="U46" s="8">
        <v>152323.4947095183</v>
      </c>
      <c r="V46" s="8">
        <v>156934.8573906027</v>
      </c>
      <c r="W46" s="8">
        <v>161546.2200716871</v>
      </c>
      <c r="X46" s="8">
        <v>166828.48391844501</v>
      </c>
      <c r="Y46" s="8">
        <v>172110.74776520292</v>
      </c>
      <c r="Z46" s="8">
        <v>177393.01161196083</v>
      </c>
      <c r="AA46" s="8">
        <v>182675.27545871874</v>
      </c>
      <c r="AB46" s="8">
        <v>187957.53930547665</v>
      </c>
      <c r="AC46" s="8">
        <v>194065.13195697428</v>
      </c>
      <c r="AD46" s="8">
        <v>200172.72460847191</v>
      </c>
      <c r="AE46" s="8">
        <v>206280.31725996954</v>
      </c>
      <c r="AF46" s="8">
        <v>212387.90991146717</v>
      </c>
      <c r="AG46" s="8">
        <v>218495.5025629648</v>
      </c>
      <c r="AH46" s="8">
        <v>225656.80096396746</v>
      </c>
      <c r="AI46" s="8">
        <v>232818.09936497011</v>
      </c>
      <c r="AJ46" s="8">
        <v>239979.39776597277</v>
      </c>
      <c r="AK46" s="8">
        <v>247140.69616697542</v>
      </c>
      <c r="AL46" s="8">
        <v>254301.99456797808</v>
      </c>
      <c r="AM46" s="8">
        <v>263384.71772370371</v>
      </c>
      <c r="AN46" s="8">
        <v>272467.44087942934</v>
      </c>
      <c r="AO46" s="8">
        <v>281550.16403515503</v>
      </c>
      <c r="AP46" s="8">
        <v>290632.88719088066</v>
      </c>
      <c r="AQ46" s="8">
        <v>299715.61034660629</v>
      </c>
      <c r="AR46" s="8">
        <v>305068.67139379634</v>
      </c>
      <c r="AS46" s="8">
        <v>310421.73244098638</v>
      </c>
      <c r="AT46" s="8">
        <v>315774.79348817636</v>
      </c>
      <c r="AU46" s="8">
        <v>321127.85453536641</v>
      </c>
      <c r="AV46" s="8">
        <v>326480.91558255645</v>
      </c>
      <c r="AW46" s="8">
        <v>331713.38379828708</v>
      </c>
      <c r="AX46" s="8">
        <v>336945.8520140177</v>
      </c>
      <c r="AY46" s="8">
        <v>342178.32022974838</v>
      </c>
      <c r="AZ46" s="8">
        <v>347410.788445479</v>
      </c>
      <c r="BA46" s="8">
        <v>352643.25666120963</v>
      </c>
      <c r="BB46" s="102" t="s">
        <v>17</v>
      </c>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row>
    <row r="47" spans="1:80" x14ac:dyDescent="0.2">
      <c r="A47" s="7"/>
      <c r="B47" s="101" t="s">
        <v>175</v>
      </c>
      <c r="C47" s="103">
        <v>855.37529447154486</v>
      </c>
      <c r="D47" s="103">
        <v>901.39813618140602</v>
      </c>
      <c r="E47" s="103">
        <v>947.42097789126706</v>
      </c>
      <c r="F47" s="103">
        <v>993.44381960112821</v>
      </c>
      <c r="G47" s="103">
        <v>1039.4666613109894</v>
      </c>
      <c r="H47" s="103">
        <v>1085.4895030208504</v>
      </c>
      <c r="I47" s="103">
        <v>1088.7620852828741</v>
      </c>
      <c r="J47" s="103">
        <v>1092.0346675448977</v>
      </c>
      <c r="K47" s="103">
        <v>1095.3072498069214</v>
      </c>
      <c r="L47" s="103">
        <v>1098.5798320689451</v>
      </c>
      <c r="M47" s="103">
        <v>1101.8524143309687</v>
      </c>
      <c r="N47" s="103">
        <v>1104.9395849958798</v>
      </c>
      <c r="O47" s="103">
        <v>1108.026755660791</v>
      </c>
      <c r="P47" s="103">
        <v>1111.1139263257021</v>
      </c>
      <c r="Q47" s="103">
        <v>1114.2010969906132</v>
      </c>
      <c r="R47" s="103">
        <v>1117.2882676555244</v>
      </c>
      <c r="S47" s="103">
        <v>1159.0343221765627</v>
      </c>
      <c r="T47" s="103">
        <v>1200.7803766976008</v>
      </c>
      <c r="U47" s="103">
        <v>1242.5264312186391</v>
      </c>
      <c r="V47" s="103">
        <v>1284.2724857396772</v>
      </c>
      <c r="W47" s="103">
        <v>1326.0185402607156</v>
      </c>
      <c r="X47" s="103">
        <v>1320.8029279531083</v>
      </c>
      <c r="Y47" s="103">
        <v>1315.5873156455011</v>
      </c>
      <c r="Z47" s="103">
        <v>1310.3717033378941</v>
      </c>
      <c r="AA47" s="103">
        <v>1305.1560910302869</v>
      </c>
      <c r="AB47" s="103">
        <v>1299.9404787226797</v>
      </c>
      <c r="AC47" s="103">
        <v>1303.4995915087879</v>
      </c>
      <c r="AD47" s="103">
        <v>1307.058704294896</v>
      </c>
      <c r="AE47" s="103">
        <v>1310.6178170810042</v>
      </c>
      <c r="AF47" s="103">
        <v>1314.1769298671122</v>
      </c>
      <c r="AG47" s="103">
        <v>1317.7360426532205</v>
      </c>
      <c r="AH47" s="103">
        <v>1350.6612053098784</v>
      </c>
      <c r="AI47" s="103">
        <v>1383.5863679665365</v>
      </c>
      <c r="AJ47" s="103">
        <v>1416.5115306231944</v>
      </c>
      <c r="AK47" s="103">
        <v>1449.4366932798525</v>
      </c>
      <c r="AL47" s="103">
        <v>1482.3618559365104</v>
      </c>
      <c r="AM47" s="103">
        <v>1477.9244220415944</v>
      </c>
      <c r="AN47" s="103">
        <v>1473.4869881466784</v>
      </c>
      <c r="AO47" s="103">
        <v>1469.0495542517622</v>
      </c>
      <c r="AP47" s="103">
        <v>1464.6121203568462</v>
      </c>
      <c r="AQ47" s="103">
        <v>1460.1746864619302</v>
      </c>
      <c r="AR47" s="103">
        <v>1456.3013027094416</v>
      </c>
      <c r="AS47" s="103">
        <v>1452.4279189569531</v>
      </c>
      <c r="AT47" s="103">
        <v>1448.5545352044646</v>
      </c>
      <c r="AU47" s="103">
        <v>1444.6811514519761</v>
      </c>
      <c r="AV47" s="103">
        <v>1440.8077676994876</v>
      </c>
      <c r="AW47" s="103">
        <v>1470.9680251617426</v>
      </c>
      <c r="AX47" s="103">
        <v>1501.1282826239974</v>
      </c>
      <c r="AY47" s="103">
        <v>1531.2885400862524</v>
      </c>
      <c r="AZ47" s="103">
        <v>1561.4487975485072</v>
      </c>
      <c r="BA47" s="103">
        <v>1591.6090550107622</v>
      </c>
      <c r="BB47" s="2" t="s">
        <v>16</v>
      </c>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row>
    <row r="48" spans="1:80" x14ac:dyDescent="0.2">
      <c r="B48" s="101" t="s">
        <v>176</v>
      </c>
      <c r="C48" s="103">
        <v>121.14541817718295</v>
      </c>
      <c r="D48" s="103">
        <v>126.01942397675997</v>
      </c>
      <c r="E48" s="103">
        <v>130.89342977633697</v>
      </c>
      <c r="F48" s="103">
        <v>135.76743557591399</v>
      </c>
      <c r="G48" s="103">
        <v>140.64144137549101</v>
      </c>
      <c r="H48" s="103">
        <v>145.51544717506803</v>
      </c>
      <c r="I48" s="103">
        <v>151.99458908882846</v>
      </c>
      <c r="J48" s="103">
        <v>158.47373100258886</v>
      </c>
      <c r="K48" s="103">
        <v>164.95287291634929</v>
      </c>
      <c r="L48" s="103">
        <v>171.43201483010969</v>
      </c>
      <c r="M48" s="103">
        <v>177.91115674387012</v>
      </c>
      <c r="N48" s="103">
        <v>175.78688951682801</v>
      </c>
      <c r="O48" s="103">
        <v>173.6626222897859</v>
      </c>
      <c r="P48" s="103">
        <v>171.53835506274382</v>
      </c>
      <c r="Q48" s="103">
        <v>169.41408783570171</v>
      </c>
      <c r="R48" s="103">
        <v>167.2898206086596</v>
      </c>
      <c r="S48" s="103">
        <v>172.31410547518777</v>
      </c>
      <c r="T48" s="103">
        <v>177.33839034171598</v>
      </c>
      <c r="U48" s="103">
        <v>182.36267520824416</v>
      </c>
      <c r="V48" s="103">
        <v>187.38696007477236</v>
      </c>
      <c r="W48" s="103">
        <v>192.41124494130054</v>
      </c>
      <c r="X48" s="103">
        <v>193.50836564470637</v>
      </c>
      <c r="Y48" s="103">
        <v>194.60548634811221</v>
      </c>
      <c r="Z48" s="103">
        <v>195.70260705151802</v>
      </c>
      <c r="AA48" s="103">
        <v>196.79972775492385</v>
      </c>
      <c r="AB48" s="103">
        <v>197.89684845832969</v>
      </c>
      <c r="AC48" s="103">
        <v>198.33043128238063</v>
      </c>
      <c r="AD48" s="103">
        <v>198.76401410643157</v>
      </c>
      <c r="AE48" s="103">
        <v>199.19759693048249</v>
      </c>
      <c r="AF48" s="103">
        <v>199.63117975453343</v>
      </c>
      <c r="AG48" s="103">
        <v>200.06476257858438</v>
      </c>
      <c r="AH48" s="103">
        <v>204.03730473576485</v>
      </c>
      <c r="AI48" s="103">
        <v>208.00984689294532</v>
      </c>
      <c r="AJ48" s="103">
        <v>211.98238905012579</v>
      </c>
      <c r="AK48" s="103">
        <v>215.95493120730626</v>
      </c>
      <c r="AL48" s="103">
        <v>219.92747336448673</v>
      </c>
      <c r="AM48" s="103">
        <v>223.17738018301671</v>
      </c>
      <c r="AN48" s="103">
        <v>226.42728700154669</v>
      </c>
      <c r="AO48" s="103">
        <v>229.67719382007664</v>
      </c>
      <c r="AP48" s="103">
        <v>232.92710063860662</v>
      </c>
      <c r="AQ48" s="103">
        <v>236.1770074571366</v>
      </c>
      <c r="AR48" s="103">
        <v>236.11518680963769</v>
      </c>
      <c r="AS48" s="103">
        <v>236.05336616213881</v>
      </c>
      <c r="AT48" s="103">
        <v>235.99154551463991</v>
      </c>
      <c r="AU48" s="103">
        <v>235.92972486714103</v>
      </c>
      <c r="AV48" s="103">
        <v>235.86790421964213</v>
      </c>
      <c r="AW48" s="103">
        <v>238.13148699059184</v>
      </c>
      <c r="AX48" s="103">
        <v>240.39506976154155</v>
      </c>
      <c r="AY48" s="103">
        <v>242.65865253249123</v>
      </c>
      <c r="AZ48" s="103">
        <v>244.92223530344094</v>
      </c>
      <c r="BA48" s="103">
        <v>247.18581807439065</v>
      </c>
      <c r="BB48" s="2" t="s">
        <v>17</v>
      </c>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row>
    <row r="49" spans="1:80" x14ac:dyDescent="0.2">
      <c r="B49" s="101" t="s">
        <v>177</v>
      </c>
      <c r="C49" s="103">
        <v>101.16758546856049</v>
      </c>
      <c r="D49" s="103">
        <v>101.84406610987863</v>
      </c>
      <c r="E49" s="103">
        <v>102.52054675119676</v>
      </c>
      <c r="F49" s="103">
        <v>103.1970273925149</v>
      </c>
      <c r="G49" s="103">
        <v>103.87350803383303</v>
      </c>
      <c r="H49" s="103">
        <v>104.54998867515117</v>
      </c>
      <c r="I49" s="103">
        <v>106.89389242159068</v>
      </c>
      <c r="J49" s="103">
        <v>109.23779616803019</v>
      </c>
      <c r="K49" s="103">
        <v>111.58169991446971</v>
      </c>
      <c r="L49" s="103">
        <v>113.92560366090922</v>
      </c>
      <c r="M49" s="103">
        <v>116.26950740734873</v>
      </c>
      <c r="N49" s="103">
        <v>120.54066132841855</v>
      </c>
      <c r="O49" s="103">
        <v>124.81181524948838</v>
      </c>
      <c r="P49" s="103">
        <v>129.08296917055821</v>
      </c>
      <c r="Q49" s="103">
        <v>133.35412309162803</v>
      </c>
      <c r="R49" s="103">
        <v>137.62527701269786</v>
      </c>
      <c r="S49" s="103">
        <v>137.61420583428315</v>
      </c>
      <c r="T49" s="103">
        <v>137.60313465586842</v>
      </c>
      <c r="U49" s="103">
        <v>137.59206347745371</v>
      </c>
      <c r="V49" s="103">
        <v>137.58099229903897</v>
      </c>
      <c r="W49" s="103">
        <v>137.56992112062426</v>
      </c>
      <c r="X49" s="103">
        <v>136.41299857777926</v>
      </c>
      <c r="Y49" s="103">
        <v>135.25607603493424</v>
      </c>
      <c r="Z49" s="103">
        <v>134.09915349208924</v>
      </c>
      <c r="AA49" s="103">
        <v>132.94223094924422</v>
      </c>
      <c r="AB49" s="103">
        <v>131.78530840639922</v>
      </c>
      <c r="AC49" s="103">
        <v>132.77379077199981</v>
      </c>
      <c r="AD49" s="103">
        <v>133.7622731376004</v>
      </c>
      <c r="AE49" s="103">
        <v>134.75075550320099</v>
      </c>
      <c r="AF49" s="103">
        <v>135.73923786880158</v>
      </c>
      <c r="AG49" s="103">
        <v>136.72772023440217</v>
      </c>
      <c r="AH49" s="103">
        <v>138.93329588056523</v>
      </c>
      <c r="AI49" s="103">
        <v>141.13887152672828</v>
      </c>
      <c r="AJ49" s="103">
        <v>143.34444717289134</v>
      </c>
      <c r="AK49" s="103">
        <v>145.55002281905439</v>
      </c>
      <c r="AL49" s="103">
        <v>147.75559846521745</v>
      </c>
      <c r="AM49" s="103">
        <v>149.48653248618223</v>
      </c>
      <c r="AN49" s="103">
        <v>151.21746650714701</v>
      </c>
      <c r="AO49" s="103">
        <v>152.94840052811176</v>
      </c>
      <c r="AP49" s="103">
        <v>154.67933454907654</v>
      </c>
      <c r="AQ49" s="103">
        <v>156.41026857004132</v>
      </c>
      <c r="AR49" s="103">
        <v>157.93696295441879</v>
      </c>
      <c r="AS49" s="103">
        <v>159.46365733879625</v>
      </c>
      <c r="AT49" s="103">
        <v>160.99035172317375</v>
      </c>
      <c r="AU49" s="103">
        <v>162.51704610755121</v>
      </c>
      <c r="AV49" s="103">
        <v>164.04374049192867</v>
      </c>
      <c r="AW49" s="103">
        <v>164.94524929841828</v>
      </c>
      <c r="AX49" s="103">
        <v>165.84675810490791</v>
      </c>
      <c r="AY49" s="103">
        <v>166.74826691139751</v>
      </c>
      <c r="AZ49" s="103">
        <v>167.64977571788714</v>
      </c>
      <c r="BA49" s="103">
        <v>168.55128452437674</v>
      </c>
      <c r="BB49" s="2" t="s">
        <v>17</v>
      </c>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row>
    <row r="50" spans="1:80" x14ac:dyDescent="0.2">
      <c r="A50" s="1"/>
      <c r="B50" s="101" t="s">
        <v>178</v>
      </c>
      <c r="C50" s="103">
        <v>92.039889329872679</v>
      </c>
      <c r="D50" s="103">
        <v>95.039800064297125</v>
      </c>
      <c r="E50" s="103">
        <v>98.039710798721558</v>
      </c>
      <c r="F50" s="103">
        <v>101.039621533146</v>
      </c>
      <c r="G50" s="103">
        <v>104.03953226757044</v>
      </c>
      <c r="H50" s="103">
        <v>107.03944300199488</v>
      </c>
      <c r="I50" s="103">
        <v>113.55713757320731</v>
      </c>
      <c r="J50" s="103">
        <v>120.07483214441973</v>
      </c>
      <c r="K50" s="103">
        <v>126.59252671563216</v>
      </c>
      <c r="L50" s="103">
        <v>133.11022128684459</v>
      </c>
      <c r="M50" s="103">
        <v>139.62791585805701</v>
      </c>
      <c r="N50" s="103">
        <v>144.66410927314382</v>
      </c>
      <c r="O50" s="103">
        <v>149.70030268823066</v>
      </c>
      <c r="P50" s="103">
        <v>154.73649610331748</v>
      </c>
      <c r="Q50" s="103">
        <v>159.77268951840432</v>
      </c>
      <c r="R50" s="103">
        <v>164.80888293349113</v>
      </c>
      <c r="S50" s="103">
        <v>170.62088197940639</v>
      </c>
      <c r="T50" s="103">
        <v>176.43288102532165</v>
      </c>
      <c r="U50" s="103">
        <v>182.24488007123693</v>
      </c>
      <c r="V50" s="103">
        <v>188.05687911715219</v>
      </c>
      <c r="W50" s="103">
        <v>193.86887816306745</v>
      </c>
      <c r="X50" s="103">
        <v>196.8903943113867</v>
      </c>
      <c r="Y50" s="103">
        <v>199.91191045970592</v>
      </c>
      <c r="Z50" s="103">
        <v>202.93342660802517</v>
      </c>
      <c r="AA50" s="103">
        <v>205.95494275634439</v>
      </c>
      <c r="AB50" s="103">
        <v>208.97645890466364</v>
      </c>
      <c r="AC50" s="103">
        <v>213.99211844188898</v>
      </c>
      <c r="AD50" s="103">
        <v>219.00777797911434</v>
      </c>
      <c r="AE50" s="103">
        <v>224.02343751633967</v>
      </c>
      <c r="AF50" s="103">
        <v>229.03909705356503</v>
      </c>
      <c r="AG50" s="103">
        <v>234.05475659079036</v>
      </c>
      <c r="AH50" s="103">
        <v>237.48483232141623</v>
      </c>
      <c r="AI50" s="103">
        <v>240.91490805204214</v>
      </c>
      <c r="AJ50" s="103">
        <v>244.34498378266801</v>
      </c>
      <c r="AK50" s="103">
        <v>247.77505951329391</v>
      </c>
      <c r="AL50" s="103">
        <v>251.20513524391978</v>
      </c>
      <c r="AM50" s="103">
        <v>256.04970912680295</v>
      </c>
      <c r="AN50" s="103">
        <v>260.89428300968609</v>
      </c>
      <c r="AO50" s="103">
        <v>265.73885689256929</v>
      </c>
      <c r="AP50" s="103">
        <v>270.58343077545248</v>
      </c>
      <c r="AQ50" s="103">
        <v>275.42800465833562</v>
      </c>
      <c r="AR50" s="103">
        <v>279.45553521403076</v>
      </c>
      <c r="AS50" s="103">
        <v>283.4830657697259</v>
      </c>
      <c r="AT50" s="103">
        <v>287.51059632542098</v>
      </c>
      <c r="AU50" s="103">
        <v>291.53812688111611</v>
      </c>
      <c r="AV50" s="103">
        <v>295.56565743681125</v>
      </c>
      <c r="AW50" s="103">
        <v>299.79582131840556</v>
      </c>
      <c r="AX50" s="103">
        <v>304.02598519999987</v>
      </c>
      <c r="AY50" s="103">
        <v>308.25614908159423</v>
      </c>
      <c r="AZ50" s="103">
        <v>312.48631296318854</v>
      </c>
      <c r="BA50" s="103">
        <v>316.71647684478285</v>
      </c>
      <c r="BB50" s="2" t="s">
        <v>17</v>
      </c>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row>
    <row r="51" spans="1:80" x14ac:dyDescent="0.2">
      <c r="A51" s="3"/>
      <c r="C51" s="8"/>
      <c r="D51" s="8"/>
      <c r="E51" s="8"/>
      <c r="F51" s="8"/>
      <c r="G51" s="8"/>
      <c r="H51" s="8"/>
      <c r="I51" s="8"/>
      <c r="J51" s="8"/>
      <c r="K51" s="8"/>
      <c r="L51" s="8"/>
      <c r="M51" s="8"/>
      <c r="N51" s="8"/>
      <c r="O51" s="8"/>
      <c r="P51" s="8"/>
      <c r="Q51" s="8"/>
      <c r="R51" s="8"/>
      <c r="S51" s="8"/>
      <c r="T51" s="8"/>
      <c r="U51" s="8"/>
      <c r="V51" s="8"/>
      <c r="W51" s="8"/>
      <c r="X51" s="8"/>
      <c r="Y51" s="8"/>
      <c r="Z51" s="8"/>
      <c r="AA51" s="8"/>
      <c r="AB51" s="8"/>
      <c r="AG51" s="8"/>
      <c r="AH51" s="8"/>
      <c r="AI51" s="8"/>
      <c r="AJ51" s="8"/>
      <c r="AK51" s="8"/>
      <c r="AL51" s="8"/>
      <c r="AM51" s="8"/>
      <c r="AN51" s="8"/>
      <c r="AO51" s="8"/>
      <c r="AP51" s="8"/>
      <c r="AQ51" s="8"/>
      <c r="AR51" s="8"/>
      <c r="AS51" s="8"/>
      <c r="AT51" s="8"/>
      <c r="AU51" s="8"/>
      <c r="AV51" s="8"/>
      <c r="AW51" s="8"/>
      <c r="AX51" s="8"/>
      <c r="AY51" s="8"/>
      <c r="AZ51" s="8"/>
      <c r="BA51" s="8"/>
      <c r="BB51" s="10"/>
      <c r="BC51" s="8"/>
    </row>
    <row r="52" spans="1:80" x14ac:dyDescent="0.2">
      <c r="A52" s="7"/>
      <c r="B52" s="1" t="s">
        <v>18</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10"/>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row>
    <row r="53" spans="1:80" x14ac:dyDescent="0.2">
      <c r="A53" s="7"/>
      <c r="B53" s="5" t="s">
        <v>1</v>
      </c>
      <c r="C53" s="6">
        <v>2010</v>
      </c>
      <c r="D53" s="3">
        <v>2011</v>
      </c>
      <c r="E53" s="3">
        <v>2012</v>
      </c>
      <c r="F53" s="3">
        <v>2013</v>
      </c>
      <c r="G53" s="3">
        <v>2014</v>
      </c>
      <c r="H53" s="6">
        <v>2015</v>
      </c>
      <c r="I53" s="3">
        <v>2016</v>
      </c>
      <c r="J53" s="3">
        <v>2017</v>
      </c>
      <c r="K53" s="3">
        <v>2018</v>
      </c>
      <c r="L53" s="3">
        <v>2019</v>
      </c>
      <c r="M53" s="6">
        <v>2020</v>
      </c>
      <c r="N53" s="3">
        <v>2021</v>
      </c>
      <c r="O53" s="3">
        <v>2022</v>
      </c>
      <c r="P53" s="3">
        <v>2023</v>
      </c>
      <c r="Q53" s="3">
        <v>2024</v>
      </c>
      <c r="R53" s="6">
        <v>2025</v>
      </c>
      <c r="S53" s="3">
        <v>2026</v>
      </c>
      <c r="T53" s="3">
        <v>2027</v>
      </c>
      <c r="U53" s="3">
        <v>2028</v>
      </c>
      <c r="V53" s="3">
        <v>2029</v>
      </c>
      <c r="W53" s="6">
        <v>2030</v>
      </c>
      <c r="X53" s="3">
        <v>2031</v>
      </c>
      <c r="Y53" s="3">
        <v>2032</v>
      </c>
      <c r="Z53" s="3">
        <v>2033</v>
      </c>
      <c r="AA53" s="3">
        <v>2034</v>
      </c>
      <c r="AB53" s="6">
        <v>2035</v>
      </c>
      <c r="AC53" s="3">
        <v>2036</v>
      </c>
      <c r="AD53" s="3">
        <v>2037</v>
      </c>
      <c r="AE53" s="3">
        <v>2038</v>
      </c>
      <c r="AF53" s="3">
        <v>2039</v>
      </c>
      <c r="AG53" s="6">
        <v>2040</v>
      </c>
      <c r="AH53" s="3">
        <v>2041</v>
      </c>
      <c r="AI53" s="3">
        <v>2042</v>
      </c>
      <c r="AJ53" s="3">
        <v>2043</v>
      </c>
      <c r="AK53" s="3">
        <v>2044</v>
      </c>
      <c r="AL53" s="6">
        <v>2045</v>
      </c>
      <c r="AM53" s="3">
        <v>2046</v>
      </c>
      <c r="AN53" s="3">
        <v>2047</v>
      </c>
      <c r="AO53" s="3">
        <v>2048</v>
      </c>
      <c r="AP53" s="3">
        <v>2049</v>
      </c>
      <c r="AQ53" s="6">
        <v>2050</v>
      </c>
      <c r="AR53" s="3">
        <v>2051</v>
      </c>
      <c r="AS53" s="3">
        <v>2052</v>
      </c>
      <c r="AT53" s="3">
        <v>2053</v>
      </c>
      <c r="AU53" s="3">
        <v>2054</v>
      </c>
      <c r="AV53" s="6">
        <v>2055</v>
      </c>
      <c r="AW53" s="3">
        <v>2056</v>
      </c>
      <c r="AX53" s="3">
        <v>2057</v>
      </c>
      <c r="AY53" s="3">
        <v>2058</v>
      </c>
      <c r="AZ53" s="3">
        <v>2059</v>
      </c>
      <c r="BA53" s="6">
        <v>2060</v>
      </c>
      <c r="BD53" s="8"/>
      <c r="BE53" s="8"/>
      <c r="BF53" s="8"/>
      <c r="BG53" s="8"/>
      <c r="BH53" s="8"/>
      <c r="BI53" s="8"/>
      <c r="BJ53" s="8"/>
      <c r="BK53" s="8"/>
      <c r="BL53" s="8"/>
      <c r="BM53" s="8"/>
      <c r="BN53" s="8"/>
      <c r="BO53" s="8"/>
      <c r="BP53" s="8"/>
      <c r="BQ53" s="8"/>
      <c r="BR53" s="8"/>
      <c r="BS53" s="8"/>
      <c r="BT53" s="8"/>
      <c r="BU53" s="8"/>
      <c r="BV53" s="8"/>
      <c r="BW53" s="8"/>
      <c r="BX53" s="8"/>
      <c r="BY53" s="8"/>
      <c r="BZ53" s="8"/>
      <c r="CA53" s="8"/>
      <c r="CB53" s="8"/>
    </row>
    <row r="54" spans="1:80" x14ac:dyDescent="0.2">
      <c r="A54" s="7"/>
      <c r="B54" s="101" t="s">
        <v>2</v>
      </c>
      <c r="C54" s="11">
        <v>122.24330707758429</v>
      </c>
      <c r="D54" s="11">
        <v>119.09542919363437</v>
      </c>
      <c r="E54" s="11">
        <v>116.25157897817338</v>
      </c>
      <c r="F54" s="11">
        <v>113.66974013289497</v>
      </c>
      <c r="G54" s="11">
        <v>111.31529755690023</v>
      </c>
      <c r="H54" s="11">
        <v>109.15947642888116</v>
      </c>
      <c r="I54" s="11">
        <v>105.55790804777422</v>
      </c>
      <c r="J54" s="11">
        <v>102.11161656707773</v>
      </c>
      <c r="K54" s="11">
        <v>98.810772049155801</v>
      </c>
      <c r="L54" s="11">
        <v>95.646357132953497</v>
      </c>
      <c r="M54" s="11">
        <v>92.610084771050154</v>
      </c>
      <c r="N54" s="11">
        <v>89.744502151660612</v>
      </c>
      <c r="O54" s="11">
        <v>87.000653109249569</v>
      </c>
      <c r="P54" s="11">
        <v>84.370941887817821</v>
      </c>
      <c r="Q54" s="11">
        <v>81.848391787727877</v>
      </c>
      <c r="R54" s="11">
        <v>79.426583358435508</v>
      </c>
      <c r="S54" s="11">
        <v>76.473774375874598</v>
      </c>
      <c r="T54" s="11">
        <v>73.634240752621992</v>
      </c>
      <c r="U54" s="11">
        <v>70.901586973920317</v>
      </c>
      <c r="V54" s="11">
        <v>68.269890084897355</v>
      </c>
      <c r="W54" s="11">
        <v>65.733656835814102</v>
      </c>
      <c r="X54" s="11">
        <v>63.136338344125406</v>
      </c>
      <c r="Y54" s="11">
        <v>60.626516491441564</v>
      </c>
      <c r="Z54" s="11">
        <v>58.199843226926788</v>
      </c>
      <c r="AA54" s="11">
        <v>55.852253900885323</v>
      </c>
      <c r="AB54" s="11">
        <v>53.579944545253746</v>
      </c>
      <c r="AC54" s="11">
        <v>51.260840732961981</v>
      </c>
      <c r="AD54" s="11">
        <v>49.009682625653433</v>
      </c>
      <c r="AE54" s="11">
        <v>46.823527298287829</v>
      </c>
      <c r="AF54" s="11">
        <v>44.699599362455459</v>
      </c>
      <c r="AG54" s="11">
        <v>42.635279211638149</v>
      </c>
      <c r="AH54" s="11">
        <v>40.622835464637177</v>
      </c>
      <c r="AI54" s="11">
        <v>38.668259211742928</v>
      </c>
      <c r="AJ54" s="11">
        <v>36.769089874093375</v>
      </c>
      <c r="AK54" s="11">
        <v>34.923004424639913</v>
      </c>
      <c r="AL54" s="11">
        <v>33.12780790881223</v>
      </c>
      <c r="AM54" s="11">
        <v>31.514094364414671</v>
      </c>
      <c r="AN54" s="11">
        <v>29.943968701809386</v>
      </c>
      <c r="AO54" s="11">
        <v>28.415688431167172</v>
      </c>
      <c r="AP54" s="11">
        <v>26.927602719420239</v>
      </c>
      <c r="AQ54" s="11">
        <v>25.478146441934062</v>
      </c>
      <c r="AR54" s="11">
        <v>24.300922077601648</v>
      </c>
      <c r="AS54" s="11">
        <v>23.152973480689596</v>
      </c>
      <c r="AT54" s="11">
        <v>22.033221998157959</v>
      </c>
      <c r="AU54" s="11">
        <v>20.940641324073386</v>
      </c>
      <c r="AV54" s="11">
        <v>19.874254362163413</v>
      </c>
      <c r="AW54" s="11">
        <v>19.101121845645565</v>
      </c>
      <c r="AX54" s="11">
        <v>18.345935046685412</v>
      </c>
      <c r="AY54" s="11">
        <v>17.60807630788889</v>
      </c>
      <c r="AZ54" s="11">
        <v>16.886955995146256</v>
      </c>
      <c r="BA54" s="11">
        <v>16.182010926176392</v>
      </c>
      <c r="BB54" s="10" t="s">
        <v>19</v>
      </c>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row>
    <row r="55" spans="1:80" x14ac:dyDescent="0.2">
      <c r="A55" s="7"/>
      <c r="B55" s="101" t="s">
        <v>182</v>
      </c>
      <c r="C55" s="11">
        <v>61.760949917795052</v>
      </c>
      <c r="D55" s="11">
        <v>61.510476173464866</v>
      </c>
      <c r="E55" s="11">
        <v>61.29452153569995</v>
      </c>
      <c r="F55" s="11">
        <v>61.106410133052727</v>
      </c>
      <c r="G55" s="11">
        <v>60.941083293364599</v>
      </c>
      <c r="H55" s="11">
        <v>60.794637808194757</v>
      </c>
      <c r="I55" s="11">
        <v>56.735862053311237</v>
      </c>
      <c r="J55" s="11">
        <v>52.841188928706053</v>
      </c>
      <c r="K55" s="11">
        <v>49.100863255229413</v>
      </c>
      <c r="L55" s="11">
        <v>45.505888033537481</v>
      </c>
      <c r="M55" s="11">
        <v>42.047952190124789</v>
      </c>
      <c r="N55" s="11">
        <v>41.323825847236968</v>
      </c>
      <c r="O55" s="11">
        <v>40.615956326336068</v>
      </c>
      <c r="P55" s="11">
        <v>39.923802249725917</v>
      </c>
      <c r="Q55" s="11">
        <v>39.246846014105131</v>
      </c>
      <c r="R55" s="11">
        <v>38.584592499684952</v>
      </c>
      <c r="S55" s="11">
        <v>37.628529062605722</v>
      </c>
      <c r="T55" s="11">
        <v>36.689500231810008</v>
      </c>
      <c r="U55" s="11">
        <v>35.767054757652581</v>
      </c>
      <c r="V55" s="11">
        <v>34.860757189225168</v>
      </c>
      <c r="W55" s="11">
        <v>33.970187188942319</v>
      </c>
      <c r="X55" s="11">
        <v>32.842588451821477</v>
      </c>
      <c r="Y55" s="11">
        <v>31.727191338896699</v>
      </c>
      <c r="Z55" s="11">
        <v>30.623798867246286</v>
      </c>
      <c r="AA55" s="11">
        <v>29.532218271374099</v>
      </c>
      <c r="AB55" s="11">
        <v>28.452260890941037</v>
      </c>
      <c r="AC55" s="11">
        <v>26.445840832130759</v>
      </c>
      <c r="AD55" s="11">
        <v>24.445840281001562</v>
      </c>
      <c r="AE55" s="11">
        <v>22.452228478098199</v>
      </c>
      <c r="AF55" s="11">
        <v>20.464974860166404</v>
      </c>
      <c r="AG55" s="11">
        <v>18.484049058591044</v>
      </c>
      <c r="AH55" s="11">
        <v>16.980066863789631</v>
      </c>
      <c r="AI55" s="11">
        <v>15.477731204029469</v>
      </c>
      <c r="AJ55" s="11">
        <v>13.977039376890502</v>
      </c>
      <c r="AK55" s="11">
        <v>12.47798868586333</v>
      </c>
      <c r="AL55" s="11">
        <v>10.980576440333063</v>
      </c>
      <c r="AM55" s="11">
        <v>9.1904059996165639</v>
      </c>
      <c r="AN55" s="11">
        <v>7.4021562477996508</v>
      </c>
      <c r="AO55" s="11">
        <v>5.6158240954547853</v>
      </c>
      <c r="AP55" s="11">
        <v>3.8314064597766722</v>
      </c>
      <c r="AQ55" s="11">
        <v>2.0489002645645167</v>
      </c>
      <c r="AR55" s="11">
        <v>1.8081029330905942</v>
      </c>
      <c r="AS55" s="11">
        <v>1.5675235464981621</v>
      </c>
      <c r="AT55" s="11">
        <v>1.3271618090292594</v>
      </c>
      <c r="AU55" s="11">
        <v>1.0870174254608216</v>
      </c>
      <c r="AV55" s="11">
        <v>0.84709010110346938</v>
      </c>
      <c r="AW55" s="11">
        <v>0.77632648106372271</v>
      </c>
      <c r="AX55" s="11">
        <v>0.70591132233003329</v>
      </c>
      <c r="AY55" s="11">
        <v>0.63584205733204224</v>
      </c>
      <c r="AZ55" s="11">
        <v>0.56611614366245555</v>
      </c>
      <c r="BA55" s="11">
        <v>0.49673106376953741</v>
      </c>
      <c r="BB55" s="10" t="s">
        <v>19</v>
      </c>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row>
    <row r="56" spans="1:80" x14ac:dyDescent="0.2">
      <c r="A56" s="7"/>
      <c r="B56" s="101" t="s">
        <v>165</v>
      </c>
      <c r="C56" s="11">
        <v>175.79374961190334</v>
      </c>
      <c r="D56" s="11">
        <v>172.01868745764898</v>
      </c>
      <c r="E56" s="11">
        <v>168.55779020601898</v>
      </c>
      <c r="F56" s="11">
        <v>165.37340680551037</v>
      </c>
      <c r="G56" s="11">
        <v>162.43367147345677</v>
      </c>
      <c r="H56" s="11">
        <v>159.71143363247268</v>
      </c>
      <c r="I56" s="11">
        <v>154.98012948836691</v>
      </c>
      <c r="J56" s="11">
        <v>150.44506802656812</v>
      </c>
      <c r="K56" s="11">
        <v>146.0942878272935</v>
      </c>
      <c r="L56" s="11">
        <v>141.9167802130417</v>
      </c>
      <c r="M56" s="11">
        <v>137.90239624170553</v>
      </c>
      <c r="N56" s="11">
        <v>133.46341724037367</v>
      </c>
      <c r="O56" s="11">
        <v>129.19396855734576</v>
      </c>
      <c r="P56" s="11">
        <v>125.08452030063258</v>
      </c>
      <c r="Q56" s="11">
        <v>121.1262437184663</v>
      </c>
      <c r="R56" s="11">
        <v>117.31094788288594</v>
      </c>
      <c r="S56" s="11">
        <v>113.03319913261802</v>
      </c>
      <c r="T56" s="11">
        <v>108.86901671075448</v>
      </c>
      <c r="U56" s="11">
        <v>104.81393739801294</v>
      </c>
      <c r="V56" s="11">
        <v>100.86372882687981</v>
      </c>
      <c r="W56" s="11">
        <v>97.014374746668452</v>
      </c>
      <c r="X56" s="11">
        <v>93.57482763219447</v>
      </c>
      <c r="Y56" s="11">
        <v>90.191390717314604</v>
      </c>
      <c r="Z56" s="11">
        <v>86.862702100791054</v>
      </c>
      <c r="AA56" s="11">
        <v>83.587443602233606</v>
      </c>
      <c r="AB56" s="11">
        <v>80.364339021616004</v>
      </c>
      <c r="AC56" s="11">
        <v>77.584967793647195</v>
      </c>
      <c r="AD56" s="11">
        <v>74.83481255600897</v>
      </c>
      <c r="AE56" s="11">
        <v>72.11341505148674</v>
      </c>
      <c r="AF56" s="11">
        <v>69.420326556796894</v>
      </c>
      <c r="AG56" s="11">
        <v>66.755107635930713</v>
      </c>
      <c r="AH56" s="11">
        <v>64.074847341770507</v>
      </c>
      <c r="AI56" s="11">
        <v>61.425670719014697</v>
      </c>
      <c r="AJ56" s="11">
        <v>58.807040157010832</v>
      </c>
      <c r="AK56" s="11">
        <v>56.218430371770317</v>
      </c>
      <c r="AL56" s="11">
        <v>53.659328054690484</v>
      </c>
      <c r="AM56" s="11">
        <v>51.468777157985272</v>
      </c>
      <c r="AN56" s="11">
        <v>49.299817265853989</v>
      </c>
      <c r="AO56" s="11">
        <v>47.152130728508261</v>
      </c>
      <c r="AP56" s="11">
        <v>45.025406096827069</v>
      </c>
      <c r="AQ56" s="11">
        <v>42.919337971791755</v>
      </c>
      <c r="AR56" s="11">
        <v>40.926985569516077</v>
      </c>
      <c r="AS56" s="11">
        <v>38.95237006619444</v>
      </c>
      <c r="AT56" s="11">
        <v>36.995255657579463</v>
      </c>
      <c r="AU56" s="11">
        <v>35.055410700866858</v>
      </c>
      <c r="AV56" s="11">
        <v>33.132607623297915</v>
      </c>
      <c r="AW56" s="11">
        <v>31.838530424174561</v>
      </c>
      <c r="AX56" s="11">
        <v>30.552167310298021</v>
      </c>
      <c r="AY56" s="11">
        <v>29.273449510336171</v>
      </c>
      <c r="AZ56" s="11">
        <v>28.002309067999882</v>
      </c>
      <c r="BA56" s="11">
        <v>26.738678830004318</v>
      </c>
      <c r="BB56" s="10" t="s">
        <v>19</v>
      </c>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row>
    <row r="57" spans="1:80" x14ac:dyDescent="0.2">
      <c r="A57" s="7"/>
      <c r="B57" s="101" t="s">
        <v>167</v>
      </c>
      <c r="C57" s="11">
        <v>108.5395941136327</v>
      </c>
      <c r="D57" s="11">
        <v>107.58690630638714</v>
      </c>
      <c r="E57" s="11">
        <v>106.69866305735869</v>
      </c>
      <c r="F57" s="11">
        <v>105.86853926975728</v>
      </c>
      <c r="G57" s="11">
        <v>105.09101135126203</v>
      </c>
      <c r="H57" s="11">
        <v>104.3612341560024</v>
      </c>
      <c r="I57" s="11">
        <v>100.72162091244672</v>
      </c>
      <c r="J57" s="11">
        <v>97.184907659944869</v>
      </c>
      <c r="K57" s="11">
        <v>93.746791407404629</v>
      </c>
      <c r="L57" s="11">
        <v>90.403205784270497</v>
      </c>
      <c r="M57" s="11">
        <v>87.150304996449222</v>
      </c>
      <c r="N57" s="11">
        <v>83.9712676575367</v>
      </c>
      <c r="O57" s="11">
        <v>80.928236642505695</v>
      </c>
      <c r="P57" s="11">
        <v>78.012666760682919</v>
      </c>
      <c r="Q57" s="11">
        <v>75.216713988612526</v>
      </c>
      <c r="R57" s="11">
        <v>72.533164998687681</v>
      </c>
      <c r="S57" s="11">
        <v>70.031386128707666</v>
      </c>
      <c r="T57" s="11">
        <v>67.642463647140687</v>
      </c>
      <c r="U57" s="11">
        <v>65.358929492907592</v>
      </c>
      <c r="V57" s="11">
        <v>63.173960297835535</v>
      </c>
      <c r="W57" s="11">
        <v>61.081309288581807</v>
      </c>
      <c r="X57" s="11">
        <v>58.915770413815181</v>
      </c>
      <c r="Y57" s="11">
        <v>56.847365078776839</v>
      </c>
      <c r="Z57" s="11">
        <v>54.869701363169504</v>
      </c>
      <c r="AA57" s="11">
        <v>52.976936140096285</v>
      </c>
      <c r="AB57" s="11">
        <v>51.163717416249916</v>
      </c>
      <c r="AC57" s="11">
        <v>49.173117778586459</v>
      </c>
      <c r="AD57" s="11">
        <v>47.265653351440143</v>
      </c>
      <c r="AE57" s="11">
        <v>45.43622258872626</v>
      </c>
      <c r="AF57" s="11">
        <v>43.680132982292882</v>
      </c>
      <c r="AG57" s="11">
        <v>41.993060872095292</v>
      </c>
      <c r="AH57" s="11">
        <v>40.134861758178246</v>
      </c>
      <c r="AI57" s="11">
        <v>38.348507117751943</v>
      </c>
      <c r="AJ57" s="11">
        <v>36.629909333856659</v>
      </c>
      <c r="AK57" s="11">
        <v>34.975285106689263</v>
      </c>
      <c r="AL57" s="11">
        <v>33.381127651103235</v>
      </c>
      <c r="AM57" s="11">
        <v>32.012006320221118</v>
      </c>
      <c r="AN57" s="11">
        <v>30.692005858428839</v>
      </c>
      <c r="AO57" s="11">
        <v>29.418529338823877</v>
      </c>
      <c r="AP57" s="11">
        <v>28.189159723815134</v>
      </c>
      <c r="AQ57" s="11">
        <v>27.001644554090312</v>
      </c>
      <c r="AR57" s="11">
        <v>25.565258806676219</v>
      </c>
      <c r="AS57" s="11">
        <v>24.175008265630936</v>
      </c>
      <c r="AT57" s="11">
        <v>22.828705340718205</v>
      </c>
      <c r="AU57" s="11">
        <v>21.524298594822216</v>
      </c>
      <c r="AV57" s="11">
        <v>20.259862313720401</v>
      </c>
      <c r="AW57" s="11">
        <v>19.043666731095893</v>
      </c>
      <c r="AX57" s="11">
        <v>17.866167797831494</v>
      </c>
      <c r="AY57" s="11">
        <v>16.725547572861522</v>
      </c>
      <c r="AZ57" s="11">
        <v>15.620100233477835</v>
      </c>
      <c r="BA57" s="11">
        <v>14.548223563191488</v>
      </c>
      <c r="BB57" s="10" t="s">
        <v>19</v>
      </c>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row>
    <row r="58" spans="1:80" x14ac:dyDescent="0.2">
      <c r="A58" s="7"/>
      <c r="B58" s="101" t="s">
        <v>166</v>
      </c>
      <c r="C58" s="11">
        <v>1199.054052799102</v>
      </c>
      <c r="D58" s="11">
        <v>1197.7434679596158</v>
      </c>
      <c r="E58" s="11">
        <v>1196.4799925190744</v>
      </c>
      <c r="F58" s="11">
        <v>1195.2611312788074</v>
      </c>
      <c r="G58" s="11">
        <v>1194.0845621974088</v>
      </c>
      <c r="H58" s="11">
        <v>1192.9481216263175</v>
      </c>
      <c r="I58" s="11">
        <v>1192.5941661486095</v>
      </c>
      <c r="J58" s="11">
        <v>1192.227387512736</v>
      </c>
      <c r="K58" s="11">
        <v>1191.8470760239538</v>
      </c>
      <c r="L58" s="11">
        <v>1191.4524686326927</v>
      </c>
      <c r="M58" s="11">
        <v>1191.0427438244931</v>
      </c>
      <c r="N58" s="11">
        <v>1192.4426181388358</v>
      </c>
      <c r="O58" s="11">
        <v>1193.8471985492968</v>
      </c>
      <c r="P58" s="11">
        <v>1195.2565088272574</v>
      </c>
      <c r="Q58" s="11">
        <v>1196.6705729044679</v>
      </c>
      <c r="R58" s="11">
        <v>1198.0894148744005</v>
      </c>
      <c r="S58" s="11">
        <v>1197.0816162422448</v>
      </c>
      <c r="T58" s="11">
        <v>1196.067439064964</v>
      </c>
      <c r="U58" s="11">
        <v>1195.0468225938143</v>
      </c>
      <c r="V58" s="11">
        <v>1194.0197053061734</v>
      </c>
      <c r="W58" s="11">
        <v>1192.9860248931786</v>
      </c>
      <c r="X58" s="11">
        <v>1189.6416037553818</v>
      </c>
      <c r="Y58" s="11">
        <v>1186.2479623587947</v>
      </c>
      <c r="Z58" s="11">
        <v>1182.8040060776084</v>
      </c>
      <c r="AA58" s="11">
        <v>1179.308607585265</v>
      </c>
      <c r="AB58" s="11">
        <v>1175.7606056241484</v>
      </c>
      <c r="AC58" s="11">
        <v>1167.8769058555331</v>
      </c>
      <c r="AD58" s="11">
        <v>1159.7981689486171</v>
      </c>
      <c r="AE58" s="11">
        <v>1151.5170666347015</v>
      </c>
      <c r="AF58" s="11">
        <v>1143.0258988549253</v>
      </c>
      <c r="AG58" s="11">
        <v>1134.3165698795174</v>
      </c>
      <c r="AH58" s="11">
        <v>1127.3527886213715</v>
      </c>
      <c r="AI58" s="11">
        <v>1120.1242843596149</v>
      </c>
      <c r="AJ58" s="11">
        <v>1112.6156697506628</v>
      </c>
      <c r="AK58" s="11">
        <v>1104.8103413445306</v>
      </c>
      <c r="AL58" s="11">
        <v>1096.6903570227007</v>
      </c>
      <c r="AM58" s="11">
        <v>1089.6648599912946</v>
      </c>
      <c r="AN58" s="11">
        <v>1082.2371619480739</v>
      </c>
      <c r="AO58" s="11">
        <v>1074.3717068581639</v>
      </c>
      <c r="AP58" s="11">
        <v>1066.0286203916423</v>
      </c>
      <c r="AQ58" s="11">
        <v>1057.1630338219479</v>
      </c>
      <c r="AR58" s="11">
        <v>1045.1100744471771</v>
      </c>
      <c r="AS58" s="11">
        <v>1032.173805774223</v>
      </c>
      <c r="AT58" s="11">
        <v>1018.2534335338773</v>
      </c>
      <c r="AU58" s="11">
        <v>1003.2322215940104</v>
      </c>
      <c r="AV58" s="11">
        <v>986.97421045282613</v>
      </c>
      <c r="AW58" s="11">
        <v>977.38252168957604</v>
      </c>
      <c r="AX58" s="11">
        <v>966.88424242780229</v>
      </c>
      <c r="AY58" s="11">
        <v>955.34446279564088</v>
      </c>
      <c r="AZ58" s="11">
        <v>942.60010789551006</v>
      </c>
      <c r="BA58" s="11">
        <v>928.45218307994764</v>
      </c>
      <c r="BB58" s="10" t="s">
        <v>19</v>
      </c>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row>
    <row r="59" spans="1:80" x14ac:dyDescent="0.2">
      <c r="A59" s="7"/>
      <c r="B59" s="101" t="s">
        <v>168</v>
      </c>
      <c r="C59" s="11">
        <v>55.077960410021561</v>
      </c>
      <c r="D59" s="11">
        <v>53.669752341103212</v>
      </c>
      <c r="E59" s="11">
        <v>52.389395387774542</v>
      </c>
      <c r="F59" s="11">
        <v>51.220234226638709</v>
      </c>
      <c r="G59" s="11">
        <v>50.148386085901393</v>
      </c>
      <c r="H59" s="11">
        <v>49.162186874752464</v>
      </c>
      <c r="I59" s="11">
        <v>47.356583390400758</v>
      </c>
      <c r="J59" s="11">
        <v>45.613098140872474</v>
      </c>
      <c r="K59" s="11">
        <v>43.928579751146003</v>
      </c>
      <c r="L59" s="11">
        <v>42.300086468277335</v>
      </c>
      <c r="M59" s="11">
        <v>40.724869017039396</v>
      </c>
      <c r="N59" s="11">
        <v>39.470902413772066</v>
      </c>
      <c r="O59" s="11">
        <v>38.271115132434538</v>
      </c>
      <c r="P59" s="11">
        <v>37.122070088715923</v>
      </c>
      <c r="Q59" s="11">
        <v>36.020614904917608</v>
      </c>
      <c r="R59" s="11">
        <v>34.963853028886632</v>
      </c>
      <c r="S59" s="11">
        <v>33.834084423680558</v>
      </c>
      <c r="T59" s="11">
        <v>32.75768257466089</v>
      </c>
      <c r="U59" s="11">
        <v>31.730953410599025</v>
      </c>
      <c r="V59" s="11">
        <v>30.750536111397217</v>
      </c>
      <c r="W59" s="11">
        <v>29.813366357682828</v>
      </c>
      <c r="X59" s="11">
        <v>28.769589945814253</v>
      </c>
      <c r="Y59" s="11">
        <v>27.774174487676063</v>
      </c>
      <c r="Z59" s="11">
        <v>26.823835044704182</v>
      </c>
      <c r="AA59" s="11">
        <v>25.91557759917821</v>
      </c>
      <c r="AB59" s="11">
        <v>25.046667546148797</v>
      </c>
      <c r="AC59" s="11">
        <v>24.05501080321725</v>
      </c>
      <c r="AD59" s="11">
        <v>23.105472512043484</v>
      </c>
      <c r="AE59" s="11">
        <v>22.195425138304287</v>
      </c>
      <c r="AF59" s="11">
        <v>21.322455251629048</v>
      </c>
      <c r="AG59" s="11">
        <v>20.484342153224063</v>
      </c>
      <c r="AH59" s="11">
        <v>19.588714520677541</v>
      </c>
      <c r="AI59" s="11">
        <v>18.72732168329194</v>
      </c>
      <c r="AJ59" s="11">
        <v>17.898237548082321</v>
      </c>
      <c r="AK59" s="11">
        <v>17.099677848202393</v>
      </c>
      <c r="AL59" s="11">
        <v>16.329987324855182</v>
      </c>
      <c r="AM59" s="11">
        <v>15.592822649909392</v>
      </c>
      <c r="AN59" s="11">
        <v>14.881593818799729</v>
      </c>
      <c r="AO59" s="11">
        <v>14.194955733342956</v>
      </c>
      <c r="AP59" s="11">
        <v>13.531654728281268</v>
      </c>
      <c r="AQ59" s="11">
        <v>12.890520932168467</v>
      </c>
      <c r="AR59" s="11">
        <v>12.168737048321288</v>
      </c>
      <c r="AS59" s="11">
        <v>11.469427741554492</v>
      </c>
      <c r="AT59" s="11">
        <v>10.791559399264573</v>
      </c>
      <c r="AU59" s="11">
        <v>10.134160833415166</v>
      </c>
      <c r="AV59" s="11">
        <v>9.4963186380034799</v>
      </c>
      <c r="AW59" s="11">
        <v>8.90391724498107</v>
      </c>
      <c r="AX59" s="11">
        <v>8.3292355626088685</v>
      </c>
      <c r="AY59" s="11">
        <v>7.7714902671327071</v>
      </c>
      <c r="AZ59" s="11">
        <v>7.2299435348481218</v>
      </c>
      <c r="BA59" s="11">
        <v>6.7038997857492975</v>
      </c>
      <c r="BB59" s="10" t="s">
        <v>19</v>
      </c>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row>
    <row r="60" spans="1:80" x14ac:dyDescent="0.2">
      <c r="A60" s="7"/>
      <c r="B60" s="101" t="s">
        <v>169</v>
      </c>
      <c r="C60" s="11">
        <v>23.755596735477077</v>
      </c>
      <c r="D60" s="11">
        <v>23.083296480643831</v>
      </c>
      <c r="E60" s="11">
        <v>22.457637558513614</v>
      </c>
      <c r="F60" s="11">
        <v>21.873929022084841</v>
      </c>
      <c r="G60" s="11">
        <v>21.328088574692995</v>
      </c>
      <c r="H60" s="11">
        <v>20.816546956018669</v>
      </c>
      <c r="I60" s="11">
        <v>20.235564262554018</v>
      </c>
      <c r="J60" s="11">
        <v>19.685394938236385</v>
      </c>
      <c r="K60" s="11">
        <v>19.163650953315866</v>
      </c>
      <c r="L60" s="11">
        <v>18.668184826312512</v>
      </c>
      <c r="M60" s="11">
        <v>18.197060079731546</v>
      </c>
      <c r="N60" s="11">
        <v>17.421849007965388</v>
      </c>
      <c r="O60" s="11">
        <v>16.698884879151834</v>
      </c>
      <c r="P60" s="11">
        <v>16.023057949044411</v>
      </c>
      <c r="Q60" s="11">
        <v>15.389903747262849</v>
      </c>
      <c r="R60" s="11">
        <v>14.795504335733526</v>
      </c>
      <c r="S60" s="11">
        <v>14.045310614946512</v>
      </c>
      <c r="T60" s="11">
        <v>13.348607605081169</v>
      </c>
      <c r="U60" s="11">
        <v>12.69987121246842</v>
      </c>
      <c r="V60" s="11">
        <v>12.094312676079458</v>
      </c>
      <c r="W60" s="11">
        <v>11.527760154547616</v>
      </c>
      <c r="X60" s="11">
        <v>10.908697403221018</v>
      </c>
      <c r="Y60" s="11">
        <v>10.334006986342189</v>
      </c>
      <c r="Z60" s="11">
        <v>9.7990832726015338</v>
      </c>
      <c r="AA60" s="11">
        <v>9.2999367048682196</v>
      </c>
      <c r="AB60" s="11">
        <v>8.8330941217985401</v>
      </c>
      <c r="AC60" s="11">
        <v>8.0723039899365681</v>
      </c>
      <c r="AD60" s="11">
        <v>7.3596315506404526</v>
      </c>
      <c r="AE60" s="11">
        <v>6.6906517889028505</v>
      </c>
      <c r="AF60" s="11">
        <v>6.0614661316799889</v>
      </c>
      <c r="AG60" s="11">
        <v>5.4686264209225053</v>
      </c>
      <c r="AH60" s="11">
        <v>5.0477033657660497</v>
      </c>
      <c r="AI60" s="11">
        <v>4.6515051552967224</v>
      </c>
      <c r="AJ60" s="11">
        <v>4.2779154552157257</v>
      </c>
      <c r="AK60" s="11">
        <v>3.9250527625198304</v>
      </c>
      <c r="AL60" s="11">
        <v>3.5912387131626384</v>
      </c>
      <c r="AM60" s="11">
        <v>3.2969670790020151</v>
      </c>
      <c r="AN60" s="11">
        <v>3.019715032894001</v>
      </c>
      <c r="AO60" s="11">
        <v>2.7580475477009596</v>
      </c>
      <c r="AP60" s="11">
        <v>2.5106865141100045</v>
      </c>
      <c r="AQ60" s="11">
        <v>2.2764898629887793</v>
      </c>
      <c r="AR60" s="11">
        <v>2.0814216927189055</v>
      </c>
      <c r="AS60" s="11">
        <v>1.8966405086270237</v>
      </c>
      <c r="AT60" s="11">
        <v>1.7213534841401148</v>
      </c>
      <c r="AU60" s="11">
        <v>1.5548472238145179</v>
      </c>
      <c r="AV60" s="11">
        <v>1.3964780589158383</v>
      </c>
      <c r="AW60" s="11">
        <v>1.2417333432624658</v>
      </c>
      <c r="AX60" s="11">
        <v>1.0937320890175271</v>
      </c>
      <c r="AY60" s="11">
        <v>0.95204289635373185</v>
      </c>
      <c r="AZ60" s="11">
        <v>0.81627039443538218</v>
      </c>
      <c r="BA60" s="11">
        <v>0.68605155707635257</v>
      </c>
      <c r="BB60" s="10" t="s">
        <v>19</v>
      </c>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row>
    <row r="61" spans="1:80" x14ac:dyDescent="0.2">
      <c r="A61" s="7"/>
      <c r="B61" s="101" t="s">
        <v>170</v>
      </c>
      <c r="C61" s="11">
        <v>34.358634920540695</v>
      </c>
      <c r="D61" s="11">
        <v>32.653015378224886</v>
      </c>
      <c r="E61" s="11">
        <v>31.115925716517058</v>
      </c>
      <c r="F61" s="11">
        <v>29.723563571968466</v>
      </c>
      <c r="G61" s="11">
        <v>28.456407359835755</v>
      </c>
      <c r="H61" s="11">
        <v>27.29829532607112</v>
      </c>
      <c r="I61" s="11">
        <v>27.026393156971199</v>
      </c>
      <c r="J61" s="11">
        <v>26.771749383301735</v>
      </c>
      <c r="K61" s="11">
        <v>26.532771390574275</v>
      </c>
      <c r="L61" s="11">
        <v>26.308056673008025</v>
      </c>
      <c r="M61" s="11">
        <v>26.096365289170748</v>
      </c>
      <c r="N61" s="11">
        <v>24.574655329108253</v>
      </c>
      <c r="O61" s="11">
        <v>23.178738669932557</v>
      </c>
      <c r="P61" s="11">
        <v>21.893636242602426</v>
      </c>
      <c r="Q61" s="11">
        <v>20.706656398785935</v>
      </c>
      <c r="R61" s="11">
        <v>19.606974333486168</v>
      </c>
      <c r="S61" s="11">
        <v>18.392960598115764</v>
      </c>
      <c r="T61" s="11">
        <v>17.287376884246356</v>
      </c>
      <c r="U61" s="11">
        <v>16.276317495135139</v>
      </c>
      <c r="V61" s="11">
        <v>15.348157050293173</v>
      </c>
      <c r="W61" s="11">
        <v>14.49310147308986</v>
      </c>
      <c r="X61" s="11">
        <v>13.52837647690386</v>
      </c>
      <c r="Y61" s="11">
        <v>12.649255939167402</v>
      </c>
      <c r="Z61" s="11">
        <v>11.844829797420214</v>
      </c>
      <c r="AA61" s="11">
        <v>11.105966383560933</v>
      </c>
      <c r="AB61" s="11">
        <v>10.424964253337896</v>
      </c>
      <c r="AC61" s="11">
        <v>9.4310972884375435</v>
      </c>
      <c r="AD61" s="11">
        <v>8.5228208429404937</v>
      </c>
      <c r="AE61" s="11">
        <v>7.6895349304125835</v>
      </c>
      <c r="AF61" s="11">
        <v>6.922320516856888</v>
      </c>
      <c r="AG61" s="11">
        <v>6.2136190189529472</v>
      </c>
      <c r="AH61" s="11">
        <v>5.7102431526346455</v>
      </c>
      <c r="AI61" s="11">
        <v>5.2510970740397642</v>
      </c>
      <c r="AJ61" s="11">
        <v>4.8305966484785063</v>
      </c>
      <c r="AK61" s="11">
        <v>4.4440597958331081</v>
      </c>
      <c r="AL61" s="11">
        <v>4.0875314148896678</v>
      </c>
      <c r="AM61" s="11">
        <v>3.7945680874689569</v>
      </c>
      <c r="AN61" s="11">
        <v>3.5244118492757779</v>
      </c>
      <c r="AO61" s="11">
        <v>3.2744991986605143</v>
      </c>
      <c r="AP61" s="11">
        <v>3.0426369410560086</v>
      </c>
      <c r="AQ61" s="11">
        <v>2.8269376542982205</v>
      </c>
      <c r="AR61" s="11">
        <v>2.5946101399076711</v>
      </c>
      <c r="AS61" s="11">
        <v>2.3811769290977822</v>
      </c>
      <c r="AT61" s="11">
        <v>2.1844231824473859</v>
      </c>
      <c r="AU61" s="11">
        <v>2.0024672151055971</v>
      </c>
      <c r="AV61" s="11">
        <v>1.8337001259352814</v>
      </c>
      <c r="AW61" s="11">
        <v>1.7204301040464809</v>
      </c>
      <c r="AX61" s="11">
        <v>1.6144512545453795</v>
      </c>
      <c r="AY61" s="11">
        <v>1.5150815316941295</v>
      </c>
      <c r="AZ61" s="11">
        <v>1.4217213858363247</v>
      </c>
      <c r="BA61" s="11">
        <v>1.3338416567078828</v>
      </c>
      <c r="BB61" s="10" t="s">
        <v>19</v>
      </c>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row>
    <row r="62" spans="1:80" x14ac:dyDescent="0.2">
      <c r="A62" s="7"/>
      <c r="B62" s="101" t="s">
        <v>171</v>
      </c>
      <c r="C62" s="11">
        <v>21.68305949929184</v>
      </c>
      <c r="D62" s="11">
        <v>21.174783786795825</v>
      </c>
      <c r="E62" s="11">
        <v>20.698730999496263</v>
      </c>
      <c r="F62" s="11">
        <v>20.25193105071617</v>
      </c>
      <c r="G62" s="11">
        <v>19.831767989290295</v>
      </c>
      <c r="H62" s="11">
        <v>19.435928746083977</v>
      </c>
      <c r="I62" s="11">
        <v>18.779057175349219</v>
      </c>
      <c r="J62" s="11">
        <v>18.155543911289111</v>
      </c>
      <c r="K62" s="11">
        <v>17.562910796169348</v>
      </c>
      <c r="L62" s="11">
        <v>16.998919207368196</v>
      </c>
      <c r="M62" s="11">
        <v>16.46154179884039</v>
      </c>
      <c r="N62" s="11">
        <v>15.833800762957106</v>
      </c>
      <c r="O62" s="11">
        <v>15.246218887663341</v>
      </c>
      <c r="P62" s="11">
        <v>14.695061902686627</v>
      </c>
      <c r="Q62" s="11">
        <v>14.177044602331369</v>
      </c>
      <c r="R62" s="11">
        <v>13.689265312824125</v>
      </c>
      <c r="S62" s="11">
        <v>13.033073806187673</v>
      </c>
      <c r="T62" s="11">
        <v>12.420886419846996</v>
      </c>
      <c r="U62" s="11">
        <v>11.848420388457859</v>
      </c>
      <c r="V62" s="11">
        <v>11.311931251441598</v>
      </c>
      <c r="W62" s="11">
        <v>10.808130854565295</v>
      </c>
      <c r="X62" s="11">
        <v>10.265266257974494</v>
      </c>
      <c r="Y62" s="11">
        <v>9.7590126011277931</v>
      </c>
      <c r="Z62" s="11">
        <v>9.2857871174387814</v>
      </c>
      <c r="AA62" s="11">
        <v>8.842459754692527</v>
      </c>
      <c r="AB62" s="11">
        <v>8.4262838591155003</v>
      </c>
      <c r="AC62" s="11">
        <v>7.7194051148842862</v>
      </c>
      <c r="AD62" s="11">
        <v>7.0529719778674567</v>
      </c>
      <c r="AE62" s="11">
        <v>6.4236097190169117</v>
      </c>
      <c r="AF62" s="11">
        <v>5.8283088936895586</v>
      </c>
      <c r="AG62" s="11">
        <v>5.2643772203381953</v>
      </c>
      <c r="AH62" s="11">
        <v>4.8622353000914522</v>
      </c>
      <c r="AI62" s="11">
        <v>4.4803719248390435</v>
      </c>
      <c r="AJ62" s="11">
        <v>4.1172909577416297</v>
      </c>
      <c r="AK62" s="11">
        <v>3.7716399078326992</v>
      </c>
      <c r="AL62" s="11">
        <v>3.442193094602306</v>
      </c>
      <c r="AM62" s="11">
        <v>3.1453498213467088</v>
      </c>
      <c r="AN62" s="11">
        <v>2.8638400556739554</v>
      </c>
      <c r="AO62" s="11">
        <v>2.5965056265851789</v>
      </c>
      <c r="AP62" s="11">
        <v>2.3423021372305435</v>
      </c>
      <c r="AQ62" s="11">
        <v>2.1002853288920336</v>
      </c>
      <c r="AR62" s="11">
        <v>1.9136604703149591</v>
      </c>
      <c r="AS62" s="11">
        <v>1.7350984215582537</v>
      </c>
      <c r="AT62" s="11">
        <v>1.5640877210443336</v>
      </c>
      <c r="AU62" s="11">
        <v>1.4001592706125148</v>
      </c>
      <c r="AV62" s="11">
        <v>1.2428820383953325</v>
      </c>
      <c r="AW62" s="11">
        <v>1.0709757605614341</v>
      </c>
      <c r="AX62" s="11">
        <v>0.90526717461343953</v>
      </c>
      <c r="AY62" s="11">
        <v>0.74542704975041396</v>
      </c>
      <c r="AZ62" s="11">
        <v>0.59114906842896164</v>
      </c>
      <c r="BA62" s="11">
        <v>0.44214786710406973</v>
      </c>
      <c r="BB62" s="10" t="s">
        <v>19</v>
      </c>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row>
    <row r="63" spans="1:80" x14ac:dyDescent="0.2">
      <c r="A63" s="7"/>
      <c r="B63" s="101" t="s">
        <v>107</v>
      </c>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row>
    <row r="64" spans="1:80" x14ac:dyDescent="0.2">
      <c r="B64" s="101" t="s">
        <v>8</v>
      </c>
      <c r="C64" s="11">
        <v>30.430498497927442</v>
      </c>
      <c r="D64" s="11">
        <v>30.014262452436981</v>
      </c>
      <c r="E64" s="11">
        <v>29.631257548290161</v>
      </c>
      <c r="F64" s="11">
        <v>29.27765692410852</v>
      </c>
      <c r="G64" s="11">
        <v>28.950199592842541</v>
      </c>
      <c r="H64" s="11">
        <v>28.646089576370066</v>
      </c>
      <c r="I64" s="11">
        <v>27.916345339859728</v>
      </c>
      <c r="J64" s="11">
        <v>27.239641049407016</v>
      </c>
      <c r="K64" s="11">
        <v>26.610396837865682</v>
      </c>
      <c r="L64" s="11">
        <v>26.023789000155681</v>
      </c>
      <c r="M64" s="11">
        <v>25.475626100425988</v>
      </c>
      <c r="N64" s="11">
        <v>24.817794005527436</v>
      </c>
      <c r="O64" s="11">
        <v>24.202771462731409</v>
      </c>
      <c r="P64" s="11">
        <v>23.626511302715397</v>
      </c>
      <c r="Q64" s="11">
        <v>23.085460924262339</v>
      </c>
      <c r="R64" s="11">
        <v>22.57648898789693</v>
      </c>
      <c r="S64" s="11">
        <v>21.920662098617793</v>
      </c>
      <c r="T64" s="11">
        <v>21.306605324899348</v>
      </c>
      <c r="U64" s="11">
        <v>20.730451269627792</v>
      </c>
      <c r="V64" s="11">
        <v>20.188795673068778</v>
      </c>
      <c r="W64" s="11">
        <v>19.678630099767762</v>
      </c>
      <c r="X64" s="11">
        <v>18.9717776191148</v>
      </c>
      <c r="Y64" s="11">
        <v>18.307323270285913</v>
      </c>
      <c r="Z64" s="11">
        <v>17.68156346610245</v>
      </c>
      <c r="AA64" s="11">
        <v>17.091213772002536</v>
      </c>
      <c r="AB64" s="11">
        <v>16.533351240730809</v>
      </c>
      <c r="AC64" s="11">
        <v>15.813169406549074</v>
      </c>
      <c r="AD64" s="11">
        <v>15.134031072723785</v>
      </c>
      <c r="AE64" s="11">
        <v>14.492524816068094</v>
      </c>
      <c r="AF64" s="11">
        <v>13.885607085410008</v>
      </c>
      <c r="AG64" s="11">
        <v>13.310553916298234</v>
      </c>
      <c r="AH64" s="11">
        <v>12.717451728549934</v>
      </c>
      <c r="AI64" s="11">
        <v>12.157559547789337</v>
      </c>
      <c r="AJ64" s="11">
        <v>11.628164011159731</v>
      </c>
      <c r="AK64" s="11">
        <v>11.126839506227247</v>
      </c>
      <c r="AL64" s="11">
        <v>10.651411011477343</v>
      </c>
      <c r="AM64" s="11">
        <v>10.163464517676712</v>
      </c>
      <c r="AN64" s="11">
        <v>9.7045210799070833</v>
      </c>
      <c r="AO64" s="11">
        <v>9.2720694615152688</v>
      </c>
      <c r="AP64" s="11">
        <v>8.8638802078416372</v>
      </c>
      <c r="AQ64" s="11">
        <v>8.4779672017645034</v>
      </c>
      <c r="AR64" s="11">
        <v>8.1301630593595231</v>
      </c>
      <c r="AS64" s="11">
        <v>7.7945501615953408</v>
      </c>
      <c r="AT64" s="11">
        <v>7.4704985570250777</v>
      </c>
      <c r="AU64" s="11">
        <v>7.1574209608163635</v>
      </c>
      <c r="AV64" s="11">
        <v>6.8547692026350315</v>
      </c>
      <c r="AW64" s="11">
        <v>6.5965629379641335</v>
      </c>
      <c r="AX64" s="11">
        <v>6.3465768820498782</v>
      </c>
      <c r="AY64" s="11">
        <v>6.1044246398366635</v>
      </c>
      <c r="AZ64" s="11">
        <v>5.8697436596053132</v>
      </c>
      <c r="BA64" s="11">
        <v>5.6421934217835883</v>
      </c>
      <c r="BB64" s="10" t="s">
        <v>20</v>
      </c>
      <c r="BC64" s="8"/>
      <c r="BD64" s="8"/>
      <c r="BE64" s="8"/>
      <c r="BF64" s="8"/>
      <c r="BG64" s="8"/>
      <c r="BH64" s="8"/>
      <c r="BI64" s="8"/>
      <c r="BJ64" s="8"/>
      <c r="BK64" s="8"/>
      <c r="BL64" s="8"/>
      <c r="BM64" s="8"/>
      <c r="BN64" s="8"/>
      <c r="BO64" s="8"/>
      <c r="BP64" s="8"/>
      <c r="BQ64" s="8"/>
      <c r="BR64" s="8"/>
      <c r="BS64" s="8"/>
      <c r="BT64" s="8"/>
      <c r="BU64" s="8"/>
      <c r="BV64" s="8"/>
      <c r="BW64" s="8"/>
    </row>
    <row r="65" spans="1:80" x14ac:dyDescent="0.2">
      <c r="B65" s="101" t="s">
        <v>181</v>
      </c>
      <c r="C65" s="11">
        <v>500.2545375453937</v>
      </c>
      <c r="D65" s="11">
        <v>505.71403903096382</v>
      </c>
      <c r="E65" s="11">
        <v>510.56201342204764</v>
      </c>
      <c r="F65" s="11">
        <v>514.89575860135233</v>
      </c>
      <c r="G65" s="11">
        <v>518.79297106419926</v>
      </c>
      <c r="H65" s="11">
        <v>522.31644529527989</v>
      </c>
      <c r="I65" s="11">
        <v>518.81406003867176</v>
      </c>
      <c r="J65" s="11">
        <v>515.16574206303846</v>
      </c>
      <c r="K65" s="11">
        <v>511.36217651397374</v>
      </c>
      <c r="L65" s="11">
        <v>507.39323854973253</v>
      </c>
      <c r="M65" s="11">
        <v>503.24790334263605</v>
      </c>
      <c r="N65" s="11">
        <v>500.24582772294514</v>
      </c>
      <c r="O65" s="11">
        <v>497.11866561910028</v>
      </c>
      <c r="P65" s="11">
        <v>493.85843278743238</v>
      </c>
      <c r="Q65" s="11">
        <v>490.45645070221354</v>
      </c>
      <c r="R65" s="11">
        <v>486.90326941320734</v>
      </c>
      <c r="S65" s="11">
        <v>478.61675197926547</v>
      </c>
      <c r="T65" s="11">
        <v>469.98496298557615</v>
      </c>
      <c r="U65" s="11">
        <v>460.98586382194242</v>
      </c>
      <c r="V65" s="11">
        <v>451.59549947728118</v>
      </c>
      <c r="W65" s="11">
        <v>441.7877856061906</v>
      </c>
      <c r="X65" s="11">
        <v>434.10320218961806</v>
      </c>
      <c r="Y65" s="11">
        <v>426.09842779735504</v>
      </c>
      <c r="Z65" s="11">
        <v>417.75302470754889</v>
      </c>
      <c r="AA65" s="11">
        <v>409.04477800514246</v>
      </c>
      <c r="AB65" s="11">
        <v>399.9494981159624</v>
      </c>
      <c r="AC65" s="11">
        <v>378.15576957195617</v>
      </c>
      <c r="AD65" s="11">
        <v>355.45396900528311</v>
      </c>
      <c r="AE65" s="11">
        <v>331.78613437194298</v>
      </c>
      <c r="AF65" s="11">
        <v>307.08926345019688</v>
      </c>
      <c r="AG65" s="11">
        <v>281.29475382081756</v>
      </c>
      <c r="AH65" s="11">
        <v>259.86722835010642</v>
      </c>
      <c r="AI65" s="11">
        <v>237.54688931811563</v>
      </c>
      <c r="AJ65" s="11">
        <v>214.2767486251891</v>
      </c>
      <c r="AK65" s="11">
        <v>189.99486268474402</v>
      </c>
      <c r="AL65" s="11">
        <v>164.63378181361253</v>
      </c>
      <c r="AM65" s="11">
        <v>137.36620421470752</v>
      </c>
      <c r="AN65" s="11">
        <v>108.96247754918149</v>
      </c>
      <c r="AO65" s="11">
        <v>79.350081663845828</v>
      </c>
      <c r="AP65" s="11">
        <v>48.450190305234713</v>
      </c>
      <c r="AQ65" s="11">
        <v>16.176970441796403</v>
      </c>
      <c r="AR65" s="11">
        <v>13.282307577520442</v>
      </c>
      <c r="AS65" s="11">
        <v>10.267033760566315</v>
      </c>
      <c r="AT65" s="11">
        <v>7.1234504194864803</v>
      </c>
      <c r="AU65" s="11">
        <v>3.8431895418379587</v>
      </c>
      <c r="AV65" s="11">
        <v>0.41713929184950133</v>
      </c>
      <c r="AW65" s="11">
        <v>0.4144380457080673</v>
      </c>
      <c r="AX65" s="11">
        <v>0.41162424764407363</v>
      </c>
      <c r="AY65" s="11">
        <v>0.40869071349225033</v>
      </c>
      <c r="AZ65" s="11">
        <v>0.40562963437730432</v>
      </c>
      <c r="BA65" s="11">
        <v>0.402432507301694</v>
      </c>
      <c r="BB65" s="10" t="s">
        <v>20</v>
      </c>
      <c r="BC65" s="8"/>
      <c r="BD65" s="8"/>
      <c r="BE65" s="8"/>
      <c r="BF65" s="8"/>
      <c r="BG65" s="8"/>
      <c r="BH65" s="8"/>
      <c r="BI65" s="8"/>
      <c r="BJ65" s="8"/>
      <c r="BK65" s="8"/>
      <c r="BL65" s="8"/>
      <c r="BM65" s="8"/>
      <c r="BN65" s="8"/>
      <c r="BO65" s="8"/>
      <c r="BP65" s="8"/>
      <c r="BQ65" s="8"/>
      <c r="BR65" s="8"/>
      <c r="BS65" s="8"/>
      <c r="BT65" s="8"/>
      <c r="BU65" s="8"/>
      <c r="BV65" s="8"/>
      <c r="BW65" s="8"/>
    </row>
    <row r="66" spans="1:80" x14ac:dyDescent="0.2">
      <c r="A66" s="1"/>
      <c r="B66" s="101" t="s">
        <v>172</v>
      </c>
      <c r="C66" s="11">
        <v>529.26983592528097</v>
      </c>
      <c r="D66" s="11">
        <v>521.35893647586681</v>
      </c>
      <c r="E66" s="11">
        <v>513.83054174908398</v>
      </c>
      <c r="F66" s="11">
        <v>506.65756452176225</v>
      </c>
      <c r="G66" s="11">
        <v>499.81541618060828</v>
      </c>
      <c r="H66" s="11">
        <v>493.28172511679293</v>
      </c>
      <c r="I66" s="11">
        <v>477.64987235728643</v>
      </c>
      <c r="J66" s="11">
        <v>462.58255503579267</v>
      </c>
      <c r="K66" s="11">
        <v>448.0497337673637</v>
      </c>
      <c r="L66" s="11">
        <v>434.02346325088513</v>
      </c>
      <c r="M66" s="11">
        <v>420.47771291820169</v>
      </c>
      <c r="N66" s="11">
        <v>408.2297104443864</v>
      </c>
      <c r="O66" s="11">
        <v>396.59723509623529</v>
      </c>
      <c r="P66" s="11">
        <v>385.53502396728885</v>
      </c>
      <c r="Q66" s="11">
        <v>375.0021458621469</v>
      </c>
      <c r="R66" s="11">
        <v>364.96149521752335</v>
      </c>
      <c r="S66" s="11">
        <v>354.43871448065113</v>
      </c>
      <c r="T66" s="11">
        <v>344.49626605229349</v>
      </c>
      <c r="U66" s="11">
        <v>335.08743016331215</v>
      </c>
      <c r="V66" s="11">
        <v>326.17037089855938</v>
      </c>
      <c r="W66" s="11">
        <v>317.70751428236775</v>
      </c>
      <c r="X66" s="11">
        <v>307.39782118539574</v>
      </c>
      <c r="Y66" s="11">
        <v>297.53842284328658</v>
      </c>
      <c r="Z66" s="11">
        <v>288.10044857212955</v>
      </c>
      <c r="AA66" s="11">
        <v>279.05744410664079</v>
      </c>
      <c r="AB66" s="11">
        <v>270.38512396993133</v>
      </c>
      <c r="AC66" s="11">
        <v>261.22600208195098</v>
      </c>
      <c r="AD66" s="11">
        <v>252.38688081131028</v>
      </c>
      <c r="AE66" s="11">
        <v>243.8512778553411</v>
      </c>
      <c r="AF66" s="11">
        <v>235.60382374582312</v>
      </c>
      <c r="AG66" s="11">
        <v>227.6301694889946</v>
      </c>
      <c r="AH66" s="11">
        <v>219.9570385536779</v>
      </c>
      <c r="AI66" s="11">
        <v>212.52077247178565</v>
      </c>
      <c r="AJ66" s="11">
        <v>205.31057014548009</v>
      </c>
      <c r="AK66" s="11">
        <v>198.31627735475382</v>
      </c>
      <c r="AL66" s="11">
        <v>191.5283390449076</v>
      </c>
      <c r="AM66" s="11">
        <v>185.0755890039643</v>
      </c>
      <c r="AN66" s="11">
        <v>178.81813165500984</v>
      </c>
      <c r="AO66" s="11">
        <v>172.74723335050038</v>
      </c>
      <c r="AP66" s="11">
        <v>166.85467356159717</v>
      </c>
      <c r="AQ66" s="11">
        <v>161.13270774025099</v>
      </c>
      <c r="AR66" s="11">
        <v>154.50555791114073</v>
      </c>
      <c r="AS66" s="11">
        <v>148.07593603118025</v>
      </c>
      <c r="AT66" s="11">
        <v>141.83514054133227</v>
      </c>
      <c r="AU66" s="11">
        <v>135.77497358432137</v>
      </c>
      <c r="AV66" s="11">
        <v>129.88770507771392</v>
      </c>
      <c r="AW66" s="11">
        <v>125.30692784842371</v>
      </c>
      <c r="AX66" s="11">
        <v>120.84765532488366</v>
      </c>
      <c r="AY66" s="11">
        <v>116.50511643111821</v>
      </c>
      <c r="AZ66" s="11">
        <v>112.27478665577331</v>
      </c>
      <c r="BA66" s="11">
        <v>108.15237232749615</v>
      </c>
      <c r="BB66" s="10" t="s">
        <v>20</v>
      </c>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row>
    <row r="67" spans="1:80" x14ac:dyDescent="0.2">
      <c r="A67" s="3"/>
      <c r="B67" s="101" t="s">
        <v>180</v>
      </c>
      <c r="C67" s="11">
        <v>101.01295631632219</v>
      </c>
      <c r="D67" s="11">
        <v>100.63570489013014</v>
      </c>
      <c r="E67" s="11">
        <v>100.29845303219382</v>
      </c>
      <c r="F67" s="11">
        <v>99.995159355782079</v>
      </c>
      <c r="G67" s="11">
        <v>99.720940783498548</v>
      </c>
      <c r="H67" s="11">
        <v>99.471807642817396</v>
      </c>
      <c r="I67" s="11">
        <v>98.082963818185604</v>
      </c>
      <c r="J67" s="11">
        <v>96.708662793636265</v>
      </c>
      <c r="K67" s="11">
        <v>95.348677338962474</v>
      </c>
      <c r="L67" s="11">
        <v>94.002784933370179</v>
      </c>
      <c r="M67" s="11">
        <v>92.670767644102</v>
      </c>
      <c r="N67" s="11">
        <v>91.272932544267832</v>
      </c>
      <c r="O67" s="11">
        <v>89.916962857932901</v>
      </c>
      <c r="P67" s="11">
        <v>88.601005519881767</v>
      </c>
      <c r="Q67" s="11">
        <v>87.323315236398344</v>
      </c>
      <c r="R67" s="11">
        <v>86.082246762761855</v>
      </c>
      <c r="S67" s="11">
        <v>84.226787498986397</v>
      </c>
      <c r="T67" s="11">
        <v>82.491738623661888</v>
      </c>
      <c r="U67" s="11">
        <v>80.865747421870282</v>
      </c>
      <c r="V67" s="11">
        <v>79.338844857836179</v>
      </c>
      <c r="W67" s="11">
        <v>77.902241003195059</v>
      </c>
      <c r="X67" s="11">
        <v>76.00536655926291</v>
      </c>
      <c r="Y67" s="11">
        <v>74.188795998668198</v>
      </c>
      <c r="Z67" s="11">
        <v>72.447535548176617</v>
      </c>
      <c r="AA67" s="11">
        <v>70.776997082721934</v>
      </c>
      <c r="AB67" s="11">
        <v>69.172957756305706</v>
      </c>
      <c r="AC67" s="11">
        <v>67.205303211798196</v>
      </c>
      <c r="AD67" s="11">
        <v>65.269857413308372</v>
      </c>
      <c r="AE67" s="11">
        <v>63.365835938411578</v>
      </c>
      <c r="AF67" s="11">
        <v>61.492479631672886</v>
      </c>
      <c r="AG67" s="11">
        <v>59.649053595431994</v>
      </c>
      <c r="AH67" s="11">
        <v>57.994952383404275</v>
      </c>
      <c r="AI67" s="11">
        <v>56.352428691844793</v>
      </c>
      <c r="AJ67" s="11">
        <v>54.72136139316455</v>
      </c>
      <c r="AK67" s="11">
        <v>53.101631043601309</v>
      </c>
      <c r="AL67" s="11">
        <v>51.493119854061582</v>
      </c>
      <c r="AM67" s="11">
        <v>50.07900380498868</v>
      </c>
      <c r="AN67" s="11">
        <v>48.685145018380304</v>
      </c>
      <c r="AO67" s="11">
        <v>47.311111310755386</v>
      </c>
      <c r="AP67" s="11">
        <v>45.95648270585135</v>
      </c>
      <c r="AQ67" s="11">
        <v>44.620851006648159</v>
      </c>
      <c r="AR67" s="11">
        <v>42.964195515588735</v>
      </c>
      <c r="AS67" s="11">
        <v>41.336617827380572</v>
      </c>
      <c r="AT67" s="11">
        <v>39.737359036935395</v>
      </c>
      <c r="AU67" s="11">
        <v>38.165686420403198</v>
      </c>
      <c r="AV67" s="11">
        <v>36.620892315803154</v>
      </c>
      <c r="AW67" s="11">
        <v>35.347077254026331</v>
      </c>
      <c r="AX67" s="11">
        <v>34.093690049847154</v>
      </c>
      <c r="AY67" s="11">
        <v>32.860243217349321</v>
      </c>
      <c r="AZ67" s="11">
        <v>31.64626465921587</v>
      </c>
      <c r="BA67" s="11">
        <v>30.451297064263663</v>
      </c>
      <c r="BB67" s="10" t="s">
        <v>20</v>
      </c>
      <c r="BC67" s="8"/>
    </row>
    <row r="68" spans="1:80" x14ac:dyDescent="0.2">
      <c r="A68" s="7"/>
      <c r="B68" s="101" t="s">
        <v>179</v>
      </c>
      <c r="C68" s="11">
        <v>78.423152415518103</v>
      </c>
      <c r="D68" s="11">
        <v>77.992819602478718</v>
      </c>
      <c r="E68" s="11">
        <v>77.606433805197028</v>
      </c>
      <c r="F68" s="11">
        <v>77.257590049528204</v>
      </c>
      <c r="G68" s="11">
        <v>76.941070337802472</v>
      </c>
      <c r="H68" s="11">
        <v>76.652580859287838</v>
      </c>
      <c r="I68" s="11">
        <v>75.121084120280614</v>
      </c>
      <c r="J68" s="11">
        <v>73.748821395518505</v>
      </c>
      <c r="K68" s="11">
        <v>72.512185905511089</v>
      </c>
      <c r="L68" s="11">
        <v>71.392017471451595</v>
      </c>
      <c r="M68" s="11">
        <v>70.372602640937316</v>
      </c>
      <c r="N68" s="11">
        <v>68.583836827711465</v>
      </c>
      <c r="O68" s="11">
        <v>66.951263457719904</v>
      </c>
      <c r="P68" s="11">
        <v>65.455280590218067</v>
      </c>
      <c r="Q68" s="11">
        <v>64.079434603976068</v>
      </c>
      <c r="R68" s="11">
        <v>62.809812522445469</v>
      </c>
      <c r="S68" s="11">
        <v>60.812800101327916</v>
      </c>
      <c r="T68" s="11">
        <v>58.966839403449519</v>
      </c>
      <c r="U68" s="11">
        <v>57.255416893246014</v>
      </c>
      <c r="V68" s="11">
        <v>55.664341496528706</v>
      </c>
      <c r="W68" s="11">
        <v>54.181350179984278</v>
      </c>
      <c r="X68" s="11">
        <v>52.13458488084936</v>
      </c>
      <c r="Y68" s="11">
        <v>50.224876512507031</v>
      </c>
      <c r="Z68" s="11">
        <v>48.438904512163667</v>
      </c>
      <c r="AA68" s="11">
        <v>46.765020317088521</v>
      </c>
      <c r="AB68" s="11">
        <v>45.192993009022828</v>
      </c>
      <c r="AC68" s="11">
        <v>43.241161898890709</v>
      </c>
      <c r="AD68" s="11">
        <v>41.406913365815029</v>
      </c>
      <c r="AE68" s="11">
        <v>39.679932945153034</v>
      </c>
      <c r="AF68" s="11">
        <v>38.051078292985068</v>
      </c>
      <c r="AG68" s="11">
        <v>36.512217287969321</v>
      </c>
      <c r="AH68" s="11">
        <v>34.910886824452362</v>
      </c>
      <c r="AI68" s="11">
        <v>33.39741866301781</v>
      </c>
      <c r="AJ68" s="11">
        <v>31.964774606160539</v>
      </c>
      <c r="AK68" s="11">
        <v>30.606648631231877</v>
      </c>
      <c r="AL68" s="11">
        <v>29.317374094754552</v>
      </c>
      <c r="AM68" s="11">
        <v>27.988116877738427</v>
      </c>
      <c r="AN68" s="11">
        <v>26.725937561132138</v>
      </c>
      <c r="AO68" s="11">
        <v>25.525883704323185</v>
      </c>
      <c r="AP68" s="11">
        <v>24.383478682732143</v>
      </c>
      <c r="AQ68" s="11">
        <v>23.29466588440096</v>
      </c>
      <c r="AR68" s="11">
        <v>21.978856530395106</v>
      </c>
      <c r="AS68" s="11">
        <v>20.724597646996443</v>
      </c>
      <c r="AT68" s="11">
        <v>19.527669157209388</v>
      </c>
      <c r="AU68" s="11">
        <v>18.38422815160261</v>
      </c>
      <c r="AV68" s="11">
        <v>17.290767672729416</v>
      </c>
      <c r="AW68" s="11">
        <v>16.247751311184796</v>
      </c>
      <c r="AX68" s="11">
        <v>15.250256485728292</v>
      </c>
      <c r="AY68" s="11">
        <v>14.295366718528411</v>
      </c>
      <c r="AZ68" s="11">
        <v>13.380409459964458</v>
      </c>
      <c r="BA68" s="11">
        <v>12.50293110887263</v>
      </c>
      <c r="BB68" s="10" t="s">
        <v>20</v>
      </c>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row>
    <row r="69" spans="1:80" x14ac:dyDescent="0.2">
      <c r="A69" s="7"/>
      <c r="B69" s="101" t="s">
        <v>137</v>
      </c>
      <c r="C69" s="11">
        <v>85.895890547370612</v>
      </c>
      <c r="D69" s="11">
        <v>85.494645927745879</v>
      </c>
      <c r="E69" s="11">
        <v>85.134897655956905</v>
      </c>
      <c r="F69" s="11">
        <v>84.81052496320126</v>
      </c>
      <c r="G69" s="11">
        <v>84.516554431249105</v>
      </c>
      <c r="H69" s="11">
        <v>84.248903185679936</v>
      </c>
      <c r="I69" s="11">
        <v>82.512300250329986</v>
      </c>
      <c r="J69" s="11">
        <v>80.905721413564905</v>
      </c>
      <c r="K69" s="11">
        <v>79.415090749320953</v>
      </c>
      <c r="L69" s="11">
        <v>78.028293312024701</v>
      </c>
      <c r="M69" s="11">
        <v>76.734845138713652</v>
      </c>
      <c r="N69" s="11">
        <v>74.887247026073865</v>
      </c>
      <c r="O69" s="11">
        <v>73.172152454140118</v>
      </c>
      <c r="P69" s="11">
        <v>71.57580079169287</v>
      </c>
      <c r="Q69" s="11">
        <v>70.086273062819345</v>
      </c>
      <c r="R69" s="11">
        <v>68.693193824108818</v>
      </c>
      <c r="S69" s="11">
        <v>66.698343594525284</v>
      </c>
      <c r="T69" s="11">
        <v>64.848929701445471</v>
      </c>
      <c r="U69" s="11">
        <v>63.129606779755193</v>
      </c>
      <c r="V69" s="11">
        <v>61.527114954872026</v>
      </c>
      <c r="W69" s="11">
        <v>60.029937202151402</v>
      </c>
      <c r="X69" s="11">
        <v>57.920373696994105</v>
      </c>
      <c r="Y69" s="11">
        <v>55.939252645006803</v>
      </c>
      <c r="Z69" s="11">
        <v>54.075190124266072</v>
      </c>
      <c r="AA69" s="11">
        <v>52.318108892889335</v>
      </c>
      <c r="AB69" s="11">
        <v>50.659056138135576</v>
      </c>
      <c r="AC69" s="11">
        <v>48.653952779730588</v>
      </c>
      <c r="AD69" s="11">
        <v>46.74921255288028</v>
      </c>
      <c r="AE69" s="11">
        <v>44.937484098614718</v>
      </c>
      <c r="AF69" s="11">
        <v>43.212116905411214</v>
      </c>
      <c r="AG69" s="11">
        <v>41.567079733674227</v>
      </c>
      <c r="AH69" s="11">
        <v>39.860795327558733</v>
      </c>
      <c r="AI69" s="11">
        <v>38.230741609976413</v>
      </c>
      <c r="AJ69" s="11">
        <v>36.671921631799357</v>
      </c>
      <c r="AK69" s="11">
        <v>35.179765840978945</v>
      </c>
      <c r="AL69" s="11">
        <v>33.750087344232966</v>
      </c>
      <c r="AM69" s="11">
        <v>32.339374817134249</v>
      </c>
      <c r="AN69" s="11">
        <v>30.989874453648568</v>
      </c>
      <c r="AO69" s="11">
        <v>29.697686773517656</v>
      </c>
      <c r="AP69" s="11">
        <v>28.459236627782406</v>
      </c>
      <c r="AQ69" s="11">
        <v>27.271240166147258</v>
      </c>
      <c r="AR69" s="11">
        <v>25.8668394112713</v>
      </c>
      <c r="AS69" s="11">
        <v>24.520617269336203</v>
      </c>
      <c r="AT69" s="11">
        <v>23.229031946336917</v>
      </c>
      <c r="AU69" s="11">
        <v>21.988823419865973</v>
      </c>
      <c r="AV69" s="11">
        <v>20.796985964713528</v>
      </c>
      <c r="AW69" s="11">
        <v>19.689077859360903</v>
      </c>
      <c r="AX69" s="11">
        <v>18.624236955206747</v>
      </c>
      <c r="AY69" s="11">
        <v>17.599999932795122</v>
      </c>
      <c r="AZ69" s="11">
        <v>16.614087817675646</v>
      </c>
      <c r="BA69" s="11">
        <v>15.66438905255028</v>
      </c>
      <c r="BB69" s="10" t="s">
        <v>20</v>
      </c>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row>
    <row r="70" spans="1:80" x14ac:dyDescent="0.2">
      <c r="A70" s="7"/>
      <c r="B70" s="101" t="s">
        <v>173</v>
      </c>
      <c r="C70" s="11">
        <v>15.774084407900864</v>
      </c>
      <c r="D70" s="11">
        <v>15.399213782668419</v>
      </c>
      <c r="E70" s="11">
        <v>15.044537497521265</v>
      </c>
      <c r="F70" s="11">
        <v>14.708466544067722</v>
      </c>
      <c r="G70" s="11">
        <v>14.389574363025373</v>
      </c>
      <c r="H70" s="11">
        <v>14.086576602000289</v>
      </c>
      <c r="I70" s="11">
        <v>13.852713770229823</v>
      </c>
      <c r="J70" s="11">
        <v>13.639969541909013</v>
      </c>
      <c r="K70" s="11">
        <v>13.445606877196456</v>
      </c>
      <c r="L70" s="11">
        <v>13.267342121878515</v>
      </c>
      <c r="M70" s="11">
        <v>13.103254862337389</v>
      </c>
      <c r="N70" s="11">
        <v>12.620242241980645</v>
      </c>
      <c r="O70" s="11">
        <v>12.164188729260347</v>
      </c>
      <c r="P70" s="11">
        <v>11.732898538857944</v>
      </c>
      <c r="Q70" s="11">
        <v>11.3244080411196</v>
      </c>
      <c r="R70" s="11">
        <v>10.936955870499082</v>
      </c>
      <c r="S70" s="11">
        <v>10.385778441026959</v>
      </c>
      <c r="T70" s="11">
        <v>9.8636933623726257</v>
      </c>
      <c r="U70" s="11">
        <v>9.3684565222112646</v>
      </c>
      <c r="V70" s="11">
        <v>8.8980488294245426</v>
      </c>
      <c r="W70" s="11">
        <v>8.4506486997249013</v>
      </c>
      <c r="X70" s="11">
        <v>7.9623179912301607</v>
      </c>
      <c r="Y70" s="11">
        <v>7.4965810374313016</v>
      </c>
      <c r="Z70" s="11">
        <v>7.0519052635694752</v>
      </c>
      <c r="AA70" s="11">
        <v>6.626893639846581</v>
      </c>
      <c r="AB70" s="11">
        <v>6.2202700206418289</v>
      </c>
      <c r="AC70" s="11">
        <v>5.7652878279971835</v>
      </c>
      <c r="AD70" s="11">
        <v>5.3279570221516641</v>
      </c>
      <c r="AE70" s="11">
        <v>4.9072699505880104</v>
      </c>
      <c r="AF70" s="11">
        <v>4.5022942261324079</v>
      </c>
      <c r="AG70" s="11">
        <v>4.1121658284598297</v>
      </c>
      <c r="AH70" s="11">
        <v>3.859378985580161</v>
      </c>
      <c r="AI70" s="11">
        <v>3.6149163194555651</v>
      </c>
      <c r="AJ70" s="11">
        <v>3.3783733221650869</v>
      </c>
      <c r="AK70" s="11">
        <v>3.1493712770809719</v>
      </c>
      <c r="AL70" s="11">
        <v>2.9275552355644137</v>
      </c>
      <c r="AM70" s="11">
        <v>2.7569264690361841</v>
      </c>
      <c r="AN70" s="11">
        <v>2.5909901810939178</v>
      </c>
      <c r="AO70" s="11">
        <v>2.4295554248851308</v>
      </c>
      <c r="AP70" s="11">
        <v>2.2724414749542503</v>
      </c>
      <c r="AQ70" s="11">
        <v>2.1194771523345608</v>
      </c>
      <c r="AR70" s="11">
        <v>1.9995021802352375</v>
      </c>
      <c r="AS70" s="11">
        <v>1.8823153617324222</v>
      </c>
      <c r="AT70" s="11">
        <v>1.7678206204308355</v>
      </c>
      <c r="AU70" s="11">
        <v>1.6559262440428324</v>
      </c>
      <c r="AV70" s="11">
        <v>1.546544639380417</v>
      </c>
      <c r="AW70" s="11">
        <v>1.4701485980043878</v>
      </c>
      <c r="AX70" s="11">
        <v>1.395272709806219</v>
      </c>
      <c r="AY70" s="11">
        <v>1.3218720490092168</v>
      </c>
      <c r="AZ70" s="11">
        <v>1.2499034428499758</v>
      </c>
      <c r="BA70" s="11">
        <v>1.1793253869007285</v>
      </c>
      <c r="BB70" s="10" t="s">
        <v>20</v>
      </c>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row>
    <row r="71" spans="1:80" x14ac:dyDescent="0.2">
      <c r="A71" s="7"/>
      <c r="B71" s="101" t="s">
        <v>174</v>
      </c>
      <c r="C71" s="11">
        <v>11.401533991418905</v>
      </c>
      <c r="D71" s="11">
        <v>10.949911985660229</v>
      </c>
      <c r="E71" s="11">
        <v>10.533106172064885</v>
      </c>
      <c r="F71" s="11">
        <v>10.147239931951047</v>
      </c>
      <c r="G71" s="11">
        <v>9.7889915746896179</v>
      </c>
      <c r="H71" s="11">
        <v>9.4554984727452407</v>
      </c>
      <c r="I71" s="11">
        <v>9.2192868692521781</v>
      </c>
      <c r="J71" s="11">
        <v>8.9997478959479302</v>
      </c>
      <c r="K71" s="11">
        <v>8.795176509099031</v>
      </c>
      <c r="L71" s="11">
        <v>8.6040924916700678</v>
      </c>
      <c r="M71" s="11">
        <v>8.4252045789216563</v>
      </c>
      <c r="N71" s="11">
        <v>8.1784120471478747</v>
      </c>
      <c r="O71" s="11">
        <v>7.9475359259702838</v>
      </c>
      <c r="P71" s="11">
        <v>7.7310845683233307</v>
      </c>
      <c r="Q71" s="11">
        <v>7.5277470721663242</v>
      </c>
      <c r="R71" s="11">
        <v>7.3363667089909876</v>
      </c>
      <c r="S71" s="11">
        <v>7.0851042592626863</v>
      </c>
      <c r="T71" s="11">
        <v>6.8495299221886903</v>
      </c>
      <c r="U71" s="11">
        <v>6.6282188963481445</v>
      </c>
      <c r="V71" s="11">
        <v>6.4199138453743982</v>
      </c>
      <c r="W71" s="11">
        <v>6.2235009963712766</v>
      </c>
      <c r="X71" s="11">
        <v>6.0186577498853175</v>
      </c>
      <c r="Y71" s="11">
        <v>5.8263882222311585</v>
      </c>
      <c r="Z71" s="11">
        <v>5.6455691836975346</v>
      </c>
      <c r="AA71" s="11">
        <v>5.4752073224436835</v>
      </c>
      <c r="AB71" s="11">
        <v>5.314420988767953</v>
      </c>
      <c r="AC71" s="11">
        <v>5.0967762528834779</v>
      </c>
      <c r="AD71" s="11">
        <v>4.8924129007851818</v>
      </c>
      <c r="AE71" s="11">
        <v>4.7001512181441614</v>
      </c>
      <c r="AF71" s="11">
        <v>4.5189471897787747</v>
      </c>
      <c r="AG71" s="11">
        <v>4.347873533701005</v>
      </c>
      <c r="AH71" s="11">
        <v>4.184519480518011</v>
      </c>
      <c r="AI71" s="11">
        <v>4.0312147072067068</v>
      </c>
      <c r="AJ71" s="11">
        <v>3.8870595628902289</v>
      </c>
      <c r="AK71" s="11">
        <v>3.7512586720051044</v>
      </c>
      <c r="AL71" s="11">
        <v>3.6231062520209059</v>
      </c>
      <c r="AM71" s="11">
        <v>3.4940735436627741</v>
      </c>
      <c r="AN71" s="11">
        <v>3.3736434658741348</v>
      </c>
      <c r="AO71" s="11">
        <v>3.2609834638723454</v>
      </c>
      <c r="AP71" s="11">
        <v>3.1553650573265708</v>
      </c>
      <c r="AQ71" s="11">
        <v>3.056148070751513</v>
      </c>
      <c r="AR71" s="11">
        <v>2.988452661480463</v>
      </c>
      <c r="AS71" s="11">
        <v>2.9230919963369768</v>
      </c>
      <c r="AT71" s="11">
        <v>2.8599473385367831</v>
      </c>
      <c r="AU71" s="11">
        <v>2.7989078684568964</v>
      </c>
      <c r="AV71" s="11">
        <v>2.7398700345770477</v>
      </c>
      <c r="AW71" s="11">
        <v>2.7038077790781649</v>
      </c>
      <c r="AX71" s="11">
        <v>2.6688655528335823</v>
      </c>
      <c r="AY71" s="11">
        <v>2.6349919745856867</v>
      </c>
      <c r="AZ71" s="11">
        <v>2.6021387585569857</v>
      </c>
      <c r="BA71" s="11">
        <v>2.5702604847987387</v>
      </c>
      <c r="BB71" s="10" t="s">
        <v>20</v>
      </c>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row>
    <row r="72" spans="1:80" x14ac:dyDescent="0.2">
      <c r="A72" s="7"/>
      <c r="B72" s="101" t="s">
        <v>175</v>
      </c>
      <c r="C72" s="8">
        <v>221.78746307046302</v>
      </c>
      <c r="D72" s="8">
        <v>219.4812404943041</v>
      </c>
      <c r="E72" s="8">
        <v>217.17501791814519</v>
      </c>
      <c r="F72" s="8">
        <v>214.8687953419863</v>
      </c>
      <c r="G72" s="8">
        <v>212.56257276582738</v>
      </c>
      <c r="H72" s="8">
        <v>210.25635018966847</v>
      </c>
      <c r="I72" s="8">
        <v>198.58503664448634</v>
      </c>
      <c r="J72" s="8">
        <v>186.91372309930421</v>
      </c>
      <c r="K72" s="8">
        <v>175.2424095541221</v>
      </c>
      <c r="L72" s="8">
        <v>163.57109600893997</v>
      </c>
      <c r="M72" s="8">
        <v>151.89978246375784</v>
      </c>
      <c r="N72" s="8">
        <v>149.83773807609614</v>
      </c>
      <c r="O72" s="8">
        <v>147.77569368843442</v>
      </c>
      <c r="P72" s="8">
        <v>145.71364930077272</v>
      </c>
      <c r="Q72" s="8">
        <v>143.65160491311099</v>
      </c>
      <c r="R72" s="8">
        <v>141.58956052544929</v>
      </c>
      <c r="S72" s="8">
        <v>139.32451554517681</v>
      </c>
      <c r="T72" s="8">
        <v>137.05947056490433</v>
      </c>
      <c r="U72" s="8">
        <v>134.79442558463185</v>
      </c>
      <c r="V72" s="8">
        <v>132.52938060435937</v>
      </c>
      <c r="W72" s="8">
        <v>130.2643356240869</v>
      </c>
      <c r="X72" s="8">
        <v>127.46307986479439</v>
      </c>
      <c r="Y72" s="8">
        <v>124.66182410550189</v>
      </c>
      <c r="Z72" s="8">
        <v>121.86056834620939</v>
      </c>
      <c r="AA72" s="8">
        <v>119.05931258691689</v>
      </c>
      <c r="AB72" s="8">
        <v>116.25805682762439</v>
      </c>
      <c r="AC72" s="8">
        <v>112.86478144693397</v>
      </c>
      <c r="AD72" s="8">
        <v>109.47150606624356</v>
      </c>
      <c r="AE72" s="8">
        <v>106.07823068555314</v>
      </c>
      <c r="AF72" s="8">
        <v>102.68495530486273</v>
      </c>
      <c r="AG72" s="8">
        <v>99.291679924172314</v>
      </c>
      <c r="AH72" s="8">
        <v>96.598051929608985</v>
      </c>
      <c r="AI72" s="8">
        <v>93.904423935045656</v>
      </c>
      <c r="AJ72" s="8">
        <v>91.210795940482342</v>
      </c>
      <c r="AK72" s="8">
        <v>88.517167945919013</v>
      </c>
      <c r="AL72" s="8">
        <v>85.823539951355684</v>
      </c>
      <c r="AM72" s="8">
        <v>83.440811116871956</v>
      </c>
      <c r="AN72" s="8">
        <v>81.058082282388227</v>
      </c>
      <c r="AO72" s="8">
        <v>78.675353447904499</v>
      </c>
      <c r="AP72" s="8">
        <v>76.29262461342077</v>
      </c>
      <c r="AQ72" s="8">
        <v>73.909895778937042</v>
      </c>
      <c r="AR72" s="8">
        <v>71.415644133362264</v>
      </c>
      <c r="AS72" s="8">
        <v>68.921392487787486</v>
      </c>
      <c r="AT72" s="8">
        <v>66.427140842212708</v>
      </c>
      <c r="AU72" s="8">
        <v>63.932889196637937</v>
      </c>
      <c r="AV72" s="8">
        <v>61.438637551063159</v>
      </c>
      <c r="AW72" s="8">
        <v>60.496773065841957</v>
      </c>
      <c r="AX72" s="8">
        <v>59.554908580620754</v>
      </c>
      <c r="AY72" s="8">
        <v>58.613044095399545</v>
      </c>
      <c r="AZ72" s="8">
        <v>57.671179610178342</v>
      </c>
      <c r="BA72" s="8">
        <v>56.729315124957139</v>
      </c>
      <c r="BB72" s="10" t="s">
        <v>21</v>
      </c>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row>
    <row r="73" spans="1:80" x14ac:dyDescent="0.2">
      <c r="A73" s="7"/>
      <c r="B73" s="101" t="s">
        <v>176</v>
      </c>
      <c r="C73" s="8">
        <v>274.26497997862447</v>
      </c>
      <c r="D73" s="8">
        <v>270.38834430993523</v>
      </c>
      <c r="E73" s="8">
        <v>266.511708641246</v>
      </c>
      <c r="F73" s="8">
        <v>262.63507297255683</v>
      </c>
      <c r="G73" s="8">
        <v>258.75843730386759</v>
      </c>
      <c r="H73" s="8">
        <v>254.88180163517836</v>
      </c>
      <c r="I73" s="8">
        <v>247.30965087880978</v>
      </c>
      <c r="J73" s="8">
        <v>239.73750012244119</v>
      </c>
      <c r="K73" s="8">
        <v>232.1653493660726</v>
      </c>
      <c r="L73" s="8">
        <v>224.59319860970402</v>
      </c>
      <c r="M73" s="8">
        <v>217.02104785333543</v>
      </c>
      <c r="N73" s="8">
        <v>213.43501656087574</v>
      </c>
      <c r="O73" s="8">
        <v>209.84898526841604</v>
      </c>
      <c r="P73" s="8">
        <v>206.26295397595638</v>
      </c>
      <c r="Q73" s="8">
        <v>202.67692268349668</v>
      </c>
      <c r="R73" s="8">
        <v>199.09089139103699</v>
      </c>
      <c r="S73" s="8">
        <v>194.14950555028139</v>
      </c>
      <c r="T73" s="8">
        <v>189.20811970952576</v>
      </c>
      <c r="U73" s="8">
        <v>184.26673386877016</v>
      </c>
      <c r="V73" s="8">
        <v>179.32534802801453</v>
      </c>
      <c r="W73" s="8">
        <v>174.38396218725893</v>
      </c>
      <c r="X73" s="8">
        <v>170.35561065034636</v>
      </c>
      <c r="Y73" s="8">
        <v>166.32725911343377</v>
      </c>
      <c r="Z73" s="8">
        <v>162.2989075765212</v>
      </c>
      <c r="AA73" s="8">
        <v>158.27055603960861</v>
      </c>
      <c r="AB73" s="8">
        <v>154.24220450269604</v>
      </c>
      <c r="AC73" s="8">
        <v>150.18252306690732</v>
      </c>
      <c r="AD73" s="8">
        <v>146.1228416311186</v>
      </c>
      <c r="AE73" s="8">
        <v>142.06316019532991</v>
      </c>
      <c r="AF73" s="8">
        <v>138.0034787595412</v>
      </c>
      <c r="AG73" s="8">
        <v>133.94379732375248</v>
      </c>
      <c r="AH73" s="8">
        <v>130.31502332416136</v>
      </c>
      <c r="AI73" s="8">
        <v>126.68624932457023</v>
      </c>
      <c r="AJ73" s="8">
        <v>123.05747532497909</v>
      </c>
      <c r="AK73" s="8">
        <v>119.42870132538798</v>
      </c>
      <c r="AL73" s="8">
        <v>115.79992732579684</v>
      </c>
      <c r="AM73" s="8">
        <v>112.46954907992617</v>
      </c>
      <c r="AN73" s="8">
        <v>109.13917083405549</v>
      </c>
      <c r="AO73" s="8">
        <v>105.80879258818482</v>
      </c>
      <c r="AP73" s="8">
        <v>102.47841434231415</v>
      </c>
      <c r="AQ73" s="8">
        <v>99.148036096443477</v>
      </c>
      <c r="AR73" s="8">
        <v>95.451881699729114</v>
      </c>
      <c r="AS73" s="8">
        <v>91.755727303014751</v>
      </c>
      <c r="AT73" s="8">
        <v>88.059572906300389</v>
      </c>
      <c r="AU73" s="8">
        <v>84.363418509586012</v>
      </c>
      <c r="AV73" s="8">
        <v>80.667264112871649</v>
      </c>
      <c r="AW73" s="8">
        <v>79.466228462545473</v>
      </c>
      <c r="AX73" s="8">
        <v>78.265192812219283</v>
      </c>
      <c r="AY73" s="8">
        <v>77.064157161893107</v>
      </c>
      <c r="AZ73" s="8">
        <v>75.863121511566916</v>
      </c>
      <c r="BA73" s="8">
        <v>74.66208586124074</v>
      </c>
      <c r="BB73" s="10" t="s">
        <v>21</v>
      </c>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row>
    <row r="74" spans="1:80" x14ac:dyDescent="0.2">
      <c r="A74" s="7"/>
      <c r="B74" s="101" t="s">
        <v>177</v>
      </c>
      <c r="C74" s="8">
        <v>802.22850019909527</v>
      </c>
      <c r="D74" s="8">
        <v>801.34952228965994</v>
      </c>
      <c r="E74" s="8">
        <v>800.47054438022462</v>
      </c>
      <c r="F74" s="8">
        <v>799.59156647078942</v>
      </c>
      <c r="G74" s="8">
        <v>798.7125885613541</v>
      </c>
      <c r="H74" s="8">
        <v>797.83361065191878</v>
      </c>
      <c r="I74" s="8">
        <v>786.48438809302706</v>
      </c>
      <c r="J74" s="8">
        <v>775.13516553413535</v>
      </c>
      <c r="K74" s="8">
        <v>763.78594297524353</v>
      </c>
      <c r="L74" s="8">
        <v>752.43672041635182</v>
      </c>
      <c r="M74" s="8">
        <v>741.08749785746011</v>
      </c>
      <c r="N74" s="8">
        <v>733.2101098525327</v>
      </c>
      <c r="O74" s="8">
        <v>725.33272184760517</v>
      </c>
      <c r="P74" s="8">
        <v>717.45533384267776</v>
      </c>
      <c r="Q74" s="8">
        <v>709.57794583775024</v>
      </c>
      <c r="R74" s="8">
        <v>701.70055783282282</v>
      </c>
      <c r="S74" s="8">
        <v>686.94430342761689</v>
      </c>
      <c r="T74" s="8">
        <v>672.18804902241095</v>
      </c>
      <c r="U74" s="8">
        <v>657.43179461720513</v>
      </c>
      <c r="V74" s="8">
        <v>642.67554021199919</v>
      </c>
      <c r="W74" s="8">
        <v>627.91928580679325</v>
      </c>
      <c r="X74" s="8">
        <v>613.68358911368</v>
      </c>
      <c r="Y74" s="8">
        <v>599.44789242056675</v>
      </c>
      <c r="Z74" s="8">
        <v>585.2121957274536</v>
      </c>
      <c r="AA74" s="8">
        <v>570.97649903434035</v>
      </c>
      <c r="AB74" s="8">
        <v>556.74080234122709</v>
      </c>
      <c r="AC74" s="8">
        <v>544.10678236082128</v>
      </c>
      <c r="AD74" s="8">
        <v>531.47276238041547</v>
      </c>
      <c r="AE74" s="8">
        <v>518.83874240000978</v>
      </c>
      <c r="AF74" s="8">
        <v>506.20472241960397</v>
      </c>
      <c r="AG74" s="8">
        <v>493.57070243919816</v>
      </c>
      <c r="AH74" s="8">
        <v>483.36749472711455</v>
      </c>
      <c r="AI74" s="8">
        <v>473.16428701503088</v>
      </c>
      <c r="AJ74" s="8">
        <v>462.96107930294727</v>
      </c>
      <c r="AK74" s="8">
        <v>452.7578715908636</v>
      </c>
      <c r="AL74" s="8">
        <v>442.55466387877999</v>
      </c>
      <c r="AM74" s="8">
        <v>433.58145384621787</v>
      </c>
      <c r="AN74" s="8">
        <v>424.60824381365569</v>
      </c>
      <c r="AO74" s="8">
        <v>415.63503378109357</v>
      </c>
      <c r="AP74" s="8">
        <v>406.66182374853139</v>
      </c>
      <c r="AQ74" s="8">
        <v>397.68861371596927</v>
      </c>
      <c r="AR74" s="8">
        <v>388.18206322181612</v>
      </c>
      <c r="AS74" s="8">
        <v>378.67551272766298</v>
      </c>
      <c r="AT74" s="8">
        <v>369.16896223350989</v>
      </c>
      <c r="AU74" s="8">
        <v>359.66241173935674</v>
      </c>
      <c r="AV74" s="8">
        <v>350.1558612452036</v>
      </c>
      <c r="AW74" s="8">
        <v>345.45351939824332</v>
      </c>
      <c r="AX74" s="8">
        <v>340.75117755128304</v>
      </c>
      <c r="AY74" s="8">
        <v>336.04883570432276</v>
      </c>
      <c r="AZ74" s="8">
        <v>331.34649385736247</v>
      </c>
      <c r="BA74" s="8">
        <v>326.64415201040219</v>
      </c>
      <c r="BB74" s="10" t="s">
        <v>21</v>
      </c>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row>
    <row r="75" spans="1:80" x14ac:dyDescent="0.2">
      <c r="A75" s="7"/>
      <c r="B75" s="101" t="s">
        <v>178</v>
      </c>
      <c r="C75" s="8">
        <v>1200.1541825633744</v>
      </c>
      <c r="D75" s="8">
        <v>1193.5122826731283</v>
      </c>
      <c r="E75" s="8">
        <v>1186.8703827828824</v>
      </c>
      <c r="F75" s="8">
        <v>1180.2284828926363</v>
      </c>
      <c r="G75" s="8">
        <v>1173.5865830023904</v>
      </c>
      <c r="H75" s="8">
        <v>1166.9446831121443</v>
      </c>
      <c r="I75" s="8">
        <v>1157.0306269214614</v>
      </c>
      <c r="J75" s="8">
        <v>1147.1165707307782</v>
      </c>
      <c r="K75" s="8">
        <v>1137.2025145400953</v>
      </c>
      <c r="L75" s="8">
        <v>1127.2884583494122</v>
      </c>
      <c r="M75" s="8">
        <v>1117.3744021587293</v>
      </c>
      <c r="N75" s="8">
        <v>1099.3463377259059</v>
      </c>
      <c r="O75" s="8">
        <v>1081.3182732930825</v>
      </c>
      <c r="P75" s="8">
        <v>1063.2902088602589</v>
      </c>
      <c r="Q75" s="8">
        <v>1045.2621444274355</v>
      </c>
      <c r="R75" s="8">
        <v>1027.2340799946121</v>
      </c>
      <c r="S75" s="8">
        <v>1006.1704268436109</v>
      </c>
      <c r="T75" s="8">
        <v>985.10677369260975</v>
      </c>
      <c r="U75" s="8">
        <v>964.04312054160857</v>
      </c>
      <c r="V75" s="8">
        <v>942.9794673906074</v>
      </c>
      <c r="W75" s="8">
        <v>921.91581423960622</v>
      </c>
      <c r="X75" s="8">
        <v>902.5429221667124</v>
      </c>
      <c r="Y75" s="8">
        <v>883.17003009381847</v>
      </c>
      <c r="Z75" s="8">
        <v>863.79713802092465</v>
      </c>
      <c r="AA75" s="8">
        <v>844.42424594803072</v>
      </c>
      <c r="AB75" s="8">
        <v>825.0513538751369</v>
      </c>
      <c r="AC75" s="8">
        <v>805.51502194340378</v>
      </c>
      <c r="AD75" s="8">
        <v>785.97869001167055</v>
      </c>
      <c r="AE75" s="8">
        <v>766.44235807993743</v>
      </c>
      <c r="AF75" s="8">
        <v>746.90602614820421</v>
      </c>
      <c r="AG75" s="8">
        <v>727.36969421647109</v>
      </c>
      <c r="AH75" s="8">
        <v>712.31630731358689</v>
      </c>
      <c r="AI75" s="8">
        <v>697.26292041070269</v>
      </c>
      <c r="AJ75" s="8">
        <v>682.20953350781861</v>
      </c>
      <c r="AK75" s="8">
        <v>667.15614660493441</v>
      </c>
      <c r="AL75" s="8">
        <v>652.10275970205021</v>
      </c>
      <c r="AM75" s="8">
        <v>640.58057310878189</v>
      </c>
      <c r="AN75" s="8">
        <v>629.05838651551369</v>
      </c>
      <c r="AO75" s="8">
        <v>617.53619992224537</v>
      </c>
      <c r="AP75" s="8">
        <v>606.01401332897717</v>
      </c>
      <c r="AQ75" s="8">
        <v>594.49182673570886</v>
      </c>
      <c r="AR75" s="8">
        <v>583.25684520189088</v>
      </c>
      <c r="AS75" s="8">
        <v>572.02186366807291</v>
      </c>
      <c r="AT75" s="8">
        <v>560.78688213425494</v>
      </c>
      <c r="AU75" s="8">
        <v>549.55190060043697</v>
      </c>
      <c r="AV75" s="8">
        <v>538.31691906661899</v>
      </c>
      <c r="AW75" s="8">
        <v>534.48085239410239</v>
      </c>
      <c r="AX75" s="8">
        <v>530.64478572158578</v>
      </c>
      <c r="AY75" s="8">
        <v>526.80871904906928</v>
      </c>
      <c r="AZ75" s="8">
        <v>522.97265237655267</v>
      </c>
      <c r="BA75" s="8">
        <v>519.13658570403607</v>
      </c>
      <c r="BB75" s="10" t="s">
        <v>21</v>
      </c>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row>
    <row r="76" spans="1:80" x14ac:dyDescent="0.2">
      <c r="A76" s="7"/>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10"/>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row>
    <row r="77" spans="1:80" x14ac:dyDescent="0.2">
      <c r="A77" s="7"/>
      <c r="B77" s="1" t="s">
        <v>22</v>
      </c>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10"/>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row>
    <row r="78" spans="1:80" x14ac:dyDescent="0.2">
      <c r="A78" s="7"/>
      <c r="B78" s="5" t="s">
        <v>1</v>
      </c>
      <c r="C78" s="6">
        <v>2010</v>
      </c>
      <c r="D78" s="3">
        <v>2011</v>
      </c>
      <c r="E78" s="3">
        <v>2012</v>
      </c>
      <c r="F78" s="3">
        <v>2013</v>
      </c>
      <c r="G78" s="3">
        <v>2014</v>
      </c>
      <c r="H78" s="6">
        <v>2015</v>
      </c>
      <c r="I78" s="3">
        <v>2016</v>
      </c>
      <c r="J78" s="3">
        <v>2017</v>
      </c>
      <c r="K78" s="3">
        <v>2018</v>
      </c>
      <c r="L78" s="3">
        <v>2019</v>
      </c>
      <c r="M78" s="6">
        <v>2020</v>
      </c>
      <c r="N78" s="3">
        <v>2021</v>
      </c>
      <c r="O78" s="3">
        <v>2022</v>
      </c>
      <c r="P78" s="3">
        <v>2023</v>
      </c>
      <c r="Q78" s="3">
        <v>2024</v>
      </c>
      <c r="R78" s="6">
        <v>2025</v>
      </c>
      <c r="S78" s="3">
        <v>2026</v>
      </c>
      <c r="T78" s="3">
        <v>2027</v>
      </c>
      <c r="U78" s="3">
        <v>2028</v>
      </c>
      <c r="V78" s="3">
        <v>2029</v>
      </c>
      <c r="W78" s="6">
        <v>2030</v>
      </c>
      <c r="X78" s="3">
        <v>2031</v>
      </c>
      <c r="Y78" s="3">
        <v>2032</v>
      </c>
      <c r="Z78" s="3">
        <v>2033</v>
      </c>
      <c r="AA78" s="3">
        <v>2034</v>
      </c>
      <c r="AB78" s="6">
        <v>2035</v>
      </c>
      <c r="AC78" s="3">
        <v>2036</v>
      </c>
      <c r="AD78" s="3">
        <v>2037</v>
      </c>
      <c r="AE78" s="3">
        <v>2038</v>
      </c>
      <c r="AF78" s="3">
        <v>2039</v>
      </c>
      <c r="AG78" s="6">
        <v>2040</v>
      </c>
      <c r="AH78" s="3">
        <v>2041</v>
      </c>
      <c r="AI78" s="3">
        <v>2042</v>
      </c>
      <c r="AJ78" s="3">
        <v>2043</v>
      </c>
      <c r="AK78" s="3">
        <v>2044</v>
      </c>
      <c r="AL78" s="6">
        <v>2045</v>
      </c>
      <c r="AM78" s="3">
        <v>2046</v>
      </c>
      <c r="AN78" s="3">
        <v>2047</v>
      </c>
      <c r="AO78" s="3">
        <v>2048</v>
      </c>
      <c r="AP78" s="3">
        <v>2049</v>
      </c>
      <c r="AQ78" s="6">
        <v>2050</v>
      </c>
      <c r="AR78" s="3">
        <v>2051</v>
      </c>
      <c r="AS78" s="3">
        <v>2052</v>
      </c>
      <c r="AT78" s="3">
        <v>2053</v>
      </c>
      <c r="AU78" s="3">
        <v>2054</v>
      </c>
      <c r="AV78" s="6">
        <v>2055</v>
      </c>
      <c r="AW78" s="3">
        <v>2056</v>
      </c>
      <c r="AX78" s="3">
        <v>2057</v>
      </c>
      <c r="AY78" s="3">
        <v>2058</v>
      </c>
      <c r="AZ78" s="3">
        <v>2059</v>
      </c>
      <c r="BA78" s="6">
        <v>2060</v>
      </c>
      <c r="BD78" s="8"/>
      <c r="BE78" s="8"/>
      <c r="BF78" s="8"/>
      <c r="BG78" s="8"/>
      <c r="BH78" s="8"/>
      <c r="BI78" s="8"/>
      <c r="BJ78" s="8"/>
      <c r="BK78" s="8"/>
      <c r="BL78" s="8"/>
      <c r="BM78" s="8"/>
      <c r="BN78" s="8"/>
      <c r="BO78" s="8"/>
      <c r="BP78" s="8"/>
      <c r="BQ78" s="8"/>
      <c r="BR78" s="8"/>
      <c r="BS78" s="8"/>
      <c r="BT78" s="8"/>
      <c r="BU78" s="8"/>
      <c r="BV78" s="8"/>
      <c r="BW78" s="8"/>
      <c r="BX78" s="8"/>
      <c r="BY78" s="8"/>
      <c r="BZ78" s="8"/>
      <c r="CA78" s="8"/>
      <c r="CB78" s="8"/>
    </row>
    <row r="79" spans="1:80" x14ac:dyDescent="0.2">
      <c r="A79" s="7"/>
      <c r="B79" s="101" t="s">
        <v>2</v>
      </c>
      <c r="C79" s="8">
        <v>801.4720303784452</v>
      </c>
      <c r="D79" s="8">
        <v>822.98645688157728</v>
      </c>
      <c r="E79" s="8">
        <v>844.50088338470937</v>
      </c>
      <c r="F79" s="8">
        <v>866.01530988784145</v>
      </c>
      <c r="G79" s="8">
        <v>887.52973639097354</v>
      </c>
      <c r="H79" s="8">
        <v>909.04416289410563</v>
      </c>
      <c r="I79" s="8">
        <v>899.9685213142468</v>
      </c>
      <c r="J79" s="8">
        <v>890.89287973438809</v>
      </c>
      <c r="K79" s="8">
        <v>881.81723815452926</v>
      </c>
      <c r="L79" s="8">
        <v>872.74159657467055</v>
      </c>
      <c r="M79" s="8">
        <v>863.66595499481173</v>
      </c>
      <c r="N79" s="8">
        <v>859.45653279145586</v>
      </c>
      <c r="O79" s="8">
        <v>855.24711058809999</v>
      </c>
      <c r="P79" s="8">
        <v>851.03768838474411</v>
      </c>
      <c r="Q79" s="8">
        <v>846.82826618138824</v>
      </c>
      <c r="R79" s="8">
        <v>842.61884397803237</v>
      </c>
      <c r="S79" s="8">
        <v>820.82635983634827</v>
      </c>
      <c r="T79" s="8">
        <v>799.03387569466418</v>
      </c>
      <c r="U79" s="8">
        <v>777.24139155298008</v>
      </c>
      <c r="V79" s="8">
        <v>755.44890741129598</v>
      </c>
      <c r="W79" s="8">
        <v>733.65642326961188</v>
      </c>
      <c r="X79" s="8">
        <v>695.52123036626756</v>
      </c>
      <c r="Y79" s="8">
        <v>657.38603746292324</v>
      </c>
      <c r="Z79" s="8">
        <v>619.25084455957892</v>
      </c>
      <c r="AA79" s="8">
        <v>581.1156516562346</v>
      </c>
      <c r="AB79" s="8">
        <v>542.98045875289029</v>
      </c>
      <c r="AC79" s="8">
        <v>481.01314778081246</v>
      </c>
      <c r="AD79" s="8">
        <v>419.04583680873458</v>
      </c>
      <c r="AE79" s="8">
        <v>357.07852583665675</v>
      </c>
      <c r="AF79" s="8">
        <v>295.11121486457887</v>
      </c>
      <c r="AG79" s="8">
        <v>233.14390389250102</v>
      </c>
      <c r="AH79" s="8">
        <v>175.75530748041862</v>
      </c>
      <c r="AI79" s="8">
        <v>118.36671106833623</v>
      </c>
      <c r="AJ79" s="8">
        <v>60.978114656253837</v>
      </c>
      <c r="AK79" s="8">
        <v>3.5895182441714439</v>
      </c>
      <c r="AL79" s="8">
        <v>-53.79907816791092</v>
      </c>
      <c r="AM79" s="8">
        <v>-87.846853261217518</v>
      </c>
      <c r="AN79" s="8">
        <v>-121.89462835452412</v>
      </c>
      <c r="AO79" s="8">
        <v>-155.94240344783071</v>
      </c>
      <c r="AP79" s="8">
        <v>-189.99017854113731</v>
      </c>
      <c r="AQ79" s="8">
        <v>-224.03795363444391</v>
      </c>
      <c r="AR79" s="8">
        <v>-261.60745933481195</v>
      </c>
      <c r="AS79" s="8">
        <v>-299.17696503517993</v>
      </c>
      <c r="AT79" s="8">
        <v>-336.74647073554797</v>
      </c>
      <c r="AU79" s="8">
        <v>-374.31597643591601</v>
      </c>
      <c r="AV79" s="8">
        <v>-411.88548213628405</v>
      </c>
      <c r="AW79" s="8">
        <v>-426.2915841934535</v>
      </c>
      <c r="AX79" s="8">
        <v>-440.69768625062295</v>
      </c>
      <c r="AY79" s="8">
        <v>-455.10378830779246</v>
      </c>
      <c r="AZ79" s="8">
        <v>-469.5098903649619</v>
      </c>
      <c r="BA79" s="8">
        <v>-483.91599242213135</v>
      </c>
      <c r="BB79" s="102" t="s">
        <v>3</v>
      </c>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row>
    <row r="80" spans="1:80" x14ac:dyDescent="0.2">
      <c r="B80" s="101" t="s">
        <v>182</v>
      </c>
      <c r="C80" s="8">
        <v>78.134329395005722</v>
      </c>
      <c r="D80" s="8">
        <v>84.052133230324785</v>
      </c>
      <c r="E80" s="8">
        <v>89.969937065643833</v>
      </c>
      <c r="F80" s="8">
        <v>95.887740900962896</v>
      </c>
      <c r="G80" s="8">
        <v>101.80554473628195</v>
      </c>
      <c r="H80" s="8">
        <v>107.72334857160101</v>
      </c>
      <c r="I80" s="8">
        <v>103.3631732161934</v>
      </c>
      <c r="J80" s="8">
        <v>99.002997860785797</v>
      </c>
      <c r="K80" s="8">
        <v>94.642822505378206</v>
      </c>
      <c r="L80" s="8">
        <v>90.2826471499706</v>
      </c>
      <c r="M80" s="8">
        <v>85.922471794562995</v>
      </c>
      <c r="N80" s="8">
        <v>84.099378015244199</v>
      </c>
      <c r="O80" s="8">
        <v>82.276284235925402</v>
      </c>
      <c r="P80" s="8">
        <v>80.453190456606606</v>
      </c>
      <c r="Q80" s="8">
        <v>78.63009667728781</v>
      </c>
      <c r="R80" s="8">
        <v>76.807002897969014</v>
      </c>
      <c r="S80" s="8">
        <v>74.278454977351018</v>
      </c>
      <c r="T80" s="8">
        <v>71.749907056733022</v>
      </c>
      <c r="U80" s="8">
        <v>69.221359136115041</v>
      </c>
      <c r="V80" s="8">
        <v>66.692811215497045</v>
      </c>
      <c r="W80" s="8">
        <v>64.164263294879049</v>
      </c>
      <c r="X80" s="8">
        <v>60.683430478432044</v>
      </c>
      <c r="Y80" s="8">
        <v>57.202597661985038</v>
      </c>
      <c r="Z80" s="8">
        <v>53.721764845538033</v>
      </c>
      <c r="AA80" s="8">
        <v>50.240932029091027</v>
      </c>
      <c r="AB80" s="8">
        <v>46.760099212644022</v>
      </c>
      <c r="AC80" s="8">
        <v>41.985753236623701</v>
      </c>
      <c r="AD80" s="8">
        <v>37.21140726060338</v>
      </c>
      <c r="AE80" s="8">
        <v>32.437061284583066</v>
      </c>
      <c r="AF80" s="8">
        <v>27.662715308562746</v>
      </c>
      <c r="AG80" s="8">
        <v>22.888369332542425</v>
      </c>
      <c r="AH80" s="8">
        <v>20.537138122908164</v>
      </c>
      <c r="AI80" s="8">
        <v>18.185906913273904</v>
      </c>
      <c r="AJ80" s="8">
        <v>15.83467570363964</v>
      </c>
      <c r="AK80" s="8">
        <v>13.483444494005379</v>
      </c>
      <c r="AL80" s="8">
        <v>11.132213284371117</v>
      </c>
      <c r="AM80" s="8">
        <v>11.706947573533659</v>
      </c>
      <c r="AN80" s="8">
        <v>12.281681862696201</v>
      </c>
      <c r="AO80" s="8">
        <v>12.856416151858745</v>
      </c>
      <c r="AP80" s="8">
        <v>13.431150441021288</v>
      </c>
      <c r="AQ80" s="8">
        <v>14.00588473018383</v>
      </c>
      <c r="AR80" s="8">
        <v>12.956535795252764</v>
      </c>
      <c r="AS80" s="8">
        <v>11.907186860321698</v>
      </c>
      <c r="AT80" s="8">
        <v>10.857837925390633</v>
      </c>
      <c r="AU80" s="8">
        <v>9.8084889904595673</v>
      </c>
      <c r="AV80" s="8">
        <v>8.7591400555285013</v>
      </c>
      <c r="AW80" s="8">
        <v>8.0126315912201225</v>
      </c>
      <c r="AX80" s="8">
        <v>7.2661231269117454</v>
      </c>
      <c r="AY80" s="8">
        <v>6.5196146626033666</v>
      </c>
      <c r="AZ80" s="8">
        <v>5.7731061982949887</v>
      </c>
      <c r="BA80" s="8">
        <v>5.0265977339866108</v>
      </c>
      <c r="BB80" s="102" t="s">
        <v>3</v>
      </c>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row>
    <row r="81" spans="2:80" x14ac:dyDescent="0.2">
      <c r="B81" s="101" t="s">
        <v>165</v>
      </c>
      <c r="C81" s="8">
        <v>423.9888273411874</v>
      </c>
      <c r="D81" s="8">
        <v>433.15346155187467</v>
      </c>
      <c r="E81" s="8">
        <v>442.318095762562</v>
      </c>
      <c r="F81" s="8">
        <v>451.48272997324926</v>
      </c>
      <c r="G81" s="8">
        <v>460.64736418393659</v>
      </c>
      <c r="H81" s="8">
        <v>469.81199839462386</v>
      </c>
      <c r="I81" s="8">
        <v>467.00010485719361</v>
      </c>
      <c r="J81" s="8">
        <v>464.1882113197633</v>
      </c>
      <c r="K81" s="8">
        <v>461.37631778233305</v>
      </c>
      <c r="L81" s="8">
        <v>458.56442424490274</v>
      </c>
      <c r="M81" s="8">
        <v>455.75253070747249</v>
      </c>
      <c r="N81" s="8">
        <v>458.73788837204012</v>
      </c>
      <c r="O81" s="8">
        <v>461.72324603660775</v>
      </c>
      <c r="P81" s="8">
        <v>464.70860370117538</v>
      </c>
      <c r="Q81" s="8">
        <v>467.69396136574301</v>
      </c>
      <c r="R81" s="8">
        <v>470.67931903031064</v>
      </c>
      <c r="S81" s="8">
        <v>465.46362174425855</v>
      </c>
      <c r="T81" s="8">
        <v>460.2479244582064</v>
      </c>
      <c r="U81" s="8">
        <v>455.03222717215431</v>
      </c>
      <c r="V81" s="8">
        <v>449.81652988610216</v>
      </c>
      <c r="W81" s="8">
        <v>444.60083260005007</v>
      </c>
      <c r="X81" s="8">
        <v>430.70659859723258</v>
      </c>
      <c r="Y81" s="8">
        <v>416.8123645944151</v>
      </c>
      <c r="Z81" s="8">
        <v>402.91813059159756</v>
      </c>
      <c r="AA81" s="8">
        <v>389.02389658878008</v>
      </c>
      <c r="AB81" s="8">
        <v>375.12966258596259</v>
      </c>
      <c r="AC81" s="8">
        <v>343.11615097832487</v>
      </c>
      <c r="AD81" s="8">
        <v>311.10263937068714</v>
      </c>
      <c r="AE81" s="8">
        <v>279.08912776304936</v>
      </c>
      <c r="AF81" s="8">
        <v>247.07561615541164</v>
      </c>
      <c r="AG81" s="8">
        <v>215.06210454777391</v>
      </c>
      <c r="AH81" s="8">
        <v>185.11326567342377</v>
      </c>
      <c r="AI81" s="8">
        <v>155.16442679907365</v>
      </c>
      <c r="AJ81" s="8">
        <v>125.21558792472351</v>
      </c>
      <c r="AK81" s="8">
        <v>95.266749050373377</v>
      </c>
      <c r="AL81" s="8">
        <v>65.317910176023233</v>
      </c>
      <c r="AM81" s="8">
        <v>46.598007382331311</v>
      </c>
      <c r="AN81" s="8">
        <v>27.878104588639388</v>
      </c>
      <c r="AO81" s="8">
        <v>9.1582017949474661</v>
      </c>
      <c r="AP81" s="8">
        <v>-9.5617009987444561</v>
      </c>
      <c r="AQ81" s="8">
        <v>-28.281603792436389</v>
      </c>
      <c r="AR81" s="8">
        <v>-49.671939844390067</v>
      </c>
      <c r="AS81" s="8">
        <v>-71.062275896343749</v>
      </c>
      <c r="AT81" s="8">
        <v>-92.452611948297431</v>
      </c>
      <c r="AU81" s="8">
        <v>-113.84294800025111</v>
      </c>
      <c r="AV81" s="8">
        <v>-135.23328405220479</v>
      </c>
      <c r="AW81" s="8">
        <v>-136.66736321377141</v>
      </c>
      <c r="AX81" s="8">
        <v>-138.10144237533802</v>
      </c>
      <c r="AY81" s="8">
        <v>-139.53552153690464</v>
      </c>
      <c r="AZ81" s="8">
        <v>-140.96960069847125</v>
      </c>
      <c r="BA81" s="8">
        <v>-142.40367986003787</v>
      </c>
      <c r="BB81" s="102" t="s">
        <v>3</v>
      </c>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row>
    <row r="82" spans="2:80" x14ac:dyDescent="0.2">
      <c r="B82" s="101" t="s">
        <v>167</v>
      </c>
      <c r="C82" s="8">
        <v>43.481780000000001</v>
      </c>
      <c r="D82" s="8">
        <v>45.881193950000004</v>
      </c>
      <c r="E82" s="8">
        <v>48.2806079</v>
      </c>
      <c r="F82" s="8">
        <v>50.680021850000003</v>
      </c>
      <c r="G82" s="8">
        <v>53.079435799999999</v>
      </c>
      <c r="H82" s="8">
        <v>55.478849750000002</v>
      </c>
      <c r="I82" s="8">
        <v>53.932901800000003</v>
      </c>
      <c r="J82" s="8">
        <v>52.386953850000005</v>
      </c>
      <c r="K82" s="8">
        <v>50.841005899999999</v>
      </c>
      <c r="L82" s="8">
        <v>49.29505795</v>
      </c>
      <c r="M82" s="8">
        <v>47.749110000000002</v>
      </c>
      <c r="N82" s="8">
        <v>46.323474000000004</v>
      </c>
      <c r="O82" s="8">
        <v>44.897838</v>
      </c>
      <c r="P82" s="8">
        <v>43.472202000000003</v>
      </c>
      <c r="Q82" s="8">
        <v>42.046565999999999</v>
      </c>
      <c r="R82" s="8">
        <v>40.620930000000001</v>
      </c>
      <c r="S82" s="8">
        <v>38.531880000000001</v>
      </c>
      <c r="T82" s="8">
        <v>36.442830000000001</v>
      </c>
      <c r="U82" s="8">
        <v>34.35378</v>
      </c>
      <c r="V82" s="8">
        <v>32.26473</v>
      </c>
      <c r="W82" s="8">
        <v>30.17568</v>
      </c>
      <c r="X82" s="8">
        <v>27.652694</v>
      </c>
      <c r="Y82" s="8">
        <v>25.129708000000001</v>
      </c>
      <c r="Z82" s="8">
        <v>22.606721999999998</v>
      </c>
      <c r="AA82" s="8">
        <v>20.083735999999998</v>
      </c>
      <c r="AB82" s="8">
        <v>17.560749999999999</v>
      </c>
      <c r="AC82" s="8">
        <v>15.074001399999998</v>
      </c>
      <c r="AD82" s="8">
        <v>12.587252799999998</v>
      </c>
      <c r="AE82" s="8">
        <v>10.1005042</v>
      </c>
      <c r="AF82" s="8">
        <v>7.6137555999999993</v>
      </c>
      <c r="AG82" s="8">
        <v>5.1270069999999999</v>
      </c>
      <c r="AH82" s="8">
        <v>3.2660575999999999</v>
      </c>
      <c r="AI82" s="8">
        <v>1.4051082000000004</v>
      </c>
      <c r="AJ82" s="8">
        <v>-0.45584119999999917</v>
      </c>
      <c r="AK82" s="8">
        <v>-2.3167905999999991</v>
      </c>
      <c r="AL82" s="8">
        <v>-4.17774</v>
      </c>
      <c r="AM82" s="8">
        <v>-5.6196320000000002</v>
      </c>
      <c r="AN82" s="8">
        <v>-7.0615240000000004</v>
      </c>
      <c r="AO82" s="8">
        <v>-8.5034159999999996</v>
      </c>
      <c r="AP82" s="8">
        <v>-9.9453080000000007</v>
      </c>
      <c r="AQ82" s="8">
        <v>-11.3872</v>
      </c>
      <c r="AR82" s="8">
        <v>-13.57732</v>
      </c>
      <c r="AS82" s="8">
        <v>-15.767440000000001</v>
      </c>
      <c r="AT82" s="8">
        <v>-17.957560000000001</v>
      </c>
      <c r="AU82" s="8">
        <v>-20.147680000000001</v>
      </c>
      <c r="AV82" s="8">
        <v>-22.337800000000001</v>
      </c>
      <c r="AW82" s="8">
        <v>-23.36356</v>
      </c>
      <c r="AX82" s="8">
        <v>-24.389320000000001</v>
      </c>
      <c r="AY82" s="8">
        <v>-25.41508</v>
      </c>
      <c r="AZ82" s="8">
        <v>-26.440840000000001</v>
      </c>
      <c r="BA82" s="8">
        <v>-27.4666</v>
      </c>
      <c r="BB82" s="102" t="s">
        <v>3</v>
      </c>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row>
    <row r="83" spans="2:80" x14ac:dyDescent="0.2">
      <c r="B83" s="101" t="s">
        <v>166</v>
      </c>
      <c r="C83" s="8">
        <v>31.506171872123684</v>
      </c>
      <c r="D83" s="8">
        <v>31.882225904259496</v>
      </c>
      <c r="E83" s="8">
        <v>32.258279936395304</v>
      </c>
      <c r="F83" s="8">
        <v>32.634333968531116</v>
      </c>
      <c r="G83" s="8">
        <v>33.010388000666929</v>
      </c>
      <c r="H83" s="8">
        <v>33.386442032802741</v>
      </c>
      <c r="I83" s="8">
        <v>32.742639382639055</v>
      </c>
      <c r="J83" s="8">
        <v>32.09883673247537</v>
      </c>
      <c r="K83" s="8">
        <v>31.455034082311681</v>
      </c>
      <c r="L83" s="8">
        <v>30.811231432147995</v>
      </c>
      <c r="M83" s="8">
        <v>30.167428781984309</v>
      </c>
      <c r="N83" s="8">
        <v>30.337572683931839</v>
      </c>
      <c r="O83" s="8">
        <v>30.507716585879368</v>
      </c>
      <c r="P83" s="8">
        <v>30.677860487826894</v>
      </c>
      <c r="Q83" s="8">
        <v>30.848004389774424</v>
      </c>
      <c r="R83" s="8">
        <v>31.018148291721953</v>
      </c>
      <c r="S83" s="8">
        <v>30.763297263115255</v>
      </c>
      <c r="T83" s="8">
        <v>30.508446234508558</v>
      </c>
      <c r="U83" s="8">
        <v>30.25359520590186</v>
      </c>
      <c r="V83" s="8">
        <v>29.998744177295162</v>
      </c>
      <c r="W83" s="8">
        <v>29.743893148688464</v>
      </c>
      <c r="X83" s="8">
        <v>29.016488511711426</v>
      </c>
      <c r="Y83" s="8">
        <v>28.289083874734388</v>
      </c>
      <c r="Z83" s="8">
        <v>27.56167923775735</v>
      </c>
      <c r="AA83" s="8">
        <v>26.834274600780311</v>
      </c>
      <c r="AB83" s="8">
        <v>26.106869963803273</v>
      </c>
      <c r="AC83" s="8">
        <v>24.634850680416704</v>
      </c>
      <c r="AD83" s="8">
        <v>23.162831397030136</v>
      </c>
      <c r="AE83" s="8">
        <v>21.690812113643567</v>
      </c>
      <c r="AF83" s="8">
        <v>20.218792830257001</v>
      </c>
      <c r="AG83" s="8">
        <v>18.746773546870433</v>
      </c>
      <c r="AH83" s="8">
        <v>17.449356510948803</v>
      </c>
      <c r="AI83" s="8">
        <v>16.15193947502717</v>
      </c>
      <c r="AJ83" s="8">
        <v>14.854522439105541</v>
      </c>
      <c r="AK83" s="8">
        <v>13.557105403183911</v>
      </c>
      <c r="AL83" s="8">
        <v>12.25968836726228</v>
      </c>
      <c r="AM83" s="8">
        <v>11.061099634755308</v>
      </c>
      <c r="AN83" s="8">
        <v>9.8625109022483368</v>
      </c>
      <c r="AO83" s="8">
        <v>8.6639221697413653</v>
      </c>
      <c r="AP83" s="8">
        <v>7.4653334372343938</v>
      </c>
      <c r="AQ83" s="8">
        <v>6.2667447047274223</v>
      </c>
      <c r="AR83" s="8">
        <v>4.7765485413018034</v>
      </c>
      <c r="AS83" s="8">
        <v>3.2863523778761854</v>
      </c>
      <c r="AT83" s="8">
        <v>1.7961562144505674</v>
      </c>
      <c r="AU83" s="8">
        <v>0.3059600510249485</v>
      </c>
      <c r="AV83" s="8">
        <v>-1.1842361124006699</v>
      </c>
      <c r="AW83" s="8">
        <v>-1.9674741277827574</v>
      </c>
      <c r="AX83" s="8">
        <v>-2.7507121431648454</v>
      </c>
      <c r="AY83" s="8">
        <v>-3.5339501585469328</v>
      </c>
      <c r="AZ83" s="8">
        <v>-4.3171881739290203</v>
      </c>
      <c r="BA83" s="8">
        <v>-5.1004261893111078</v>
      </c>
      <c r="BB83" s="102" t="s">
        <v>3</v>
      </c>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row>
    <row r="84" spans="2:80" x14ac:dyDescent="0.2">
      <c r="B84" s="101" t="s">
        <v>168</v>
      </c>
      <c r="C84" s="8">
        <v>74.987956350122232</v>
      </c>
      <c r="D84" s="8">
        <v>77.763423435872355</v>
      </c>
      <c r="E84" s="8">
        <v>80.538890521622491</v>
      </c>
      <c r="F84" s="8">
        <v>83.314357607372614</v>
      </c>
      <c r="G84" s="8">
        <v>86.08982469312275</v>
      </c>
      <c r="H84" s="8">
        <v>88.865291778872873</v>
      </c>
      <c r="I84" s="8">
        <v>86.675540574441669</v>
      </c>
      <c r="J84" s="8">
        <v>84.485789370010465</v>
      </c>
      <c r="K84" s="8">
        <v>82.296038165579247</v>
      </c>
      <c r="L84" s="8">
        <v>80.106286961148044</v>
      </c>
      <c r="M84" s="8">
        <v>77.91653575671684</v>
      </c>
      <c r="N84" s="8">
        <v>76.661044762038884</v>
      </c>
      <c r="O84" s="8">
        <v>75.405553767360942</v>
      </c>
      <c r="P84" s="8">
        <v>74.150062772682986</v>
      </c>
      <c r="Q84" s="8">
        <v>72.894571778005044</v>
      </c>
      <c r="R84" s="8">
        <v>71.639080783327088</v>
      </c>
      <c r="S84" s="8">
        <v>69.295179245155396</v>
      </c>
      <c r="T84" s="8">
        <v>66.951277706983703</v>
      </c>
      <c r="U84" s="8">
        <v>64.607376168811996</v>
      </c>
      <c r="V84" s="8">
        <v>62.263474630640303</v>
      </c>
      <c r="W84" s="8">
        <v>59.91957309246861</v>
      </c>
      <c r="X84" s="8">
        <v>56.669182389764956</v>
      </c>
      <c r="Y84" s="8">
        <v>53.418791687061294</v>
      </c>
      <c r="Z84" s="8">
        <v>50.168400984357639</v>
      </c>
      <c r="AA84" s="8">
        <v>46.918010281653977</v>
      </c>
      <c r="AB84" s="8">
        <v>43.667619578950323</v>
      </c>
      <c r="AC84" s="8">
        <v>39.708851790502393</v>
      </c>
      <c r="AD84" s="8">
        <v>35.750084002054457</v>
      </c>
      <c r="AE84" s="8">
        <v>31.791316213606528</v>
      </c>
      <c r="AF84" s="8">
        <v>27.832548425158596</v>
      </c>
      <c r="AG84" s="8">
        <v>23.873780636710663</v>
      </c>
      <c r="AH84" s="8">
        <v>20.715413234408352</v>
      </c>
      <c r="AI84" s="8">
        <v>17.557045832106041</v>
      </c>
      <c r="AJ84" s="8">
        <v>14.398678429803729</v>
      </c>
      <c r="AK84" s="8">
        <v>11.240311027501418</v>
      </c>
      <c r="AL84" s="8">
        <v>8.0819436251991075</v>
      </c>
      <c r="AM84" s="8">
        <v>5.4414539358846925</v>
      </c>
      <c r="AN84" s="8">
        <v>2.8009642465702775</v>
      </c>
      <c r="AO84" s="8">
        <v>0.16047455725586257</v>
      </c>
      <c r="AP84" s="8">
        <v>-2.4800151320585524</v>
      </c>
      <c r="AQ84" s="8">
        <v>-5.1205048213729683</v>
      </c>
      <c r="AR84" s="8">
        <v>-8.8008107033917735</v>
      </c>
      <c r="AS84" s="8">
        <v>-12.481116585410579</v>
      </c>
      <c r="AT84" s="8">
        <v>-16.161422467429386</v>
      </c>
      <c r="AU84" s="8">
        <v>-19.841728349448189</v>
      </c>
      <c r="AV84" s="8">
        <v>-23.522034231466996</v>
      </c>
      <c r="AW84" s="8">
        <v>-25.331032039472007</v>
      </c>
      <c r="AX84" s="8">
        <v>-27.140029847477017</v>
      </c>
      <c r="AY84" s="8">
        <v>-28.949027655482027</v>
      </c>
      <c r="AZ84" s="8">
        <v>-30.758025463487037</v>
      </c>
      <c r="BA84" s="8">
        <v>-32.567023271492047</v>
      </c>
      <c r="BB84" s="102" t="s">
        <v>3</v>
      </c>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row>
    <row r="85" spans="2:80" x14ac:dyDescent="0.2">
      <c r="B85" s="101" t="s">
        <v>169</v>
      </c>
      <c r="C85" s="8">
        <v>69.422498575135904</v>
      </c>
      <c r="D85" s="8">
        <v>69.873391847788426</v>
      </c>
      <c r="E85" s="8">
        <v>70.324285120440933</v>
      </c>
      <c r="F85" s="8">
        <v>70.775178393093455</v>
      </c>
      <c r="G85" s="8">
        <v>71.226071665745962</v>
      </c>
      <c r="H85" s="8">
        <v>71.676964938398484</v>
      </c>
      <c r="I85" s="8">
        <v>71.63141669203668</v>
      </c>
      <c r="J85" s="8">
        <v>71.58586844567489</v>
      </c>
      <c r="K85" s="8">
        <v>71.540320199313086</v>
      </c>
      <c r="L85" s="8">
        <v>71.494771952951297</v>
      </c>
      <c r="M85" s="8">
        <v>71.449223706589493</v>
      </c>
      <c r="N85" s="8">
        <v>70.827953101735005</v>
      </c>
      <c r="O85" s="8">
        <v>70.206682496880518</v>
      </c>
      <c r="P85" s="8">
        <v>69.585411892026016</v>
      </c>
      <c r="Q85" s="8">
        <v>68.964141287171529</v>
      </c>
      <c r="R85" s="8">
        <v>68.342870682317042</v>
      </c>
      <c r="S85" s="8">
        <v>67.2758760646947</v>
      </c>
      <c r="T85" s="8">
        <v>66.208881447072358</v>
      </c>
      <c r="U85" s="8">
        <v>65.14188682945003</v>
      </c>
      <c r="V85" s="8">
        <v>64.074892211827688</v>
      </c>
      <c r="W85" s="8">
        <v>63.007897594205346</v>
      </c>
      <c r="X85" s="8">
        <v>61.872901083853804</v>
      </c>
      <c r="Y85" s="8">
        <v>60.737904573502256</v>
      </c>
      <c r="Z85" s="8">
        <v>59.602908063150714</v>
      </c>
      <c r="AA85" s="8">
        <v>58.467911552799166</v>
      </c>
      <c r="AB85" s="8">
        <v>57.332915042447624</v>
      </c>
      <c r="AC85" s="8">
        <v>53.853971066850647</v>
      </c>
      <c r="AD85" s="8">
        <v>50.375027091253678</v>
      </c>
      <c r="AE85" s="8">
        <v>46.896083115656701</v>
      </c>
      <c r="AF85" s="8">
        <v>43.417139140059732</v>
      </c>
      <c r="AG85" s="8">
        <v>39.938195164462755</v>
      </c>
      <c r="AH85" s="8">
        <v>38.107023062596255</v>
      </c>
      <c r="AI85" s="8">
        <v>36.275850960729763</v>
      </c>
      <c r="AJ85" s="8">
        <v>34.44467885886327</v>
      </c>
      <c r="AK85" s="8">
        <v>32.61350675699677</v>
      </c>
      <c r="AL85" s="8">
        <v>30.782334655130274</v>
      </c>
      <c r="AM85" s="8">
        <v>29.590599304497179</v>
      </c>
      <c r="AN85" s="8">
        <v>28.398863953864083</v>
      </c>
      <c r="AO85" s="8">
        <v>27.207128603230991</v>
      </c>
      <c r="AP85" s="8">
        <v>26.015393252597896</v>
      </c>
      <c r="AQ85" s="8">
        <v>24.8236579019648</v>
      </c>
      <c r="AR85" s="8">
        <v>23.252324077371153</v>
      </c>
      <c r="AS85" s="8">
        <v>21.680990252777505</v>
      </c>
      <c r="AT85" s="8">
        <v>20.109656428183854</v>
      </c>
      <c r="AU85" s="8">
        <v>18.538322603590206</v>
      </c>
      <c r="AV85" s="8">
        <v>16.966988778996559</v>
      </c>
      <c r="AW85" s="8">
        <v>15.368078605243648</v>
      </c>
      <c r="AX85" s="8">
        <v>13.769168431490737</v>
      </c>
      <c r="AY85" s="8">
        <v>12.170258257737824</v>
      </c>
      <c r="AZ85" s="8">
        <v>10.571348083984914</v>
      </c>
      <c r="BA85" s="8">
        <v>8.9724379102320029</v>
      </c>
      <c r="BB85" s="102" t="s">
        <v>3</v>
      </c>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row>
    <row r="86" spans="2:80" x14ac:dyDescent="0.2">
      <c r="B86" s="101" t="s">
        <v>170</v>
      </c>
      <c r="C86" s="8">
        <v>19.679233359923657</v>
      </c>
      <c r="D86" s="8">
        <v>19.72760550676059</v>
      </c>
      <c r="E86" s="8">
        <v>19.775977653597522</v>
      </c>
      <c r="F86" s="8">
        <v>19.824349800434454</v>
      </c>
      <c r="G86" s="8">
        <v>19.872721947271387</v>
      </c>
      <c r="H86" s="8">
        <v>19.921094094108319</v>
      </c>
      <c r="I86" s="8">
        <v>20.391020561368123</v>
      </c>
      <c r="J86" s="8">
        <v>20.86094702862793</v>
      </c>
      <c r="K86" s="8">
        <v>21.330873495887733</v>
      </c>
      <c r="L86" s="8">
        <v>21.80079996314754</v>
      </c>
      <c r="M86" s="8">
        <v>22.270726430407343</v>
      </c>
      <c r="N86" s="8">
        <v>21.917046164366621</v>
      </c>
      <c r="O86" s="8">
        <v>21.563365898325898</v>
      </c>
      <c r="P86" s="8">
        <v>21.209685632285179</v>
      </c>
      <c r="Q86" s="8">
        <v>20.856005366244457</v>
      </c>
      <c r="R86" s="8">
        <v>20.502325100203734</v>
      </c>
      <c r="S86" s="8">
        <v>20.176004689225255</v>
      </c>
      <c r="T86" s="8">
        <v>19.849684278246777</v>
      </c>
      <c r="U86" s="8">
        <v>19.523363867268301</v>
      </c>
      <c r="V86" s="8">
        <v>19.197043456289823</v>
      </c>
      <c r="W86" s="8">
        <v>18.870723045311344</v>
      </c>
      <c r="X86" s="8">
        <v>18.472216180703064</v>
      </c>
      <c r="Y86" s="8">
        <v>18.073709316094785</v>
      </c>
      <c r="Z86" s="8">
        <v>17.675202451486506</v>
      </c>
      <c r="AA86" s="8">
        <v>17.276695586878226</v>
      </c>
      <c r="AB86" s="8">
        <v>16.878188722269947</v>
      </c>
      <c r="AC86" s="8">
        <v>15.988535987365879</v>
      </c>
      <c r="AD86" s="8">
        <v>15.098883252461809</v>
      </c>
      <c r="AE86" s="8">
        <v>14.20923051755774</v>
      </c>
      <c r="AF86" s="8">
        <v>13.319577782653671</v>
      </c>
      <c r="AG86" s="8">
        <v>12.429925047749602</v>
      </c>
      <c r="AH86" s="8">
        <v>11.973145353803654</v>
      </c>
      <c r="AI86" s="8">
        <v>11.516365659857705</v>
      </c>
      <c r="AJ86" s="8">
        <v>11.059585965911754</v>
      </c>
      <c r="AK86" s="8">
        <v>10.602806271965806</v>
      </c>
      <c r="AL86" s="8">
        <v>10.146026578019857</v>
      </c>
      <c r="AM86" s="8">
        <v>9.8164139362557243</v>
      </c>
      <c r="AN86" s="8">
        <v>9.4868012944915918</v>
      </c>
      <c r="AO86" s="8">
        <v>9.1571886527274575</v>
      </c>
      <c r="AP86" s="8">
        <v>8.827576010963325</v>
      </c>
      <c r="AQ86" s="8">
        <v>8.4979633691991925</v>
      </c>
      <c r="AR86" s="8">
        <v>8.1448022226576882</v>
      </c>
      <c r="AS86" s="8">
        <v>7.791641076116183</v>
      </c>
      <c r="AT86" s="8">
        <v>7.4384799295746777</v>
      </c>
      <c r="AU86" s="8">
        <v>7.0853187830331734</v>
      </c>
      <c r="AV86" s="8">
        <v>6.7321576364916682</v>
      </c>
      <c r="AW86" s="8">
        <v>6.5335792799369043</v>
      </c>
      <c r="AX86" s="8">
        <v>6.3350009233821396</v>
      </c>
      <c r="AY86" s="8">
        <v>6.1364225668273757</v>
      </c>
      <c r="AZ86" s="8">
        <v>5.937844210272611</v>
      </c>
      <c r="BA86" s="8">
        <v>5.7392658537178471</v>
      </c>
      <c r="BB86" s="102" t="s">
        <v>3</v>
      </c>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row>
    <row r="87" spans="2:80" x14ac:dyDescent="0.2">
      <c r="B87" s="101" t="s">
        <v>171</v>
      </c>
      <c r="C87" s="8">
        <v>49.743265215212254</v>
      </c>
      <c r="D87" s="8">
        <v>50.145786341027836</v>
      </c>
      <c r="E87" s="8">
        <v>50.548307466843418</v>
      </c>
      <c r="F87" s="8">
        <v>50.950828592658993</v>
      </c>
      <c r="G87" s="8">
        <v>51.353349718474576</v>
      </c>
      <c r="H87" s="8">
        <v>51.755870844290158</v>
      </c>
      <c r="I87" s="8">
        <v>51.240396130668557</v>
      </c>
      <c r="J87" s="8">
        <v>50.724921417046964</v>
      </c>
      <c r="K87" s="8">
        <v>50.209446703425364</v>
      </c>
      <c r="L87" s="8">
        <v>49.693971989803771</v>
      </c>
      <c r="M87" s="8">
        <v>49.178497276182171</v>
      </c>
      <c r="N87" s="8">
        <v>48.910906937368395</v>
      </c>
      <c r="O87" s="8">
        <v>48.643316598554627</v>
      </c>
      <c r="P87" s="8">
        <v>48.375726259740851</v>
      </c>
      <c r="Q87" s="8">
        <v>48.108135920927083</v>
      </c>
      <c r="R87" s="8">
        <v>47.840545582113307</v>
      </c>
      <c r="S87" s="8">
        <v>47.099871375469448</v>
      </c>
      <c r="T87" s="8">
        <v>46.359197168825588</v>
      </c>
      <c r="U87" s="8">
        <v>45.618522962181729</v>
      </c>
      <c r="V87" s="8">
        <v>44.877848755537869</v>
      </c>
      <c r="W87" s="8">
        <v>44.137174548894009</v>
      </c>
      <c r="X87" s="8">
        <v>43.40068490315074</v>
      </c>
      <c r="Y87" s="8">
        <v>42.664195257407478</v>
      </c>
      <c r="Z87" s="8">
        <v>41.927705611664209</v>
      </c>
      <c r="AA87" s="8">
        <v>41.191215965920946</v>
      </c>
      <c r="AB87" s="8">
        <v>40.454726320177677</v>
      </c>
      <c r="AC87" s="8">
        <v>37.865435079484769</v>
      </c>
      <c r="AD87" s="8">
        <v>35.276143838791867</v>
      </c>
      <c r="AE87" s="8">
        <v>32.686852598098959</v>
      </c>
      <c r="AF87" s="8">
        <v>30.097561357406054</v>
      </c>
      <c r="AG87" s="8">
        <v>27.508270116713149</v>
      </c>
      <c r="AH87" s="8">
        <v>26.133877708792603</v>
      </c>
      <c r="AI87" s="8">
        <v>24.759485300872058</v>
      </c>
      <c r="AJ87" s="8">
        <v>23.385092892951512</v>
      </c>
      <c r="AK87" s="8">
        <v>22.010700485030963</v>
      </c>
      <c r="AL87" s="8">
        <v>20.636308077110417</v>
      </c>
      <c r="AM87" s="8">
        <v>19.774185368241454</v>
      </c>
      <c r="AN87" s="8">
        <v>18.912062659372495</v>
      </c>
      <c r="AO87" s="8">
        <v>18.049939950503532</v>
      </c>
      <c r="AP87" s="8">
        <v>17.187817241634573</v>
      </c>
      <c r="AQ87" s="8">
        <v>16.32569453276561</v>
      </c>
      <c r="AR87" s="8">
        <v>15.107521854713466</v>
      </c>
      <c r="AS87" s="8">
        <v>13.889349176661323</v>
      </c>
      <c r="AT87" s="8">
        <v>12.671176498609178</v>
      </c>
      <c r="AU87" s="8">
        <v>11.453003820557035</v>
      </c>
      <c r="AV87" s="8">
        <v>10.234831142504891</v>
      </c>
      <c r="AW87" s="8">
        <v>8.8344993253067443</v>
      </c>
      <c r="AX87" s="8">
        <v>7.4341675081085974</v>
      </c>
      <c r="AY87" s="8">
        <v>6.0338356909104496</v>
      </c>
      <c r="AZ87" s="8">
        <v>4.6335038737123027</v>
      </c>
      <c r="BA87" s="8">
        <v>3.2331720565141557</v>
      </c>
      <c r="BB87" s="102" t="s">
        <v>3</v>
      </c>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row>
    <row r="88" spans="2:80" x14ac:dyDescent="0.2">
      <c r="B88" s="101" t="s">
        <v>107</v>
      </c>
      <c r="C88" s="8">
        <v>154.93841871699402</v>
      </c>
      <c r="D88" s="8">
        <v>158.1440468157171</v>
      </c>
      <c r="E88" s="8">
        <v>161.34967491444016</v>
      </c>
      <c r="F88" s="8">
        <v>164.55530301316324</v>
      </c>
      <c r="G88" s="8">
        <v>167.76093111188629</v>
      </c>
      <c r="H88" s="8">
        <v>170.96655921060938</v>
      </c>
      <c r="I88" s="8">
        <v>171.29828597438149</v>
      </c>
      <c r="J88" s="8">
        <v>171.6300127381536</v>
      </c>
      <c r="K88" s="8">
        <v>171.96173950192573</v>
      </c>
      <c r="L88" s="8">
        <v>172.29346626569784</v>
      </c>
      <c r="M88" s="8">
        <v>172.62519302946995</v>
      </c>
      <c r="N88" s="8">
        <v>169.13026854039768</v>
      </c>
      <c r="O88" s="8">
        <v>165.6353440513254</v>
      </c>
      <c r="P88" s="8">
        <v>162.14041956225316</v>
      </c>
      <c r="Q88" s="8">
        <v>158.64549507318088</v>
      </c>
      <c r="R88" s="8">
        <v>155.15057058410861</v>
      </c>
      <c r="S88" s="8">
        <v>144.51322780488863</v>
      </c>
      <c r="T88" s="8">
        <v>133.87588502566868</v>
      </c>
      <c r="U88" s="8">
        <v>123.23854224644872</v>
      </c>
      <c r="V88" s="8">
        <v>112.60119946722875</v>
      </c>
      <c r="W88" s="8">
        <v>101.96385668800879</v>
      </c>
      <c r="X88" s="8">
        <v>85.589117816984171</v>
      </c>
      <c r="Y88" s="8">
        <v>69.214378945959538</v>
      </c>
      <c r="Z88" s="8">
        <v>52.83964007493492</v>
      </c>
      <c r="AA88" s="8">
        <v>36.464901203910301</v>
      </c>
      <c r="AB88" s="8">
        <v>20.090162332885683</v>
      </c>
      <c r="AC88" s="8">
        <v>2.3484207085108046</v>
      </c>
      <c r="AD88" s="8">
        <v>-15.393320915864074</v>
      </c>
      <c r="AE88" s="8">
        <v>-33.135062540238948</v>
      </c>
      <c r="AF88" s="8">
        <v>-50.87680416461383</v>
      </c>
      <c r="AG88" s="8">
        <v>-68.618545788988712</v>
      </c>
      <c r="AH88" s="8">
        <v>-88.717532612917893</v>
      </c>
      <c r="AI88" s="8">
        <v>-108.81651943684709</v>
      </c>
      <c r="AJ88" s="8">
        <v>-128.91550626077628</v>
      </c>
      <c r="AK88" s="8">
        <v>-149.01449308470546</v>
      </c>
      <c r="AL88" s="8">
        <v>-169.11347990863464</v>
      </c>
      <c r="AM88" s="8">
        <v>-181.18386145746436</v>
      </c>
      <c r="AN88" s="8">
        <v>-193.25424300629408</v>
      </c>
      <c r="AO88" s="8">
        <v>-205.32462455512376</v>
      </c>
      <c r="AP88" s="8">
        <v>-217.39500610395348</v>
      </c>
      <c r="AQ88" s="8">
        <v>-229.46538765278319</v>
      </c>
      <c r="AR88" s="8">
        <v>-239.34356865965401</v>
      </c>
      <c r="AS88" s="8">
        <v>-249.22174966652483</v>
      </c>
      <c r="AT88" s="8">
        <v>-259.09993067339565</v>
      </c>
      <c r="AU88" s="8">
        <v>-268.97811168026647</v>
      </c>
      <c r="AV88" s="8">
        <v>-278.85629268713728</v>
      </c>
      <c r="AW88" s="8">
        <v>-287.67389913667381</v>
      </c>
      <c r="AX88" s="8">
        <v>-296.49150558621039</v>
      </c>
      <c r="AY88" s="8">
        <v>-305.30911203574692</v>
      </c>
      <c r="AZ88" s="8">
        <v>-314.1267184852835</v>
      </c>
      <c r="BA88" s="8">
        <v>-322.94432493482003</v>
      </c>
      <c r="BB88" s="102" t="s">
        <v>3</v>
      </c>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row>
    <row r="89" spans="2:80" x14ac:dyDescent="0.2">
      <c r="B89" s="101" t="s">
        <v>8</v>
      </c>
      <c r="C89" s="8">
        <v>586.11369171095112</v>
      </c>
      <c r="D89" s="8">
        <v>601.87943460403562</v>
      </c>
      <c r="E89" s="8">
        <v>617.64517749712002</v>
      </c>
      <c r="F89" s="8">
        <v>633.41092039020452</v>
      </c>
      <c r="G89" s="8">
        <v>649.17666328328892</v>
      </c>
      <c r="H89" s="8">
        <v>664.94240617637342</v>
      </c>
      <c r="I89" s="8">
        <v>676.86195332279851</v>
      </c>
      <c r="J89" s="8">
        <v>688.7815004692236</v>
      </c>
      <c r="K89" s="8">
        <v>700.70104761564869</v>
      </c>
      <c r="L89" s="8">
        <v>712.62059476207378</v>
      </c>
      <c r="M89" s="8">
        <v>724.54014190849887</v>
      </c>
      <c r="N89" s="8">
        <v>727.12279344134015</v>
      </c>
      <c r="O89" s="8">
        <v>729.70544497418143</v>
      </c>
      <c r="P89" s="8">
        <v>732.2880965070226</v>
      </c>
      <c r="Q89" s="8">
        <v>734.87074803986388</v>
      </c>
      <c r="R89" s="8">
        <v>737.45339957270517</v>
      </c>
      <c r="S89" s="8">
        <v>729.58618811899214</v>
      </c>
      <c r="T89" s="8">
        <v>721.71897666527911</v>
      </c>
      <c r="U89" s="8">
        <v>713.8517652115662</v>
      </c>
      <c r="V89" s="8">
        <v>705.98455375785318</v>
      </c>
      <c r="W89" s="8">
        <v>698.11734230414015</v>
      </c>
      <c r="X89" s="8">
        <v>673.48430909567844</v>
      </c>
      <c r="Y89" s="8">
        <v>648.85127588721673</v>
      </c>
      <c r="Z89" s="8">
        <v>624.21824267875513</v>
      </c>
      <c r="AA89" s="8">
        <v>599.58520947029342</v>
      </c>
      <c r="AB89" s="8">
        <v>574.95217626183171</v>
      </c>
      <c r="AC89" s="8">
        <v>530.97755040191544</v>
      </c>
      <c r="AD89" s="8">
        <v>487.00292454199911</v>
      </c>
      <c r="AE89" s="8">
        <v>443.02829868208283</v>
      </c>
      <c r="AF89" s="8">
        <v>399.0536728221665</v>
      </c>
      <c r="AG89" s="8">
        <v>355.07904696225023</v>
      </c>
      <c r="AH89" s="8">
        <v>310.28983813129781</v>
      </c>
      <c r="AI89" s="8">
        <v>265.50062930034539</v>
      </c>
      <c r="AJ89" s="8">
        <v>220.71142046939292</v>
      </c>
      <c r="AK89" s="8">
        <v>175.9222116384405</v>
      </c>
      <c r="AL89" s="8">
        <v>131.13300280748808</v>
      </c>
      <c r="AM89" s="8">
        <v>92.216018259139716</v>
      </c>
      <c r="AN89" s="8">
        <v>53.299033710791349</v>
      </c>
      <c r="AO89" s="8">
        <v>14.382049162442982</v>
      </c>
      <c r="AP89" s="8">
        <v>-24.534935385905385</v>
      </c>
      <c r="AQ89" s="8">
        <v>-63.451919934253752</v>
      </c>
      <c r="AR89" s="8">
        <v>-108.92408195191855</v>
      </c>
      <c r="AS89" s="8">
        <v>-154.39624396958334</v>
      </c>
      <c r="AT89" s="8">
        <v>-199.86840598724814</v>
      </c>
      <c r="AU89" s="8">
        <v>-245.34056800491294</v>
      </c>
      <c r="AV89" s="8">
        <v>-290.81273002257774</v>
      </c>
      <c r="AW89" s="8">
        <v>-309.34858929738658</v>
      </c>
      <c r="AX89" s="8">
        <v>-327.88444857219542</v>
      </c>
      <c r="AY89" s="8">
        <v>-346.42030784700421</v>
      </c>
      <c r="AZ89" s="8">
        <v>-364.95616712181305</v>
      </c>
      <c r="BA89" s="8">
        <v>-383.4920263966219</v>
      </c>
      <c r="BB89" s="102" t="s">
        <v>3</v>
      </c>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row>
    <row r="90" spans="2:80" x14ac:dyDescent="0.2">
      <c r="B90" s="101" t="s">
        <v>181</v>
      </c>
      <c r="C90" s="8">
        <v>0.19308262357078237</v>
      </c>
      <c r="D90" s="8">
        <v>0.20752183671124849</v>
      </c>
      <c r="E90" s="8">
        <v>0.22196104985171461</v>
      </c>
      <c r="F90" s="8">
        <v>0.23640026299218075</v>
      </c>
      <c r="G90" s="8">
        <v>0.25083947613264684</v>
      </c>
      <c r="H90" s="8">
        <v>0.26527868927311299</v>
      </c>
      <c r="I90" s="8">
        <v>0.25365833665748388</v>
      </c>
      <c r="J90" s="8">
        <v>0.24203798404185475</v>
      </c>
      <c r="K90" s="8">
        <v>0.23041763142622565</v>
      </c>
      <c r="L90" s="8">
        <v>0.21879727881059652</v>
      </c>
      <c r="M90" s="8">
        <v>0.20717692619496741</v>
      </c>
      <c r="N90" s="8">
        <v>0.19884676391621398</v>
      </c>
      <c r="O90" s="8">
        <v>0.19051660163746054</v>
      </c>
      <c r="P90" s="8">
        <v>0.1821864393587071</v>
      </c>
      <c r="Q90" s="8">
        <v>0.17385627707995363</v>
      </c>
      <c r="R90" s="8">
        <v>0.16552611480120019</v>
      </c>
      <c r="S90" s="8">
        <v>0.15687498345676262</v>
      </c>
      <c r="T90" s="8">
        <v>0.14822385211232506</v>
      </c>
      <c r="U90" s="8">
        <v>0.13957272076788749</v>
      </c>
      <c r="V90" s="8">
        <v>0.13092158942344995</v>
      </c>
      <c r="W90" s="8">
        <v>0.12227045807901236</v>
      </c>
      <c r="X90" s="8">
        <v>0.11636034367969778</v>
      </c>
      <c r="Y90" s="8">
        <v>0.1104502292803832</v>
      </c>
      <c r="Z90" s="8">
        <v>0.10454011488106861</v>
      </c>
      <c r="AA90" s="8">
        <v>9.8630000481754021E-2</v>
      </c>
      <c r="AB90" s="8">
        <v>9.2719886082439446E-2</v>
      </c>
      <c r="AC90" s="8">
        <v>8.404592529520967E-2</v>
      </c>
      <c r="AD90" s="8">
        <v>7.5371964507979894E-2</v>
      </c>
      <c r="AE90" s="8">
        <v>6.6698003720750118E-2</v>
      </c>
      <c r="AF90" s="8">
        <v>5.8024042933520342E-2</v>
      </c>
      <c r="AG90" s="8">
        <v>4.9350082146290566E-2</v>
      </c>
      <c r="AH90" s="8">
        <v>4.2888162327014548E-2</v>
      </c>
      <c r="AI90" s="8">
        <v>3.6426242507738522E-2</v>
      </c>
      <c r="AJ90" s="8">
        <v>2.9964322688462504E-2</v>
      </c>
      <c r="AK90" s="8">
        <v>2.3502402869186482E-2</v>
      </c>
      <c r="AL90" s="8">
        <v>1.704048304991046E-2</v>
      </c>
      <c r="AM90" s="8">
        <v>1.3765936525194563E-2</v>
      </c>
      <c r="AN90" s="8">
        <v>1.0491390000478665E-2</v>
      </c>
      <c r="AO90" s="8">
        <v>7.2168434757627666E-3</v>
      </c>
      <c r="AP90" s="8">
        <v>3.9422969510468694E-3</v>
      </c>
      <c r="AQ90" s="8">
        <v>6.677504263309722E-4</v>
      </c>
      <c r="AR90" s="8">
        <v>5.2868432932972795E-4</v>
      </c>
      <c r="AS90" s="8">
        <v>3.8961823232848365E-4</v>
      </c>
      <c r="AT90" s="8">
        <v>2.5055213532723935E-4</v>
      </c>
      <c r="AU90" s="8">
        <v>1.114860383259951E-4</v>
      </c>
      <c r="AV90" s="8">
        <v>-2.7580058675249155E-5</v>
      </c>
      <c r="AW90" s="8">
        <v>-3.1158432648563516E-5</v>
      </c>
      <c r="AX90" s="8">
        <v>-3.473680662187788E-5</v>
      </c>
      <c r="AY90" s="8">
        <v>-3.8315180595192245E-5</v>
      </c>
      <c r="AZ90" s="8">
        <v>-4.1893554568506609E-5</v>
      </c>
      <c r="BA90" s="8">
        <v>-4.5471928541820973E-5</v>
      </c>
      <c r="BB90" s="102" t="s">
        <v>3</v>
      </c>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row>
    <row r="91" spans="2:80" x14ac:dyDescent="0.2">
      <c r="B91" s="101" t="s">
        <v>172</v>
      </c>
      <c r="C91" s="8">
        <v>83.919343991137737</v>
      </c>
      <c r="D91" s="8">
        <v>84.540982092341437</v>
      </c>
      <c r="E91" s="8">
        <v>85.162620193545138</v>
      </c>
      <c r="F91" s="8">
        <v>85.784258294748824</v>
      </c>
      <c r="G91" s="8">
        <v>86.405896395952524</v>
      </c>
      <c r="H91" s="8">
        <v>87.027534497156225</v>
      </c>
      <c r="I91" s="8">
        <v>84.978301143617003</v>
      </c>
      <c r="J91" s="8">
        <v>82.929067790077781</v>
      </c>
      <c r="K91" s="8">
        <v>80.879834436538559</v>
      </c>
      <c r="L91" s="8">
        <v>78.830601082999337</v>
      </c>
      <c r="M91" s="8">
        <v>76.781367729460115</v>
      </c>
      <c r="N91" s="8">
        <v>75.755837999357226</v>
      </c>
      <c r="O91" s="8">
        <v>74.730308269254337</v>
      </c>
      <c r="P91" s="8">
        <v>73.704778539151448</v>
      </c>
      <c r="Q91" s="8">
        <v>72.679248809048559</v>
      </c>
      <c r="R91" s="8">
        <v>71.65371907894567</v>
      </c>
      <c r="S91" s="8">
        <v>70.628036076392391</v>
      </c>
      <c r="T91" s="8">
        <v>69.602353073839112</v>
      </c>
      <c r="U91" s="8">
        <v>68.576670071285818</v>
      </c>
      <c r="V91" s="8">
        <v>67.550987068732539</v>
      </c>
      <c r="W91" s="8">
        <v>66.52530406617926</v>
      </c>
      <c r="X91" s="8">
        <v>64.058459745598029</v>
      </c>
      <c r="Y91" s="8">
        <v>61.591615425016798</v>
      </c>
      <c r="Z91" s="8">
        <v>59.124771104435567</v>
      </c>
      <c r="AA91" s="8">
        <v>56.657926783854336</v>
      </c>
      <c r="AB91" s="8">
        <v>54.191082463273105</v>
      </c>
      <c r="AC91" s="8">
        <v>49.522544315106309</v>
      </c>
      <c r="AD91" s="8">
        <v>44.854006166939513</v>
      </c>
      <c r="AE91" s="8">
        <v>40.185468018772717</v>
      </c>
      <c r="AF91" s="8">
        <v>35.516929870605921</v>
      </c>
      <c r="AG91" s="8">
        <v>30.848391722439125</v>
      </c>
      <c r="AH91" s="8">
        <v>25.49152108798306</v>
      </c>
      <c r="AI91" s="8">
        <v>20.134650453526991</v>
      </c>
      <c r="AJ91" s="8">
        <v>14.777779819070922</v>
      </c>
      <c r="AK91" s="8">
        <v>9.4209091846148567</v>
      </c>
      <c r="AL91" s="8">
        <v>4.0640385501587897</v>
      </c>
      <c r="AM91" s="8">
        <v>-0.70603657981378998</v>
      </c>
      <c r="AN91" s="8">
        <v>-5.4761117097863696</v>
      </c>
      <c r="AO91" s="8">
        <v>-10.24618683975895</v>
      </c>
      <c r="AP91" s="8">
        <v>-15.016261969731529</v>
      </c>
      <c r="AQ91" s="8">
        <v>-19.786337099704106</v>
      </c>
      <c r="AR91" s="8">
        <v>-26.159674657971571</v>
      </c>
      <c r="AS91" s="8">
        <v>-32.53301221623903</v>
      </c>
      <c r="AT91" s="8">
        <v>-38.906349774506495</v>
      </c>
      <c r="AU91" s="8">
        <v>-45.27968733277396</v>
      </c>
      <c r="AV91" s="8">
        <v>-51.653024891041426</v>
      </c>
      <c r="AW91" s="8">
        <v>-52.643697527433147</v>
      </c>
      <c r="AX91" s="8">
        <v>-53.634370163824869</v>
      </c>
      <c r="AY91" s="8">
        <v>-54.62504280021659</v>
      </c>
      <c r="AZ91" s="8">
        <v>-55.615715436608312</v>
      </c>
      <c r="BA91" s="8">
        <v>-56.606388073000034</v>
      </c>
      <c r="BB91" s="102" t="s">
        <v>3</v>
      </c>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row>
    <row r="92" spans="2:80" x14ac:dyDescent="0.2">
      <c r="B92" s="101" t="s">
        <v>180</v>
      </c>
      <c r="C92" s="8">
        <v>107.37058251725161</v>
      </c>
      <c r="D92" s="8">
        <v>113.60963034455418</v>
      </c>
      <c r="E92" s="8">
        <v>119.84867817185676</v>
      </c>
      <c r="F92" s="8">
        <v>126.08772599915933</v>
      </c>
      <c r="G92" s="8">
        <v>132.3267738264619</v>
      </c>
      <c r="H92" s="8">
        <v>138.56582165376449</v>
      </c>
      <c r="I92" s="8">
        <v>136.99215724826323</v>
      </c>
      <c r="J92" s="8">
        <v>135.41849284276196</v>
      </c>
      <c r="K92" s="8">
        <v>133.8448284372607</v>
      </c>
      <c r="L92" s="8">
        <v>132.27116403175944</v>
      </c>
      <c r="M92" s="8">
        <v>130.69749962625818</v>
      </c>
      <c r="N92" s="8">
        <v>130.68742803209534</v>
      </c>
      <c r="O92" s="8">
        <v>130.67735643793247</v>
      </c>
      <c r="P92" s="8">
        <v>130.66728484376964</v>
      </c>
      <c r="Q92" s="8">
        <v>130.65721324960677</v>
      </c>
      <c r="R92" s="8">
        <v>130.64714165544393</v>
      </c>
      <c r="S92" s="8">
        <v>132.05445493742786</v>
      </c>
      <c r="T92" s="8">
        <v>133.46176821941179</v>
      </c>
      <c r="U92" s="8">
        <v>134.86908150139573</v>
      </c>
      <c r="V92" s="8">
        <v>136.27639478337966</v>
      </c>
      <c r="W92" s="8">
        <v>137.68370806536359</v>
      </c>
      <c r="X92" s="8">
        <v>135.9439950029892</v>
      </c>
      <c r="Y92" s="8">
        <v>134.20428194061478</v>
      </c>
      <c r="Z92" s="8">
        <v>132.46456887824039</v>
      </c>
      <c r="AA92" s="8">
        <v>130.72485581586596</v>
      </c>
      <c r="AB92" s="8">
        <v>128.98514275349157</v>
      </c>
      <c r="AC92" s="8">
        <v>121.55366362394409</v>
      </c>
      <c r="AD92" s="8">
        <v>114.12218449439659</v>
      </c>
      <c r="AE92" s="8">
        <v>106.69070536484911</v>
      </c>
      <c r="AF92" s="8">
        <v>99.259226235301611</v>
      </c>
      <c r="AG92" s="8">
        <v>91.827747105754128</v>
      </c>
      <c r="AH92" s="8">
        <v>84.354241003773495</v>
      </c>
      <c r="AI92" s="8">
        <v>76.880734901792863</v>
      </c>
      <c r="AJ92" s="8">
        <v>69.407228799812231</v>
      </c>
      <c r="AK92" s="8">
        <v>61.933722697831605</v>
      </c>
      <c r="AL92" s="8">
        <v>54.460216595850973</v>
      </c>
      <c r="AM92" s="8">
        <v>48.525539152663825</v>
      </c>
      <c r="AN92" s="8">
        <v>42.590861709476677</v>
      </c>
      <c r="AO92" s="8">
        <v>36.656184266289529</v>
      </c>
      <c r="AP92" s="8">
        <v>30.721506823102377</v>
      </c>
      <c r="AQ92" s="8">
        <v>24.786829379915229</v>
      </c>
      <c r="AR92" s="8">
        <v>15.293355660382405</v>
      </c>
      <c r="AS92" s="8">
        <v>5.7998819408495805</v>
      </c>
      <c r="AT92" s="8">
        <v>-3.6935917786832455</v>
      </c>
      <c r="AU92" s="8">
        <v>-13.187065498216068</v>
      </c>
      <c r="AV92" s="8">
        <v>-22.680539217748894</v>
      </c>
      <c r="AW92" s="8">
        <v>-26.814690418317053</v>
      </c>
      <c r="AX92" s="8">
        <v>-30.948841618885211</v>
      </c>
      <c r="AY92" s="8">
        <v>-35.082992819453374</v>
      </c>
      <c r="AZ92" s="8">
        <v>-39.217144020021536</v>
      </c>
      <c r="BA92" s="8">
        <v>-43.351295220589691</v>
      </c>
      <c r="BB92" s="102" t="s">
        <v>3</v>
      </c>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row>
    <row r="93" spans="2:80" x14ac:dyDescent="0.2">
      <c r="B93" s="101" t="s">
        <v>179</v>
      </c>
      <c r="C93" s="8">
        <v>165.5964055397381</v>
      </c>
      <c r="D93" s="8">
        <v>174.57422280813688</v>
      </c>
      <c r="E93" s="8">
        <v>183.55204007653566</v>
      </c>
      <c r="F93" s="8">
        <v>192.52985734493444</v>
      </c>
      <c r="G93" s="8">
        <v>201.50767461333322</v>
      </c>
      <c r="H93" s="8">
        <v>210.485491881732</v>
      </c>
      <c r="I93" s="8">
        <v>220.11379863219588</v>
      </c>
      <c r="J93" s="8">
        <v>229.74210538265976</v>
      </c>
      <c r="K93" s="8">
        <v>239.37041213312364</v>
      </c>
      <c r="L93" s="8">
        <v>248.99871888358751</v>
      </c>
      <c r="M93" s="8">
        <v>258.62702563405139</v>
      </c>
      <c r="N93" s="8">
        <v>265.39001779976411</v>
      </c>
      <c r="O93" s="8">
        <v>272.15300996547688</v>
      </c>
      <c r="P93" s="8">
        <v>278.9160021311896</v>
      </c>
      <c r="Q93" s="8">
        <v>285.67899429690237</v>
      </c>
      <c r="R93" s="8">
        <v>292.44198646261509</v>
      </c>
      <c r="S93" s="8">
        <v>293.55115564053659</v>
      </c>
      <c r="T93" s="8">
        <v>294.66032481845815</v>
      </c>
      <c r="U93" s="8">
        <v>295.76949399637965</v>
      </c>
      <c r="V93" s="8">
        <v>296.87866317430121</v>
      </c>
      <c r="W93" s="8">
        <v>297.98783235222271</v>
      </c>
      <c r="X93" s="8">
        <v>291.54923189021463</v>
      </c>
      <c r="Y93" s="8">
        <v>285.1106314282066</v>
      </c>
      <c r="Z93" s="8">
        <v>278.67203096619852</v>
      </c>
      <c r="AA93" s="8">
        <v>272.23343050419049</v>
      </c>
      <c r="AB93" s="8">
        <v>265.79483004218241</v>
      </c>
      <c r="AC93" s="8">
        <v>249.11698717860841</v>
      </c>
      <c r="AD93" s="8">
        <v>232.43914431503441</v>
      </c>
      <c r="AE93" s="8">
        <v>215.76130145146041</v>
      </c>
      <c r="AF93" s="8">
        <v>199.08345858788641</v>
      </c>
      <c r="AG93" s="8">
        <v>182.40561572431241</v>
      </c>
      <c r="AH93" s="8">
        <v>164.82262219700021</v>
      </c>
      <c r="AI93" s="8">
        <v>147.23962866968799</v>
      </c>
      <c r="AJ93" s="8">
        <v>129.65663514237579</v>
      </c>
      <c r="AK93" s="8">
        <v>112.07364161506359</v>
      </c>
      <c r="AL93" s="8">
        <v>94.490648087751381</v>
      </c>
      <c r="AM93" s="8">
        <v>78.251472403733644</v>
      </c>
      <c r="AN93" s="8">
        <v>62.012296719715906</v>
      </c>
      <c r="AO93" s="8">
        <v>45.773121035698168</v>
      </c>
      <c r="AP93" s="8">
        <v>29.53394535168043</v>
      </c>
      <c r="AQ93" s="8">
        <v>13.294769667662692</v>
      </c>
      <c r="AR93" s="8">
        <v>-8.2470625117078775</v>
      </c>
      <c r="AS93" s="8">
        <v>-29.788894691078447</v>
      </c>
      <c r="AT93" s="8">
        <v>-51.330726870449013</v>
      </c>
      <c r="AU93" s="8">
        <v>-72.872559049819586</v>
      </c>
      <c r="AV93" s="8">
        <v>-94.414391229190159</v>
      </c>
      <c r="AW93" s="8">
        <v>-101.71737823489252</v>
      </c>
      <c r="AX93" s="8">
        <v>-109.02036524059487</v>
      </c>
      <c r="AY93" s="8">
        <v>-116.32335224629723</v>
      </c>
      <c r="AZ93" s="8">
        <v>-123.62633925199958</v>
      </c>
      <c r="BA93" s="8">
        <v>-130.92932625770194</v>
      </c>
      <c r="BB93" s="102" t="s">
        <v>3</v>
      </c>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row>
    <row r="94" spans="2:80" x14ac:dyDescent="0.2">
      <c r="B94" s="101" t="s">
        <v>137</v>
      </c>
      <c r="C94" s="8">
        <v>272.96698805698969</v>
      </c>
      <c r="D94" s="8">
        <v>288.18383129119371</v>
      </c>
      <c r="E94" s="8">
        <v>303.40067452539773</v>
      </c>
      <c r="F94" s="8">
        <v>318.61751775960181</v>
      </c>
      <c r="G94" s="8">
        <v>333.83436099380583</v>
      </c>
      <c r="H94" s="8">
        <v>349.05120422800985</v>
      </c>
      <c r="I94" s="8">
        <v>357.26648624853544</v>
      </c>
      <c r="J94" s="8">
        <v>365.48176826906104</v>
      </c>
      <c r="K94" s="8">
        <v>373.69705028958668</v>
      </c>
      <c r="L94" s="8">
        <v>381.91233231011228</v>
      </c>
      <c r="M94" s="8">
        <v>390.12761433063787</v>
      </c>
      <c r="N94" s="8">
        <v>396.05190600003118</v>
      </c>
      <c r="O94" s="8">
        <v>401.97619766942449</v>
      </c>
      <c r="P94" s="8">
        <v>407.90048933881786</v>
      </c>
      <c r="Q94" s="8">
        <v>413.82478100821118</v>
      </c>
      <c r="R94" s="8">
        <v>419.74907267760449</v>
      </c>
      <c r="S94" s="8">
        <v>421.83955306068043</v>
      </c>
      <c r="T94" s="8">
        <v>423.93003344375637</v>
      </c>
      <c r="U94" s="8">
        <v>426.02051382683231</v>
      </c>
      <c r="V94" s="8">
        <v>428.11099420990826</v>
      </c>
      <c r="W94" s="8">
        <v>430.2014745929842</v>
      </c>
      <c r="X94" s="8">
        <v>419.94157016167668</v>
      </c>
      <c r="Y94" s="8">
        <v>409.68166573036916</v>
      </c>
      <c r="Z94" s="8">
        <v>399.4217612990617</v>
      </c>
      <c r="AA94" s="8">
        <v>389.16185686775418</v>
      </c>
      <c r="AB94" s="8">
        <v>378.90195243644666</v>
      </c>
      <c r="AC94" s="8">
        <v>357.18350212787431</v>
      </c>
      <c r="AD94" s="8">
        <v>335.46505181930195</v>
      </c>
      <c r="AE94" s="8">
        <v>313.74660151072959</v>
      </c>
      <c r="AF94" s="8">
        <v>292.02815120215723</v>
      </c>
      <c r="AG94" s="8">
        <v>270.30970089358487</v>
      </c>
      <c r="AH94" s="8">
        <v>245.52044449644777</v>
      </c>
      <c r="AI94" s="8">
        <v>220.73118809931069</v>
      </c>
      <c r="AJ94" s="8">
        <v>195.94193170217358</v>
      </c>
      <c r="AK94" s="8">
        <v>171.1526753050365</v>
      </c>
      <c r="AL94" s="8">
        <v>146.36341890789939</v>
      </c>
      <c r="AM94" s="8">
        <v>124.32146490758288</v>
      </c>
      <c r="AN94" s="8">
        <v>102.27951090726638</v>
      </c>
      <c r="AO94" s="8">
        <v>80.237556906949891</v>
      </c>
      <c r="AP94" s="8">
        <v>58.195602906633383</v>
      </c>
      <c r="AQ94" s="8">
        <v>36.153648906316874</v>
      </c>
      <c r="AR94" s="8">
        <v>6.9209362516676656</v>
      </c>
      <c r="AS94" s="8">
        <v>-22.311776402981543</v>
      </c>
      <c r="AT94" s="8">
        <v>-51.544489057630756</v>
      </c>
      <c r="AU94" s="8">
        <v>-80.777201712279961</v>
      </c>
      <c r="AV94" s="8">
        <v>-110.00991436692915</v>
      </c>
      <c r="AW94" s="8">
        <v>-119.96203078088064</v>
      </c>
      <c r="AX94" s="8">
        <v>-129.91414719483214</v>
      </c>
      <c r="AY94" s="8">
        <v>-139.86626360878364</v>
      </c>
      <c r="AZ94" s="8">
        <v>-149.81838002273511</v>
      </c>
      <c r="BA94" s="8">
        <v>-159.77049643668661</v>
      </c>
      <c r="BB94" s="102" t="s">
        <v>3</v>
      </c>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row>
    <row r="95" spans="2:80" x14ac:dyDescent="0.2">
      <c r="B95" s="101" t="s">
        <v>173</v>
      </c>
      <c r="C95" s="8">
        <v>77.599063886973951</v>
      </c>
      <c r="D95" s="8">
        <v>77.368792005647052</v>
      </c>
      <c r="E95" s="8">
        <v>77.138520124320152</v>
      </c>
      <c r="F95" s="8">
        <v>76.908248242993267</v>
      </c>
      <c r="G95" s="8">
        <v>76.677976361666367</v>
      </c>
      <c r="H95" s="8">
        <v>76.447704480339468</v>
      </c>
      <c r="I95" s="8">
        <v>81.289017048460821</v>
      </c>
      <c r="J95" s="8">
        <v>86.130329616582173</v>
      </c>
      <c r="K95" s="8">
        <v>90.971642184703512</v>
      </c>
      <c r="L95" s="8">
        <v>95.812954752824865</v>
      </c>
      <c r="M95" s="8">
        <v>100.65426732094622</v>
      </c>
      <c r="N95" s="8">
        <v>99.743567287048165</v>
      </c>
      <c r="O95" s="8">
        <v>98.832867253150113</v>
      </c>
      <c r="P95" s="8">
        <v>97.92216721925206</v>
      </c>
      <c r="Q95" s="8">
        <v>97.011467185354007</v>
      </c>
      <c r="R95" s="8">
        <v>96.100767151455955</v>
      </c>
      <c r="S95" s="8">
        <v>92.785241125312552</v>
      </c>
      <c r="T95" s="8">
        <v>89.469715099169136</v>
      </c>
      <c r="U95" s="8">
        <v>86.154189073025734</v>
      </c>
      <c r="V95" s="8">
        <v>82.838663046882317</v>
      </c>
      <c r="W95" s="8">
        <v>79.523137020738915</v>
      </c>
      <c r="X95" s="8">
        <v>75.233910273613375</v>
      </c>
      <c r="Y95" s="8">
        <v>70.944683526487822</v>
      </c>
      <c r="Z95" s="8">
        <v>66.655456779362282</v>
      </c>
      <c r="AA95" s="8">
        <v>62.366230032236743</v>
      </c>
      <c r="AB95" s="8">
        <v>58.077003285111196</v>
      </c>
      <c r="AC95" s="8">
        <v>52.241752608005989</v>
      </c>
      <c r="AD95" s="8">
        <v>46.406501930900788</v>
      </c>
      <c r="AE95" s="8">
        <v>40.57125125379558</v>
      </c>
      <c r="AF95" s="8">
        <v>34.736000576690373</v>
      </c>
      <c r="AG95" s="8">
        <v>28.900749899585172</v>
      </c>
      <c r="AH95" s="8">
        <v>25.921220752107097</v>
      </c>
      <c r="AI95" s="8">
        <v>22.941691604629021</v>
      </c>
      <c r="AJ95" s="8">
        <v>19.962162457150946</v>
      </c>
      <c r="AK95" s="8">
        <v>16.98263330967287</v>
      </c>
      <c r="AL95" s="8">
        <v>14.003104162194795</v>
      </c>
      <c r="AM95" s="8">
        <v>12.184158716913352</v>
      </c>
      <c r="AN95" s="8">
        <v>10.365213271631907</v>
      </c>
      <c r="AO95" s="8">
        <v>8.5462678263504639</v>
      </c>
      <c r="AP95" s="8">
        <v>6.7273223810690199</v>
      </c>
      <c r="AQ95" s="8">
        <v>4.9083769357875751</v>
      </c>
      <c r="AR95" s="8">
        <v>2.8897594555649335</v>
      </c>
      <c r="AS95" s="8">
        <v>0.87114197534229199</v>
      </c>
      <c r="AT95" s="8">
        <v>-1.14747550488035</v>
      </c>
      <c r="AU95" s="8">
        <v>-3.1660929851029911</v>
      </c>
      <c r="AV95" s="8">
        <v>-5.1847104653256322</v>
      </c>
      <c r="AW95" s="8">
        <v>-6.3419740227440631</v>
      </c>
      <c r="AX95" s="8">
        <v>-7.4992375801624931</v>
      </c>
      <c r="AY95" s="8">
        <v>-8.6565011375809231</v>
      </c>
      <c r="AZ95" s="8">
        <v>-9.8137646949993531</v>
      </c>
      <c r="BA95" s="8">
        <v>-10.971028252417785</v>
      </c>
      <c r="BB95" s="102" t="s">
        <v>3</v>
      </c>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row>
    <row r="96" spans="2:80" x14ac:dyDescent="0.2">
      <c r="B96" s="101" t="s">
        <v>174</v>
      </c>
      <c r="C96" s="8">
        <v>151.43521315227889</v>
      </c>
      <c r="D96" s="8">
        <v>151.57830737814209</v>
      </c>
      <c r="E96" s="8">
        <v>151.72140160400525</v>
      </c>
      <c r="F96" s="8">
        <v>151.86449582986845</v>
      </c>
      <c r="G96" s="8">
        <v>152.00759005573161</v>
      </c>
      <c r="H96" s="8">
        <v>152.15068428159481</v>
      </c>
      <c r="I96" s="8">
        <v>153.07449054552777</v>
      </c>
      <c r="J96" s="8">
        <v>153.99829680946075</v>
      </c>
      <c r="K96" s="8">
        <v>154.92210307339371</v>
      </c>
      <c r="L96" s="8">
        <v>155.8459093373267</v>
      </c>
      <c r="M96" s="8">
        <v>156.76971560125966</v>
      </c>
      <c r="N96" s="8">
        <v>155.37263539098728</v>
      </c>
      <c r="O96" s="8">
        <v>153.97555518071488</v>
      </c>
      <c r="P96" s="8">
        <v>152.5784749704425</v>
      </c>
      <c r="Q96" s="8">
        <v>151.18139476017009</v>
      </c>
      <c r="R96" s="8">
        <v>149.78431454989772</v>
      </c>
      <c r="S96" s="8">
        <v>144.17648287314992</v>
      </c>
      <c r="T96" s="8">
        <v>138.5686511964021</v>
      </c>
      <c r="U96" s="8">
        <v>132.96081951965431</v>
      </c>
      <c r="V96" s="8">
        <v>127.3529878429065</v>
      </c>
      <c r="W96" s="8">
        <v>121.74515616615869</v>
      </c>
      <c r="X96" s="8">
        <v>114.13400857111063</v>
      </c>
      <c r="Y96" s="8">
        <v>106.52286097606256</v>
      </c>
      <c r="Z96" s="8">
        <v>98.911713381014494</v>
      </c>
      <c r="AA96" s="8">
        <v>91.300565785966427</v>
      </c>
      <c r="AB96" s="8">
        <v>83.68941819091836</v>
      </c>
      <c r="AC96" s="8">
        <v>71.945705425633662</v>
      </c>
      <c r="AD96" s="8">
        <v>60.201992660348949</v>
      </c>
      <c r="AE96" s="8">
        <v>48.458279895064251</v>
      </c>
      <c r="AF96" s="8">
        <v>36.714567129779546</v>
      </c>
      <c r="AG96" s="8">
        <v>24.970854364494841</v>
      </c>
      <c r="AH96" s="8">
        <v>13.313763632432908</v>
      </c>
      <c r="AI96" s="8">
        <v>1.6566729003709746</v>
      </c>
      <c r="AJ96" s="8">
        <v>-10.00041783169096</v>
      </c>
      <c r="AK96" s="8">
        <v>-21.657508563752891</v>
      </c>
      <c r="AL96" s="8">
        <v>-33.314599295814823</v>
      </c>
      <c r="AM96" s="8">
        <v>-43.597334722067941</v>
      </c>
      <c r="AN96" s="8">
        <v>-53.880070148321067</v>
      </c>
      <c r="AO96" s="8">
        <v>-64.162805574574193</v>
      </c>
      <c r="AP96" s="8">
        <v>-74.445541000827319</v>
      </c>
      <c r="AQ96" s="8">
        <v>-84.728276427080431</v>
      </c>
      <c r="AR96" s="8">
        <v>-92.575631685508924</v>
      </c>
      <c r="AS96" s="8">
        <v>-100.42298694393742</v>
      </c>
      <c r="AT96" s="8">
        <v>-108.2703422023659</v>
      </c>
      <c r="AU96" s="8">
        <v>-116.11769746079439</v>
      </c>
      <c r="AV96" s="8">
        <v>-123.96505271922288</v>
      </c>
      <c r="AW96" s="8">
        <v>-130.40085580789608</v>
      </c>
      <c r="AX96" s="8">
        <v>-136.83665889656928</v>
      </c>
      <c r="AY96" s="8">
        <v>-143.27246198524247</v>
      </c>
      <c r="AZ96" s="8">
        <v>-149.70826507391567</v>
      </c>
      <c r="BA96" s="8">
        <v>-156.14406816258887</v>
      </c>
      <c r="BB96" s="102" t="s">
        <v>3</v>
      </c>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row>
    <row r="97" spans="2:80" x14ac:dyDescent="0.2">
      <c r="B97" s="101" t="s">
        <v>175</v>
      </c>
      <c r="C97" s="8">
        <v>423.9888273411874</v>
      </c>
      <c r="D97" s="8">
        <v>433.15346155187467</v>
      </c>
      <c r="E97" s="8">
        <v>442.318095762562</v>
      </c>
      <c r="F97" s="8">
        <v>451.48272997324926</v>
      </c>
      <c r="G97" s="8">
        <v>460.64736418393659</v>
      </c>
      <c r="H97" s="8">
        <v>469.81199839462386</v>
      </c>
      <c r="I97" s="8">
        <v>467.00010485719361</v>
      </c>
      <c r="J97" s="8">
        <v>464.1882113197633</v>
      </c>
      <c r="K97" s="8">
        <v>461.37631778233305</v>
      </c>
      <c r="L97" s="8">
        <v>458.56442424490274</v>
      </c>
      <c r="M97" s="8">
        <v>455.75253070747249</v>
      </c>
      <c r="N97" s="8">
        <v>458.73788837204012</v>
      </c>
      <c r="O97" s="8">
        <v>461.72324603660775</v>
      </c>
      <c r="P97" s="8">
        <v>464.70860370117538</v>
      </c>
      <c r="Q97" s="8">
        <v>467.69396136574301</v>
      </c>
      <c r="R97" s="8">
        <v>470.67931903031064</v>
      </c>
      <c r="S97" s="8">
        <v>465.46362174425855</v>
      </c>
      <c r="T97" s="8">
        <v>460.2479244582064</v>
      </c>
      <c r="U97" s="8">
        <v>455.03222717215431</v>
      </c>
      <c r="V97" s="8">
        <v>449.81652988610216</v>
      </c>
      <c r="W97" s="8">
        <v>444.60083260005007</v>
      </c>
      <c r="X97" s="8">
        <v>430.70659859723258</v>
      </c>
      <c r="Y97" s="8">
        <v>416.8123645944151</v>
      </c>
      <c r="Z97" s="8">
        <v>402.91813059159756</v>
      </c>
      <c r="AA97" s="8">
        <v>389.02389658878008</v>
      </c>
      <c r="AB97" s="8">
        <v>375.12966258596259</v>
      </c>
      <c r="AC97" s="8">
        <v>343.11615097832487</v>
      </c>
      <c r="AD97" s="8">
        <v>311.10263937068714</v>
      </c>
      <c r="AE97" s="8">
        <v>279.08912776304936</v>
      </c>
      <c r="AF97" s="8">
        <v>247.07561615541164</v>
      </c>
      <c r="AG97" s="8">
        <v>215.06210454777391</v>
      </c>
      <c r="AH97" s="8">
        <v>185.11326567342377</v>
      </c>
      <c r="AI97" s="8">
        <v>155.16442679907365</v>
      </c>
      <c r="AJ97" s="8">
        <v>125.21558792472351</v>
      </c>
      <c r="AK97" s="8">
        <v>95.266749050373377</v>
      </c>
      <c r="AL97" s="8">
        <v>65.317910176023233</v>
      </c>
      <c r="AM97" s="8">
        <v>46.598007382331311</v>
      </c>
      <c r="AN97" s="8">
        <v>27.878104588639388</v>
      </c>
      <c r="AO97" s="8">
        <v>9.1582017949474661</v>
      </c>
      <c r="AP97" s="8">
        <v>-9.5617009987444561</v>
      </c>
      <c r="AQ97" s="8">
        <v>-28.281603792436389</v>
      </c>
      <c r="AR97" s="8">
        <v>-49.671939844390067</v>
      </c>
      <c r="AS97" s="8">
        <v>-71.062275896343749</v>
      </c>
      <c r="AT97" s="8">
        <v>-92.452611948297431</v>
      </c>
      <c r="AU97" s="8">
        <v>-113.84294800025111</v>
      </c>
      <c r="AV97" s="8">
        <v>-135.23328405220479</v>
      </c>
      <c r="AW97" s="8">
        <v>-136.66736321377141</v>
      </c>
      <c r="AX97" s="8">
        <v>-138.10144237533802</v>
      </c>
      <c r="AY97" s="8">
        <v>-139.53552153690464</v>
      </c>
      <c r="AZ97" s="8">
        <v>-140.96960069847125</v>
      </c>
      <c r="BA97" s="8">
        <v>-142.40367986003787</v>
      </c>
      <c r="BB97" s="102" t="s">
        <v>3</v>
      </c>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row>
    <row r="98" spans="2:80" x14ac:dyDescent="0.2">
      <c r="B98" s="101" t="s">
        <v>176</v>
      </c>
      <c r="C98" s="8">
        <v>83.919343991137737</v>
      </c>
      <c r="D98" s="8">
        <v>84.540982092341437</v>
      </c>
      <c r="E98" s="8">
        <v>85.162620193545138</v>
      </c>
      <c r="F98" s="8">
        <v>85.784258294748824</v>
      </c>
      <c r="G98" s="8">
        <v>86.405896395952524</v>
      </c>
      <c r="H98" s="8">
        <v>87.027534497156225</v>
      </c>
      <c r="I98" s="8">
        <v>84.978301143617003</v>
      </c>
      <c r="J98" s="8">
        <v>82.929067790077781</v>
      </c>
      <c r="K98" s="8">
        <v>80.879834436538559</v>
      </c>
      <c r="L98" s="8">
        <v>78.830601082999337</v>
      </c>
      <c r="M98" s="8">
        <v>76.781367729460115</v>
      </c>
      <c r="N98" s="8">
        <v>75.755837999357226</v>
      </c>
      <c r="O98" s="8">
        <v>74.730308269254337</v>
      </c>
      <c r="P98" s="8">
        <v>73.704778539151448</v>
      </c>
      <c r="Q98" s="8">
        <v>72.679248809048559</v>
      </c>
      <c r="R98" s="8">
        <v>71.65371907894567</v>
      </c>
      <c r="S98" s="8">
        <v>70.628036076392391</v>
      </c>
      <c r="T98" s="8">
        <v>69.602353073839112</v>
      </c>
      <c r="U98" s="8">
        <v>68.576670071285818</v>
      </c>
      <c r="V98" s="8">
        <v>67.550987068732539</v>
      </c>
      <c r="W98" s="8">
        <v>66.52530406617926</v>
      </c>
      <c r="X98" s="8">
        <v>64.058459745598029</v>
      </c>
      <c r="Y98" s="8">
        <v>61.591615425016798</v>
      </c>
      <c r="Z98" s="8">
        <v>59.124771104435567</v>
      </c>
      <c r="AA98" s="8">
        <v>56.657926783854336</v>
      </c>
      <c r="AB98" s="8">
        <v>54.191082463273105</v>
      </c>
      <c r="AC98" s="8">
        <v>49.522544315106309</v>
      </c>
      <c r="AD98" s="8">
        <v>44.854006166939513</v>
      </c>
      <c r="AE98" s="8">
        <v>40.185468018772717</v>
      </c>
      <c r="AF98" s="8">
        <v>35.516929870605921</v>
      </c>
      <c r="AG98" s="8">
        <v>30.848391722439125</v>
      </c>
      <c r="AH98" s="8">
        <v>25.49152108798306</v>
      </c>
      <c r="AI98" s="8">
        <v>20.134650453526991</v>
      </c>
      <c r="AJ98" s="8">
        <v>14.777779819070922</v>
      </c>
      <c r="AK98" s="8">
        <v>9.4209091846148567</v>
      </c>
      <c r="AL98" s="8">
        <v>4.0640385501587897</v>
      </c>
      <c r="AM98" s="8">
        <v>-0.70603657981378998</v>
      </c>
      <c r="AN98" s="8">
        <v>-5.4761117097863696</v>
      </c>
      <c r="AO98" s="8">
        <v>-10.24618683975895</v>
      </c>
      <c r="AP98" s="8">
        <v>-15.016261969731529</v>
      </c>
      <c r="AQ98" s="8">
        <v>-19.786337099704106</v>
      </c>
      <c r="AR98" s="8">
        <v>-26.159674657971571</v>
      </c>
      <c r="AS98" s="8">
        <v>-32.53301221623903</v>
      </c>
      <c r="AT98" s="8">
        <v>-38.906349774506495</v>
      </c>
      <c r="AU98" s="8">
        <v>-45.27968733277396</v>
      </c>
      <c r="AV98" s="8">
        <v>-51.653024891041426</v>
      </c>
      <c r="AW98" s="8">
        <v>-52.643697527433147</v>
      </c>
      <c r="AX98" s="8">
        <v>-53.634370163824869</v>
      </c>
      <c r="AY98" s="8">
        <v>-54.62504280021659</v>
      </c>
      <c r="AZ98" s="8">
        <v>-55.615715436608312</v>
      </c>
      <c r="BA98" s="8">
        <v>-56.606388073000034</v>
      </c>
      <c r="BB98" s="102" t="s">
        <v>3</v>
      </c>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row>
    <row r="99" spans="2:80" x14ac:dyDescent="0.2">
      <c r="B99" s="101" t="s">
        <v>177</v>
      </c>
      <c r="C99" s="8">
        <v>107.37058251725161</v>
      </c>
      <c r="D99" s="8">
        <v>113.60963034455418</v>
      </c>
      <c r="E99" s="8">
        <v>119.84867817185676</v>
      </c>
      <c r="F99" s="8">
        <v>126.08772599915933</v>
      </c>
      <c r="G99" s="8">
        <v>132.3267738264619</v>
      </c>
      <c r="H99" s="8">
        <v>138.56582165376449</v>
      </c>
      <c r="I99" s="8">
        <v>136.99215724826323</v>
      </c>
      <c r="J99" s="8">
        <v>135.41849284276196</v>
      </c>
      <c r="K99" s="8">
        <v>133.8448284372607</v>
      </c>
      <c r="L99" s="8">
        <v>132.27116403175944</v>
      </c>
      <c r="M99" s="8">
        <v>130.69749962625818</v>
      </c>
      <c r="N99" s="8">
        <v>130.68742803209534</v>
      </c>
      <c r="O99" s="8">
        <v>130.67735643793247</v>
      </c>
      <c r="P99" s="8">
        <v>130.66728484376964</v>
      </c>
      <c r="Q99" s="8">
        <v>130.65721324960677</v>
      </c>
      <c r="R99" s="8">
        <v>130.64714165544393</v>
      </c>
      <c r="S99" s="8">
        <v>132.05445493742786</v>
      </c>
      <c r="T99" s="8">
        <v>133.46176821941179</v>
      </c>
      <c r="U99" s="8">
        <v>134.86908150139573</v>
      </c>
      <c r="V99" s="8">
        <v>136.27639478337966</v>
      </c>
      <c r="W99" s="8">
        <v>137.68370806536359</v>
      </c>
      <c r="X99" s="8">
        <v>135.9439950029892</v>
      </c>
      <c r="Y99" s="8">
        <v>134.20428194061478</v>
      </c>
      <c r="Z99" s="8">
        <v>132.46456887824039</v>
      </c>
      <c r="AA99" s="8">
        <v>130.72485581586596</v>
      </c>
      <c r="AB99" s="8">
        <v>128.98514275349157</v>
      </c>
      <c r="AC99" s="8">
        <v>121.55366362394409</v>
      </c>
      <c r="AD99" s="8">
        <v>114.12218449439659</v>
      </c>
      <c r="AE99" s="8">
        <v>106.69070536484911</v>
      </c>
      <c r="AF99" s="8">
        <v>99.259226235301611</v>
      </c>
      <c r="AG99" s="8">
        <v>91.827747105754128</v>
      </c>
      <c r="AH99" s="8">
        <v>84.354241003773495</v>
      </c>
      <c r="AI99" s="8">
        <v>76.880734901792863</v>
      </c>
      <c r="AJ99" s="8">
        <v>69.407228799812231</v>
      </c>
      <c r="AK99" s="8">
        <v>61.933722697831605</v>
      </c>
      <c r="AL99" s="8">
        <v>54.460216595850973</v>
      </c>
      <c r="AM99" s="8">
        <v>48.525539152663825</v>
      </c>
      <c r="AN99" s="8">
        <v>42.590861709476677</v>
      </c>
      <c r="AO99" s="8">
        <v>36.656184266289529</v>
      </c>
      <c r="AP99" s="8">
        <v>30.721506823102377</v>
      </c>
      <c r="AQ99" s="8">
        <v>24.786829379915229</v>
      </c>
      <c r="AR99" s="8">
        <v>15.293355660382405</v>
      </c>
      <c r="AS99" s="8">
        <v>5.7998819408495805</v>
      </c>
      <c r="AT99" s="8">
        <v>-3.6935917786832455</v>
      </c>
      <c r="AU99" s="8">
        <v>-13.187065498216068</v>
      </c>
      <c r="AV99" s="8">
        <v>-22.680539217748894</v>
      </c>
      <c r="AW99" s="8">
        <v>-26.814690418317053</v>
      </c>
      <c r="AX99" s="8">
        <v>-30.948841618885211</v>
      </c>
      <c r="AY99" s="8">
        <v>-35.082992819453374</v>
      </c>
      <c r="AZ99" s="8">
        <v>-39.217144020021536</v>
      </c>
      <c r="BA99" s="8">
        <v>-43.351295220589691</v>
      </c>
      <c r="BB99" s="102" t="s">
        <v>3</v>
      </c>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row>
    <row r="100" spans="2:80" x14ac:dyDescent="0.2">
      <c r="B100" s="101" t="s">
        <v>178</v>
      </c>
      <c r="C100" s="8">
        <v>165.5964055397381</v>
      </c>
      <c r="D100" s="8">
        <v>174.57422280813688</v>
      </c>
      <c r="E100" s="8">
        <v>183.55204007653566</v>
      </c>
      <c r="F100" s="8">
        <v>192.52985734493444</v>
      </c>
      <c r="G100" s="8">
        <v>201.50767461333322</v>
      </c>
      <c r="H100" s="8">
        <v>210.485491881732</v>
      </c>
      <c r="I100" s="8">
        <v>220.11379863219588</v>
      </c>
      <c r="J100" s="8">
        <v>229.74210538265976</v>
      </c>
      <c r="K100" s="8">
        <v>239.37041213312364</v>
      </c>
      <c r="L100" s="8">
        <v>248.99871888358751</v>
      </c>
      <c r="M100" s="8">
        <v>258.62702563405139</v>
      </c>
      <c r="N100" s="8">
        <v>265.39001779976411</v>
      </c>
      <c r="O100" s="8">
        <v>272.15300996547688</v>
      </c>
      <c r="P100" s="8">
        <v>278.9160021311896</v>
      </c>
      <c r="Q100" s="8">
        <v>285.67899429690237</v>
      </c>
      <c r="R100" s="8">
        <v>292.44198646261509</v>
      </c>
      <c r="S100" s="8">
        <v>293.55115564053659</v>
      </c>
      <c r="T100" s="8">
        <v>294.66032481845815</v>
      </c>
      <c r="U100" s="8">
        <v>295.76949399637965</v>
      </c>
      <c r="V100" s="8">
        <v>296.87866317430121</v>
      </c>
      <c r="W100" s="8">
        <v>297.98783235222271</v>
      </c>
      <c r="X100" s="8">
        <v>291.54923189021463</v>
      </c>
      <c r="Y100" s="8">
        <v>285.1106314282066</v>
      </c>
      <c r="Z100" s="8">
        <v>278.67203096619852</v>
      </c>
      <c r="AA100" s="8">
        <v>272.23343050419049</v>
      </c>
      <c r="AB100" s="8">
        <v>265.79483004218241</v>
      </c>
      <c r="AC100" s="8">
        <v>249.11698717860841</v>
      </c>
      <c r="AD100" s="8">
        <v>232.43914431503441</v>
      </c>
      <c r="AE100" s="8">
        <v>215.76130145146041</v>
      </c>
      <c r="AF100" s="8">
        <v>199.08345858788641</v>
      </c>
      <c r="AG100" s="8">
        <v>182.40561572431241</v>
      </c>
      <c r="AH100" s="8">
        <v>164.82262219700021</v>
      </c>
      <c r="AI100" s="8">
        <v>147.23962866968799</v>
      </c>
      <c r="AJ100" s="8">
        <v>129.65663514237579</v>
      </c>
      <c r="AK100" s="8">
        <v>112.07364161506359</v>
      </c>
      <c r="AL100" s="8">
        <v>94.490648087751381</v>
      </c>
      <c r="AM100" s="8">
        <v>78.251472403733644</v>
      </c>
      <c r="AN100" s="8">
        <v>62.012296719715906</v>
      </c>
      <c r="AO100" s="8">
        <v>45.773121035698168</v>
      </c>
      <c r="AP100" s="8">
        <v>29.53394535168043</v>
      </c>
      <c r="AQ100" s="8">
        <v>13.294769667662692</v>
      </c>
      <c r="AR100" s="8">
        <v>-8.2470625117078775</v>
      </c>
      <c r="AS100" s="8">
        <v>-29.788894691078447</v>
      </c>
      <c r="AT100" s="8">
        <v>-51.330726870449013</v>
      </c>
      <c r="AU100" s="8">
        <v>-72.872559049819586</v>
      </c>
      <c r="AV100" s="8">
        <v>-94.414391229190159</v>
      </c>
      <c r="AW100" s="8">
        <v>-101.71737823489252</v>
      </c>
      <c r="AX100" s="8">
        <v>-109.02036524059487</v>
      </c>
      <c r="AY100" s="8">
        <v>-116.32335224629723</v>
      </c>
      <c r="AZ100" s="8">
        <v>-123.62633925199958</v>
      </c>
      <c r="BA100" s="8">
        <v>-130.92932625770194</v>
      </c>
      <c r="BB100" s="102" t="s">
        <v>3</v>
      </c>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row>
    <row r="101" spans="2:80" x14ac:dyDescent="0.2">
      <c r="B101" s="101"/>
      <c r="C101" s="8"/>
      <c r="H101" s="8"/>
      <c r="M101" s="8"/>
      <c r="R101" s="8"/>
      <c r="W101" s="8"/>
      <c r="AB101" s="8"/>
      <c r="AG101" s="8"/>
      <c r="AL101" s="8"/>
      <c r="AQ101" s="8"/>
      <c r="AV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row>
    <row r="102" spans="2:80" x14ac:dyDescent="0.2">
      <c r="B102" s="1" t="s">
        <v>23</v>
      </c>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10"/>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row>
    <row r="103" spans="2:80" x14ac:dyDescent="0.2">
      <c r="B103" s="5" t="s">
        <v>1</v>
      </c>
      <c r="C103" s="6">
        <v>2010</v>
      </c>
      <c r="D103" s="3">
        <v>2011</v>
      </c>
      <c r="E103" s="3">
        <v>2012</v>
      </c>
      <c r="F103" s="3">
        <v>2013</v>
      </c>
      <c r="G103" s="3">
        <v>2014</v>
      </c>
      <c r="H103" s="6">
        <v>2015</v>
      </c>
      <c r="I103" s="3">
        <v>2016</v>
      </c>
      <c r="J103" s="3">
        <v>2017</v>
      </c>
      <c r="K103" s="3">
        <v>2018</v>
      </c>
      <c r="L103" s="3">
        <v>2019</v>
      </c>
      <c r="M103" s="6">
        <v>2020</v>
      </c>
      <c r="N103" s="3">
        <v>2021</v>
      </c>
      <c r="O103" s="3">
        <v>2022</v>
      </c>
      <c r="P103" s="3">
        <v>2023</v>
      </c>
      <c r="Q103" s="3">
        <v>2024</v>
      </c>
      <c r="R103" s="6">
        <v>2025</v>
      </c>
      <c r="S103" s="3">
        <v>2026</v>
      </c>
      <c r="T103" s="3">
        <v>2027</v>
      </c>
      <c r="U103" s="3">
        <v>2028</v>
      </c>
      <c r="V103" s="3">
        <v>2029</v>
      </c>
      <c r="W103" s="6">
        <v>2030</v>
      </c>
      <c r="X103" s="3">
        <v>2031</v>
      </c>
      <c r="Y103" s="3">
        <v>2032</v>
      </c>
      <c r="Z103" s="3">
        <v>2033</v>
      </c>
      <c r="AA103" s="3">
        <v>2034</v>
      </c>
      <c r="AB103" s="6">
        <v>2035</v>
      </c>
      <c r="AC103" s="3">
        <v>2036</v>
      </c>
      <c r="AD103" s="3">
        <v>2037</v>
      </c>
      <c r="AE103" s="3">
        <v>2038</v>
      </c>
      <c r="AF103" s="3">
        <v>2039</v>
      </c>
      <c r="AG103" s="6">
        <v>2040</v>
      </c>
      <c r="AH103" s="3">
        <v>2041</v>
      </c>
      <c r="AI103" s="3">
        <v>2042</v>
      </c>
      <c r="AJ103" s="3">
        <v>2043</v>
      </c>
      <c r="AK103" s="3">
        <v>2044</v>
      </c>
      <c r="AL103" s="6">
        <v>2045</v>
      </c>
      <c r="AM103" s="3">
        <v>2046</v>
      </c>
      <c r="AN103" s="3">
        <v>2047</v>
      </c>
      <c r="AO103" s="3">
        <v>2048</v>
      </c>
      <c r="AP103" s="3">
        <v>2049</v>
      </c>
      <c r="AQ103" s="6">
        <v>2050</v>
      </c>
      <c r="AR103" s="3">
        <v>2051</v>
      </c>
      <c r="AS103" s="3">
        <v>2052</v>
      </c>
      <c r="AT103" s="3">
        <v>2053</v>
      </c>
      <c r="AU103" s="3">
        <v>2054</v>
      </c>
      <c r="AV103" s="6">
        <v>2055</v>
      </c>
      <c r="AW103" s="3">
        <v>2056</v>
      </c>
      <c r="AX103" s="3">
        <v>2057</v>
      </c>
      <c r="AY103" s="3">
        <v>2058</v>
      </c>
      <c r="AZ103" s="3">
        <v>2059</v>
      </c>
      <c r="BA103" s="6">
        <v>2060</v>
      </c>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row>
    <row r="104" spans="2:80" x14ac:dyDescent="0.2">
      <c r="B104" s="101" t="s">
        <v>2</v>
      </c>
      <c r="C104" s="11">
        <v>20.000903208908529</v>
      </c>
      <c r="D104" s="11">
        <v>19.495686953291433</v>
      </c>
      <c r="E104" s="11">
        <v>19.039265386013785</v>
      </c>
      <c r="F104" s="11">
        <v>18.624895133384541</v>
      </c>
      <c r="G104" s="11">
        <v>18.247020671235148</v>
      </c>
      <c r="H104" s="11">
        <v>17.901023806607299</v>
      </c>
      <c r="I104" s="11">
        <v>17.331851081821839</v>
      </c>
      <c r="J104" s="11">
        <v>16.787217493087915</v>
      </c>
      <c r="K104" s="11">
        <v>16.265569569307182</v>
      </c>
      <c r="L104" s="11">
        <v>15.765482254665379</v>
      </c>
      <c r="M104" s="11">
        <v>15.285645908233393</v>
      </c>
      <c r="N104" s="11">
        <v>14.881039174517385</v>
      </c>
      <c r="O104" s="11">
        <v>14.493620647008225</v>
      </c>
      <c r="P104" s="11">
        <v>14.122317840828273</v>
      </c>
      <c r="Q104" s="11">
        <v>13.766145678934784</v>
      </c>
      <c r="R104" s="11">
        <v>13.424197765225482</v>
      </c>
      <c r="S104" s="11">
        <v>12.821275690146376</v>
      </c>
      <c r="T104" s="11">
        <v>12.241482850684214</v>
      </c>
      <c r="U104" s="11">
        <v>11.683513372652259</v>
      </c>
      <c r="V104" s="11">
        <v>11.14615787194769</v>
      </c>
      <c r="W104" s="11">
        <v>10.628294704213859</v>
      </c>
      <c r="X104" s="11">
        <v>9.9032183485504017</v>
      </c>
      <c r="Y104" s="11">
        <v>9.2025678553083008</v>
      </c>
      <c r="Z104" s="11">
        <v>8.5251294076744397</v>
      </c>
      <c r="AA104" s="11">
        <v>7.8697683040718243</v>
      </c>
      <c r="AB104" s="11">
        <v>7.2354226157037758</v>
      </c>
      <c r="AC104" s="11">
        <v>6.3143922114618132</v>
      </c>
      <c r="AD104" s="11">
        <v>5.4203463948849278</v>
      </c>
      <c r="AE104" s="11">
        <v>4.5521163854186932</v>
      </c>
      <c r="AF104" s="11">
        <v>3.7085999395605214</v>
      </c>
      <c r="AG104" s="11">
        <v>2.8887566824735478</v>
      </c>
      <c r="AH104" s="11">
        <v>2.1459202169075566</v>
      </c>
      <c r="AI104" s="11">
        <v>1.424443893634961</v>
      </c>
      <c r="AJ104" s="11">
        <v>0.72341945983734701</v>
      </c>
      <c r="AK104" s="11">
        <v>4.1989436042426401E-2</v>
      </c>
      <c r="AL104" s="11">
        <v>-0.62065638290337966</v>
      </c>
      <c r="AM104" s="11">
        <v>-0.9995761431475334</v>
      </c>
      <c r="AN104" s="11">
        <v>-1.3682609333899671</v>
      </c>
      <c r="AO104" s="11">
        <v>-1.7271199116442586</v>
      </c>
      <c r="AP104" s="11">
        <v>-2.076540713790656</v>
      </c>
      <c r="AQ104" s="11">
        <v>-2.4168908503165829</v>
      </c>
      <c r="AR104" s="11">
        <v>-2.7866519983578089</v>
      </c>
      <c r="AS104" s="11">
        <v>-3.1472177528112666</v>
      </c>
      <c r="AT104" s="11">
        <v>-3.4989269139927535</v>
      </c>
      <c r="AU104" s="11">
        <v>-3.842101840215304</v>
      </c>
      <c r="AV104" s="11">
        <v>-4.1770494332475225</v>
      </c>
      <c r="AW104" s="11">
        <v>-4.2723829455898024</v>
      </c>
      <c r="AX104" s="11">
        <v>-4.3655036053489544</v>
      </c>
      <c r="AY104" s="11">
        <v>-4.4564875746932247</v>
      </c>
      <c r="AZ104" s="11">
        <v>-4.545407560292527</v>
      </c>
      <c r="BA104" s="11">
        <v>-4.6323330070916802</v>
      </c>
      <c r="BB104" s="10" t="s">
        <v>19</v>
      </c>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row>
    <row r="105" spans="2:80" x14ac:dyDescent="0.2">
      <c r="B105" s="101" t="s">
        <v>182</v>
      </c>
      <c r="C105" s="11">
        <v>12.829247642531154</v>
      </c>
      <c r="D105" s="11">
        <v>12.779551166857289</v>
      </c>
      <c r="E105" s="11">
        <v>12.736703624369179</v>
      </c>
      <c r="F105" s="11">
        <v>12.699380455944345</v>
      </c>
      <c r="G105" s="11">
        <v>12.666577970842482</v>
      </c>
      <c r="H105" s="11">
        <v>12.637521733787567</v>
      </c>
      <c r="I105" s="11">
        <v>11.875814886906076</v>
      </c>
      <c r="J105" s="11">
        <v>11.144905035134228</v>
      </c>
      <c r="K105" s="11">
        <v>10.442961432651186</v>
      </c>
      <c r="L105" s="11">
        <v>9.7682956205679972</v>
      </c>
      <c r="M105" s="11">
        <v>9.1193478670895711</v>
      </c>
      <c r="N105" s="11">
        <v>8.824523205499009</v>
      </c>
      <c r="O105" s="11">
        <v>8.5363174331228855</v>
      </c>
      <c r="P105" s="11">
        <v>8.2545101305583799</v>
      </c>
      <c r="Q105" s="11">
        <v>7.9788905580365705</v>
      </c>
      <c r="R105" s="11">
        <v>7.709257129845799</v>
      </c>
      <c r="S105" s="11">
        <v>7.3884465613848791</v>
      </c>
      <c r="T105" s="11">
        <v>7.0733520171053916</v>
      </c>
      <c r="U105" s="11">
        <v>6.7638220785453402</v>
      </c>
      <c r="V105" s="11">
        <v>6.4597106285664747</v>
      </c>
      <c r="W105" s="11">
        <v>6.1608766213610453</v>
      </c>
      <c r="X105" s="11">
        <v>5.7949602967374236</v>
      </c>
      <c r="Y105" s="11">
        <v>5.433003513157332</v>
      </c>
      <c r="Z105" s="11">
        <v>5.0749423478223976</v>
      </c>
      <c r="AA105" s="11">
        <v>4.7207142465282335</v>
      </c>
      <c r="AB105" s="11">
        <v>4.3702579872322733</v>
      </c>
      <c r="AC105" s="11">
        <v>3.9177540651677702</v>
      </c>
      <c r="AD105" s="11">
        <v>3.4666979218924903</v>
      </c>
      <c r="AE105" s="11">
        <v>3.0170826202877152</v>
      </c>
      <c r="AF105" s="11">
        <v>2.5689012674835472</v>
      </c>
      <c r="AG105" s="11">
        <v>2.1221470145066648</v>
      </c>
      <c r="AH105" s="11">
        <v>1.9031044008946774</v>
      </c>
      <c r="AI105" s="11">
        <v>1.6843015915437278</v>
      </c>
      <c r="AJ105" s="11">
        <v>1.4657381928686035</v>
      </c>
      <c r="AK105" s="11">
        <v>1.247413812144931</v>
      </c>
      <c r="AL105" s="11">
        <v>1.0293280575068224</v>
      </c>
      <c r="AM105" s="11">
        <v>1.0818892343645334</v>
      </c>
      <c r="AN105" s="11">
        <v>1.1343940178941885</v>
      </c>
      <c r="AO105" s="11">
        <v>1.186842498804439</v>
      </c>
      <c r="AP105" s="11">
        <v>1.2392347676095017</v>
      </c>
      <c r="AQ105" s="11">
        <v>1.2915709146296774</v>
      </c>
      <c r="AR105" s="11">
        <v>1.1942628836120828</v>
      </c>
      <c r="AS105" s="11">
        <v>1.0970429257768541</v>
      </c>
      <c r="AT105" s="11">
        <v>0.9999109216059533</v>
      </c>
      <c r="AU105" s="11">
        <v>0.90286675179749587</v>
      </c>
      <c r="AV105" s="11">
        <v>0.80591029726526575</v>
      </c>
      <c r="AW105" s="11">
        <v>0.73540596250516665</v>
      </c>
      <c r="AX105" s="11">
        <v>0.66524881225257881</v>
      </c>
      <c r="AY105" s="11">
        <v>0.59543628834498863</v>
      </c>
      <c r="AZ105" s="11">
        <v>0.52596585769074722</v>
      </c>
      <c r="BA105" s="11">
        <v>0.45683501196269094</v>
      </c>
      <c r="BB105" s="10" t="s">
        <v>19</v>
      </c>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row>
    <row r="106" spans="2:80" x14ac:dyDescent="0.2">
      <c r="B106" s="101" t="s">
        <v>165</v>
      </c>
      <c r="C106" s="11">
        <v>24.045320892530068</v>
      </c>
      <c r="D106" s="11">
        <v>23.498521294770587</v>
      </c>
      <c r="E106" s="11">
        <v>22.997226972253145</v>
      </c>
      <c r="F106" s="11">
        <v>22.53598435124152</v>
      </c>
      <c r="G106" s="11">
        <v>22.110177826367561</v>
      </c>
      <c r="H106" s="11">
        <v>21.715874767071377</v>
      </c>
      <c r="I106" s="11">
        <v>21.128756797193905</v>
      </c>
      <c r="J106" s="11">
        <v>20.565991014732429</v>
      </c>
      <c r="K106" s="11">
        <v>20.026093100715737</v>
      </c>
      <c r="L106" s="11">
        <v>19.507696964064333</v>
      </c>
      <c r="M106" s="11">
        <v>19.009543200160607</v>
      </c>
      <c r="N106" s="11">
        <v>18.761572974582535</v>
      </c>
      <c r="O106" s="11">
        <v>18.523073050904866</v>
      </c>
      <c r="P106" s="11">
        <v>18.29351107034293</v>
      </c>
      <c r="Q106" s="11">
        <v>18.072393841204054</v>
      </c>
      <c r="R106" s="11">
        <v>17.859263801906259</v>
      </c>
      <c r="S106" s="11">
        <v>17.423769435311634</v>
      </c>
      <c r="T106" s="11">
        <v>16.999836639800826</v>
      </c>
      <c r="U106" s="11">
        <v>16.587011039259711</v>
      </c>
      <c r="V106" s="11">
        <v>16.184861759338919</v>
      </c>
      <c r="W106" s="11">
        <v>15.792979927369455</v>
      </c>
      <c r="X106" s="11">
        <v>15.173615030879796</v>
      </c>
      <c r="Y106" s="11">
        <v>14.56435399016155</v>
      </c>
      <c r="Z106" s="11">
        <v>13.964951565422641</v>
      </c>
      <c r="AA106" s="11">
        <v>13.375170389755814</v>
      </c>
      <c r="AB106" s="11">
        <v>12.794780655726871</v>
      </c>
      <c r="AC106" s="11">
        <v>11.641042204262659</v>
      </c>
      <c r="AD106" s="11">
        <v>10.499431535910986</v>
      </c>
      <c r="AE106" s="11">
        <v>9.3697584245646421</v>
      </c>
      <c r="AF106" s="11">
        <v>8.2518366017247828</v>
      </c>
      <c r="AG106" s="11">
        <v>7.1454836541120752</v>
      </c>
      <c r="AH106" s="11">
        <v>6.1145551282262396</v>
      </c>
      <c r="AI106" s="11">
        <v>5.095582546921567</v>
      </c>
      <c r="AJ106" s="11">
        <v>4.0883591249993723</v>
      </c>
      <c r="AK106" s="11">
        <v>3.0926828185577255</v>
      </c>
      <c r="AL106" s="11">
        <v>2.1083561898767726</v>
      </c>
      <c r="AM106" s="11">
        <v>1.4966588155096026</v>
      </c>
      <c r="AN106" s="11">
        <v>0.89099059153911386</v>
      </c>
      <c r="AO106" s="11">
        <v>0.29126281628674405</v>
      </c>
      <c r="AP106" s="11">
        <v>-0.30261148042923636</v>
      </c>
      <c r="AQ106" s="11">
        <v>-0.89071757933804441</v>
      </c>
      <c r="AR106" s="11">
        <v>-1.5574028391144386</v>
      </c>
      <c r="AS106" s="11">
        <v>-2.2181529394916786</v>
      </c>
      <c r="AT106" s="11">
        <v>-2.8730467857958164</v>
      </c>
      <c r="AU106" s="11">
        <v>-3.5221618908418395</v>
      </c>
      <c r="AV106" s="11">
        <v>-4.1655744055173081</v>
      </c>
      <c r="AW106" s="11">
        <v>-4.1971633595419204</v>
      </c>
      <c r="AX106" s="11">
        <v>-4.2285640095887125</v>
      </c>
      <c r="AY106" s="11">
        <v>-4.259778034394043</v>
      </c>
      <c r="AZ106" s="11">
        <v>-4.2908070927987403</v>
      </c>
      <c r="BA106" s="11">
        <v>-4.3216528240419727</v>
      </c>
      <c r="BB106" s="10" t="s">
        <v>19</v>
      </c>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row>
    <row r="107" spans="2:80" x14ac:dyDescent="0.2">
      <c r="B107" s="101" t="s">
        <v>167</v>
      </c>
      <c r="C107" s="11">
        <v>18.341449072617188</v>
      </c>
      <c r="D107" s="11">
        <v>18.676067183601855</v>
      </c>
      <c r="E107" s="11">
        <v>18.988050055455869</v>
      </c>
      <c r="F107" s="11">
        <v>19.279619288921459</v>
      </c>
      <c r="G107" s="11">
        <v>19.552714967638011</v>
      </c>
      <c r="H107" s="11">
        <v>19.809038880529787</v>
      </c>
      <c r="I107" s="11">
        <v>18.980926175196728</v>
      </c>
      <c r="J107" s="11">
        <v>18.176226064628008</v>
      </c>
      <c r="K107" s="11">
        <v>17.393959499304934</v>
      </c>
      <c r="L107" s="11">
        <v>16.633201267427165</v>
      </c>
      <c r="M107" s="11">
        <v>15.893076344441923</v>
      </c>
      <c r="N107" s="11">
        <v>15.081530149212151</v>
      </c>
      <c r="O107" s="11">
        <v>14.304703714370907</v>
      </c>
      <c r="P107" s="11">
        <v>13.560415619494623</v>
      </c>
      <c r="Q107" s="11">
        <v>12.846663438467383</v>
      </c>
      <c r="R107" s="11">
        <v>12.161605749515804</v>
      </c>
      <c r="S107" s="11">
        <v>11.269954610742364</v>
      </c>
      <c r="T107" s="11">
        <v>10.418526262421679</v>
      </c>
      <c r="U107" s="11">
        <v>9.6046590363921265</v>
      </c>
      <c r="V107" s="11">
        <v>8.8259210374632158</v>
      </c>
      <c r="W107" s="11">
        <v>8.0800858727944096</v>
      </c>
      <c r="X107" s="11">
        <v>7.2346391212110115</v>
      </c>
      <c r="Y107" s="11">
        <v>6.4271142174364737</v>
      </c>
      <c r="Z107" s="11">
        <v>5.6550156956471733</v>
      </c>
      <c r="AA107" s="11">
        <v>4.9160623441264182</v>
      </c>
      <c r="AB107" s="11">
        <v>4.2081646943318312</v>
      </c>
      <c r="AC107" s="11">
        <v>3.5352138505397459</v>
      </c>
      <c r="AD107" s="11">
        <v>2.8903680606258013</v>
      </c>
      <c r="AE107" s="11">
        <v>2.2719026735464682</v>
      </c>
      <c r="AF107" s="11">
        <v>1.6782313194157112</v>
      </c>
      <c r="AG107" s="11">
        <v>1.1078923227562982</v>
      </c>
      <c r="AH107" s="11">
        <v>0.6918481758441738</v>
      </c>
      <c r="AI107" s="11">
        <v>0.2918897500261679</v>
      </c>
      <c r="AJ107" s="11">
        <v>-9.2898157540178702E-2</v>
      </c>
      <c r="AK107" s="11">
        <v>-0.46336261417252916</v>
      </c>
      <c r="AL107" s="11">
        <v>-0.82028877654422006</v>
      </c>
      <c r="AM107" s="11">
        <v>-1.0832453776128206</v>
      </c>
      <c r="AN107" s="11">
        <v>-1.33676771125307</v>
      </c>
      <c r="AO107" s="11">
        <v>-1.5813545492364045</v>
      </c>
      <c r="AP107" s="11">
        <v>-1.8174701133781372</v>
      </c>
      <c r="AQ107" s="11">
        <v>-2.045547016209714</v>
      </c>
      <c r="AR107" s="11">
        <v>-2.3991627494877696</v>
      </c>
      <c r="AS107" s="11">
        <v>-2.7414207156343924</v>
      </c>
      <c r="AT107" s="11">
        <v>-3.072859465193472</v>
      </c>
      <c r="AU107" s="11">
        <v>-3.3939840299374846</v>
      </c>
      <c r="AV107" s="11">
        <v>-3.7052684906265085</v>
      </c>
      <c r="AW107" s="11">
        <v>-3.8127655147045174</v>
      </c>
      <c r="AX107" s="11">
        <v>-3.9168422216004615</v>
      </c>
      <c r="AY107" s="11">
        <v>-4.017659295383007</v>
      </c>
      <c r="AZ107" s="11">
        <v>-4.1153675102099863</v>
      </c>
      <c r="BA107" s="11">
        <v>-4.2101084826987849</v>
      </c>
      <c r="BB107" s="10" t="s">
        <v>19</v>
      </c>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row>
    <row r="108" spans="2:80" x14ac:dyDescent="0.2">
      <c r="B108" s="101" t="s">
        <v>166</v>
      </c>
      <c r="C108" s="11">
        <v>199.05413619592372</v>
      </c>
      <c r="D108" s="11">
        <v>197.74353345603748</v>
      </c>
      <c r="E108" s="11">
        <v>196.48004075853177</v>
      </c>
      <c r="F108" s="11">
        <v>195.26116287065614</v>
      </c>
      <c r="G108" s="11">
        <v>194.08457771928894</v>
      </c>
      <c r="H108" s="11">
        <v>192.94812162631754</v>
      </c>
      <c r="I108" s="11">
        <v>192.59413120917995</v>
      </c>
      <c r="J108" s="11">
        <v>192.22731636808567</v>
      </c>
      <c r="K108" s="11">
        <v>191.84696733823611</v>
      </c>
      <c r="L108" s="11">
        <v>191.45232099473924</v>
      </c>
      <c r="M108" s="11">
        <v>191.04255574204345</v>
      </c>
      <c r="N108" s="11">
        <v>192.44242580787986</v>
      </c>
      <c r="O108" s="11">
        <v>193.84700195555209</v>
      </c>
      <c r="P108" s="11">
        <v>195.25630795636937</v>
      </c>
      <c r="Q108" s="11">
        <v>196.67036774200884</v>
      </c>
      <c r="R108" s="11">
        <v>198.08920540587005</v>
      </c>
      <c r="S108" s="11">
        <v>197.08142661334432</v>
      </c>
      <c r="T108" s="11">
        <v>196.06726940126248</v>
      </c>
      <c r="U108" s="11">
        <v>195.04667302207636</v>
      </c>
      <c r="V108" s="11">
        <v>194.0195759543748</v>
      </c>
      <c r="W108" s="11">
        <v>192.98591589052148</v>
      </c>
      <c r="X108" s="11">
        <v>189.64157983490696</v>
      </c>
      <c r="Y108" s="11">
        <v>186.24802477266741</v>
      </c>
      <c r="Z108" s="11">
        <v>182.80415610584049</v>
      </c>
      <c r="AA108" s="11">
        <v>179.30884653654837</v>
      </c>
      <c r="AB108" s="11">
        <v>175.76093483671698</v>
      </c>
      <c r="AC108" s="11">
        <v>167.87721483053039</v>
      </c>
      <c r="AD108" s="11">
        <v>159.79845718538024</v>
      </c>
      <c r="AE108" s="11">
        <v>151.51733361375508</v>
      </c>
      <c r="AF108" s="11">
        <v>143.02614403702862</v>
      </c>
      <c r="AG108" s="11">
        <v>134.31679270464758</v>
      </c>
      <c r="AH108" s="11">
        <v>127.35303311901852</v>
      </c>
      <c r="AI108" s="11">
        <v>120.12455135364354</v>
      </c>
      <c r="AJ108" s="11">
        <v>112.61596011282633</v>
      </c>
      <c r="AK108" s="11">
        <v>104.81065599825443</v>
      </c>
      <c r="AL108" s="11">
        <v>96.690696947249705</v>
      </c>
      <c r="AM108" s="11">
        <v>89.665202890121108</v>
      </c>
      <c r="AN108" s="11">
        <v>82.237507991451437</v>
      </c>
      <c r="AO108" s="11">
        <v>74.372056231419052</v>
      </c>
      <c r="AP108" s="11">
        <v>66.02897329698223</v>
      </c>
      <c r="AQ108" s="11">
        <v>57.163390480575821</v>
      </c>
      <c r="AR108" s="11">
        <v>45.110366422036272</v>
      </c>
      <c r="AS108" s="11">
        <v>32.174028324919831</v>
      </c>
      <c r="AT108" s="11">
        <v>18.253581379092257</v>
      </c>
      <c r="AU108" s="11">
        <v>3.2322888259446487</v>
      </c>
      <c r="AV108" s="11">
        <v>-13.025809565963431</v>
      </c>
      <c r="AW108" s="11">
        <v>-22.61748575963561</v>
      </c>
      <c r="AX108" s="11">
        <v>-33.115751263775529</v>
      </c>
      <c r="AY108" s="11">
        <v>-44.655515773452898</v>
      </c>
      <c r="AZ108" s="11">
        <v>-57.399853972544925</v>
      </c>
      <c r="BA108" s="11">
        <v>-71.547760247738779</v>
      </c>
      <c r="BB108" s="10" t="s">
        <v>19</v>
      </c>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row>
    <row r="109" spans="2:80" x14ac:dyDescent="0.2">
      <c r="B109" s="101" t="s">
        <v>168</v>
      </c>
      <c r="C109" s="11">
        <v>9.2377445439136139</v>
      </c>
      <c r="D109" s="11">
        <v>9.1241059098616919</v>
      </c>
      <c r="E109" s="11">
        <v>9.020784519730114</v>
      </c>
      <c r="F109" s="11">
        <v>8.9264363333572803</v>
      </c>
      <c r="G109" s="11">
        <v>8.8399410480987353</v>
      </c>
      <c r="H109" s="11">
        <v>8.7603574029459761</v>
      </c>
      <c r="I109" s="11">
        <v>8.3949406080752063</v>
      </c>
      <c r="J109" s="11">
        <v>8.0420952589669916</v>
      </c>
      <c r="K109" s="11">
        <v>7.701183582505684</v>
      </c>
      <c r="L109" s="11">
        <v>7.3716102287479472</v>
      </c>
      <c r="M109" s="11">
        <v>7.052818801258792</v>
      </c>
      <c r="N109" s="11">
        <v>6.7859565417302319</v>
      </c>
      <c r="O109" s="11">
        <v>6.5306244268101796</v>
      </c>
      <c r="P109" s="11">
        <v>6.2860909951638533</v>
      </c>
      <c r="Q109" s="11">
        <v>6.0516853751481507</v>
      </c>
      <c r="R109" s="11">
        <v>5.8267911385022444</v>
      </c>
      <c r="S109" s="11">
        <v>5.4998118899952235</v>
      </c>
      <c r="T109" s="11">
        <v>5.1882781245301999</v>
      </c>
      <c r="U109" s="11">
        <v>4.8911206987191349</v>
      </c>
      <c r="V109" s="11">
        <v>4.6073669191938</v>
      </c>
      <c r="W109" s="11">
        <v>4.3361299062506546</v>
      </c>
      <c r="X109" s="11">
        <v>4.0036564729559201</v>
      </c>
      <c r="Y109" s="11">
        <v>3.6865874233407943</v>
      </c>
      <c r="Z109" s="11">
        <v>3.3838764080241805</v>
      </c>
      <c r="AA109" s="11">
        <v>3.0945697444553657</v>
      </c>
      <c r="AB109" s="11">
        <v>2.8177963806677835</v>
      </c>
      <c r="AC109" s="11">
        <v>2.5067482759950166</v>
      </c>
      <c r="AD109" s="11">
        <v>2.2089112594173894</v>
      </c>
      <c r="AE109" s="11">
        <v>1.9234611651365849</v>
      </c>
      <c r="AF109" s="11">
        <v>1.6496409842905218</v>
      </c>
      <c r="AG109" s="11">
        <v>1.3867541611851535</v>
      </c>
      <c r="AH109" s="11">
        <v>1.1798486785025541</v>
      </c>
      <c r="AI109" s="11">
        <v>0.98085202596309096</v>
      </c>
      <c r="AJ109" s="11">
        <v>0.78931924275463827</v>
      </c>
      <c r="AK109" s="11">
        <v>0.60483813235751571</v>
      </c>
      <c r="AL109" s="11">
        <v>0.42702630134402136</v>
      </c>
      <c r="AM109" s="11">
        <v>0.28236219231640597</v>
      </c>
      <c r="AN109" s="11">
        <v>0.14278783577958837</v>
      </c>
      <c r="AO109" s="11">
        <v>8.039264350366537E-3</v>
      </c>
      <c r="AP109" s="11">
        <v>-0.12212954619583451</v>
      </c>
      <c r="AQ109" s="11">
        <v>-0.24794817605485756</v>
      </c>
      <c r="AR109" s="11">
        <v>-0.41941848158935729</v>
      </c>
      <c r="AS109" s="11">
        <v>-0.5855496230264392</v>
      </c>
      <c r="AT109" s="11">
        <v>-0.74658715013923227</v>
      </c>
      <c r="AU109" s="11">
        <v>-0.90276178283303554</v>
      </c>
      <c r="AV109" s="11">
        <v>-1.0542905140469832</v>
      </c>
      <c r="AW109" s="11">
        <v>-1.1181340796630446</v>
      </c>
      <c r="AX109" s="11">
        <v>-1.1800679780789287</v>
      </c>
      <c r="AY109" s="11">
        <v>-1.2401766287137772</v>
      </c>
      <c r="AZ109" s="11">
        <v>-1.2985395474104702</v>
      </c>
      <c r="BA109" s="11">
        <v>-1.3552316973751468</v>
      </c>
      <c r="BB109" s="10" t="s">
        <v>19</v>
      </c>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row>
    <row r="110" spans="2:80" x14ac:dyDescent="0.2">
      <c r="B110" s="101" t="s">
        <v>169</v>
      </c>
      <c r="C110" s="11">
        <v>19.818127755186524</v>
      </c>
      <c r="D110" s="11">
        <v>19.230067714878544</v>
      </c>
      <c r="E110" s="11">
        <v>18.682804779423908</v>
      </c>
      <c r="F110" s="11">
        <v>18.172235784406123</v>
      </c>
      <c r="G110" s="11">
        <v>17.69478995095989</v>
      </c>
      <c r="H110" s="11">
        <v>17.24734525235354</v>
      </c>
      <c r="I110" s="11">
        <v>16.766854015611816</v>
      </c>
      <c r="J110" s="11">
        <v>16.311846418944359</v>
      </c>
      <c r="K110" s="11">
        <v>15.880347485504494</v>
      </c>
      <c r="L110" s="11">
        <v>15.47058117954489</v>
      </c>
      <c r="M110" s="11">
        <v>15.08094597235073</v>
      </c>
      <c r="N110" s="11">
        <v>14.428457411220409</v>
      </c>
      <c r="O110" s="11">
        <v>13.819944657289195</v>
      </c>
      <c r="P110" s="11">
        <v>13.25110688231487</v>
      </c>
      <c r="Q110" s="11">
        <v>12.718186379576375</v>
      </c>
      <c r="R110" s="11">
        <v>12.217885453943477</v>
      </c>
      <c r="S110" s="11">
        <v>11.582500859878635</v>
      </c>
      <c r="T110" s="11">
        <v>10.992420795435224</v>
      </c>
      <c r="U110" s="11">
        <v>10.442966570407966</v>
      </c>
      <c r="V110" s="11">
        <v>9.9300822924346015</v>
      </c>
      <c r="W110" s="11">
        <v>9.4502345758577739</v>
      </c>
      <c r="X110" s="11">
        <v>8.9350604172724815</v>
      </c>
      <c r="Y110" s="11">
        <v>8.4568122084630541</v>
      </c>
      <c r="Z110" s="11">
        <v>8.0116572164317628</v>
      </c>
      <c r="AA110" s="11">
        <v>7.5962753952969875</v>
      </c>
      <c r="AB110" s="11">
        <v>7.2077764355238072</v>
      </c>
      <c r="AC110" s="11">
        <v>6.5493148312979903</v>
      </c>
      <c r="AD110" s="11">
        <v>5.9324989473722241</v>
      </c>
      <c r="AE110" s="11">
        <v>5.3534989463729161</v>
      </c>
      <c r="AF110" s="11">
        <v>4.808940624885639</v>
      </c>
      <c r="AG110" s="11">
        <v>4.2958396123386429</v>
      </c>
      <c r="AH110" s="11">
        <v>3.9748490312300895</v>
      </c>
      <c r="AI110" s="11">
        <v>3.6727133029662942</v>
      </c>
      <c r="AJ110" s="11">
        <v>3.3878185378634527</v>
      </c>
      <c r="AK110" s="11">
        <v>3.1187299256041805</v>
      </c>
      <c r="AL110" s="11">
        <v>2.8641675670621036</v>
      </c>
      <c r="AM110" s="11">
        <v>2.6712907140051771</v>
      </c>
      <c r="AN110" s="11">
        <v>2.4895691481143958</v>
      </c>
      <c r="AO110" s="11">
        <v>2.3180622978693406</v>
      </c>
      <c r="AP110" s="11">
        <v>2.15593244167705</v>
      </c>
      <c r="AQ110" s="11">
        <v>2.0024310238676906</v>
      </c>
      <c r="AR110" s="11">
        <v>1.8248808080979224</v>
      </c>
      <c r="AS110" s="11">
        <v>1.6566937632288512</v>
      </c>
      <c r="AT110" s="11">
        <v>1.4971482618985512</v>
      </c>
      <c r="AU110" s="11">
        <v>1.3455949746199216</v>
      </c>
      <c r="AV110" s="11">
        <v>1.2014480368589475</v>
      </c>
      <c r="AW110" s="11">
        <v>1.0639882052034915</v>
      </c>
      <c r="AX110" s="11">
        <v>0.93251859470721721</v>
      </c>
      <c r="AY110" s="11">
        <v>0.80665599262269605</v>
      </c>
      <c r="AZ110" s="11">
        <v>0.68604919077918713</v>
      </c>
      <c r="BA110" s="11">
        <v>0.57037571277922094</v>
      </c>
      <c r="BB110" s="10" t="s">
        <v>19</v>
      </c>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row>
    <row r="111" spans="2:80" x14ac:dyDescent="0.2">
      <c r="B111" s="101" t="s">
        <v>170</v>
      </c>
      <c r="C111" s="11">
        <v>34.358634920540695</v>
      </c>
      <c r="D111" s="11">
        <v>32.653015378224886</v>
      </c>
      <c r="E111" s="11">
        <v>31.115925716517058</v>
      </c>
      <c r="F111" s="11">
        <v>29.723563571968466</v>
      </c>
      <c r="G111" s="11">
        <v>28.456407359835755</v>
      </c>
      <c r="H111" s="11">
        <v>27.29829532607112</v>
      </c>
      <c r="I111" s="11">
        <v>27.026393156971199</v>
      </c>
      <c r="J111" s="11">
        <v>26.771749383301735</v>
      </c>
      <c r="K111" s="11">
        <v>26.532771390574275</v>
      </c>
      <c r="L111" s="11">
        <v>26.308056673008025</v>
      </c>
      <c r="M111" s="11">
        <v>26.096365289170748</v>
      </c>
      <c r="N111" s="11">
        <v>24.574655329108253</v>
      </c>
      <c r="O111" s="11">
        <v>23.178738669932557</v>
      </c>
      <c r="P111" s="11">
        <v>21.893636242602426</v>
      </c>
      <c r="Q111" s="11">
        <v>20.706656398785935</v>
      </c>
      <c r="R111" s="11">
        <v>19.606974333486168</v>
      </c>
      <c r="S111" s="11">
        <v>18.392960598115764</v>
      </c>
      <c r="T111" s="11">
        <v>17.287376884246356</v>
      </c>
      <c r="U111" s="11">
        <v>16.276317495135139</v>
      </c>
      <c r="V111" s="11">
        <v>15.348157050293173</v>
      </c>
      <c r="W111" s="11">
        <v>14.49310147308986</v>
      </c>
      <c r="X111" s="11">
        <v>13.52837647690386</v>
      </c>
      <c r="Y111" s="11">
        <v>12.649255939167402</v>
      </c>
      <c r="Z111" s="11">
        <v>11.844829797420214</v>
      </c>
      <c r="AA111" s="11">
        <v>11.105966383560933</v>
      </c>
      <c r="AB111" s="11">
        <v>10.424964253337896</v>
      </c>
      <c r="AC111" s="11">
        <v>9.4310972884375435</v>
      </c>
      <c r="AD111" s="11">
        <v>8.5228208429404937</v>
      </c>
      <c r="AE111" s="11">
        <v>7.6895349304125835</v>
      </c>
      <c r="AF111" s="11">
        <v>6.922320516856888</v>
      </c>
      <c r="AG111" s="11">
        <v>6.2136190189529472</v>
      </c>
      <c r="AH111" s="11">
        <v>5.7102431526346455</v>
      </c>
      <c r="AI111" s="11">
        <v>5.2510970740397642</v>
      </c>
      <c r="AJ111" s="11">
        <v>4.8305966484785063</v>
      </c>
      <c r="AK111" s="11">
        <v>4.4440597958331081</v>
      </c>
      <c r="AL111" s="11">
        <v>4.0875314148896678</v>
      </c>
      <c r="AM111" s="11">
        <v>3.7945680874689569</v>
      </c>
      <c r="AN111" s="11">
        <v>3.5244118492757779</v>
      </c>
      <c r="AO111" s="11">
        <v>3.2744991986605143</v>
      </c>
      <c r="AP111" s="11">
        <v>3.0426369410560086</v>
      </c>
      <c r="AQ111" s="11">
        <v>2.8269376542982205</v>
      </c>
      <c r="AR111" s="11">
        <v>2.5946101399076711</v>
      </c>
      <c r="AS111" s="11">
        <v>2.3811769290977822</v>
      </c>
      <c r="AT111" s="11">
        <v>2.1844231824473859</v>
      </c>
      <c r="AU111" s="11">
        <v>2.0024672151055971</v>
      </c>
      <c r="AV111" s="11">
        <v>1.8337001259352814</v>
      </c>
      <c r="AW111" s="11">
        <v>1.7204301040464809</v>
      </c>
      <c r="AX111" s="11">
        <v>1.6144512545453795</v>
      </c>
      <c r="AY111" s="11">
        <v>1.5150815316941295</v>
      </c>
      <c r="AZ111" s="11">
        <v>1.4217213858363247</v>
      </c>
      <c r="BA111" s="11">
        <v>1.3338416567078828</v>
      </c>
      <c r="BB111" s="10" t="s">
        <v>19</v>
      </c>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row>
    <row r="112" spans="2:80" x14ac:dyDescent="0.2">
      <c r="B112" s="101" t="s">
        <v>171</v>
      </c>
      <c r="C112" s="11">
        <v>16.975947805701225</v>
      </c>
      <c r="D112" s="11">
        <v>16.553096083995076</v>
      </c>
      <c r="E112" s="11">
        <v>16.157051701421491</v>
      </c>
      <c r="F112" s="11">
        <v>15.785343742620757</v>
      </c>
      <c r="G112" s="11">
        <v>15.43579590951895</v>
      </c>
      <c r="H112" s="11">
        <v>15.106483881826962</v>
      </c>
      <c r="I112" s="11">
        <v>14.566372792600905</v>
      </c>
      <c r="J112" s="11">
        <v>14.053690491825272</v>
      </c>
      <c r="K112" s="11">
        <v>13.566399320187678</v>
      </c>
      <c r="L112" s="11">
        <v>13.102658575553251</v>
      </c>
      <c r="M112" s="11">
        <v>12.660801277450409</v>
      </c>
      <c r="N112" s="11">
        <v>12.175823819090084</v>
      </c>
      <c r="O112" s="11">
        <v>11.721872351575149</v>
      </c>
      <c r="P112" s="11">
        <v>11.296061868506387</v>
      </c>
      <c r="Q112" s="11">
        <v>10.895854299855927</v>
      </c>
      <c r="R112" s="11">
        <v>10.519007883031884</v>
      </c>
      <c r="S112" s="11">
        <v>9.9968630881396088</v>
      </c>
      <c r="T112" s="11">
        <v>9.5097332578329432</v>
      </c>
      <c r="U112" s="11">
        <v>9.0542105094897813</v>
      </c>
      <c r="V112" s="11">
        <v>8.6273153004292897</v>
      </c>
      <c r="W112" s="11">
        <v>8.2264311801181034</v>
      </c>
      <c r="X112" s="11">
        <v>7.8068754260579096</v>
      </c>
      <c r="Y112" s="11">
        <v>7.4156146290231915</v>
      </c>
      <c r="Z112" s="11">
        <v>7.0498798290445093</v>
      </c>
      <c r="AA112" s="11">
        <v>6.7072519488316393</v>
      </c>
      <c r="AB112" s="11">
        <v>6.3856082225930084</v>
      </c>
      <c r="AC112" s="11">
        <v>5.8008729686601059</v>
      </c>
      <c r="AD112" s="11">
        <v>5.2495946160670437</v>
      </c>
      <c r="AE112" s="11">
        <v>4.7289815643264665</v>
      </c>
      <c r="AF112" s="11">
        <v>4.2365443788756076</v>
      </c>
      <c r="AG112" s="11">
        <v>3.7700559847783359</v>
      </c>
      <c r="AH112" s="11">
        <v>3.4890515029017171</v>
      </c>
      <c r="AI112" s="11">
        <v>3.2222170484269883</v>
      </c>
      <c r="AJ112" s="11">
        <v>2.9685071666621909</v>
      </c>
      <c r="AK112" s="11">
        <v>2.7269767782605725</v>
      </c>
      <c r="AL112" s="11">
        <v>2.4967694151463085</v>
      </c>
      <c r="AM112" s="11">
        <v>2.3290320930358677</v>
      </c>
      <c r="AN112" s="11">
        <v>2.1699592808949415</v>
      </c>
      <c r="AO112" s="11">
        <v>2.0188965306716486</v>
      </c>
      <c r="AP112" s="11">
        <v>1.8752536847084129</v>
      </c>
      <c r="AQ112" s="11">
        <v>1.7384971704334109</v>
      </c>
      <c r="AR112" s="11">
        <v>1.5732564109939904</v>
      </c>
      <c r="AS112" s="11">
        <v>1.4151545977168956</v>
      </c>
      <c r="AT112" s="11">
        <v>1.2637388739990549</v>
      </c>
      <c r="AU112" s="11">
        <v>1.1185938925126031</v>
      </c>
      <c r="AV112" s="11">
        <v>0.97933801045997615</v>
      </c>
      <c r="AW112" s="11">
        <v>0.82982653749862123</v>
      </c>
      <c r="AX112" s="11">
        <v>0.68570536240479141</v>
      </c>
      <c r="AY112" s="11">
        <v>0.54668814437341284</v>
      </c>
      <c r="AZ112" s="11">
        <v>0.41250847087037673</v>
      </c>
      <c r="BA112" s="11">
        <v>0.28291815361261452</v>
      </c>
      <c r="BB112" s="10" t="s">
        <v>19</v>
      </c>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row>
    <row r="113" spans="2:80" x14ac:dyDescent="0.2">
      <c r="B113" s="101" t="s">
        <v>107</v>
      </c>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row>
    <row r="114" spans="2:80" x14ac:dyDescent="0.2">
      <c r="B114" s="101" t="s">
        <v>8</v>
      </c>
      <c r="C114" s="11">
        <v>5.1723343020338826</v>
      </c>
      <c r="D114" s="11">
        <v>5.0906217390096797</v>
      </c>
      <c r="E114" s="11">
        <v>5.0154328823314973</v>
      </c>
      <c r="F114" s="11">
        <v>4.9460164692123652</v>
      </c>
      <c r="G114" s="11">
        <v>4.88173232537451</v>
      </c>
      <c r="H114" s="11">
        <v>4.8220315638558446</v>
      </c>
      <c r="I114" s="11">
        <v>4.7233617058757309</v>
      </c>
      <c r="J114" s="11">
        <v>4.6318634618432721</v>
      </c>
      <c r="K114" s="11">
        <v>4.54678236920663</v>
      </c>
      <c r="L114" s="11">
        <v>4.4674662072679565</v>
      </c>
      <c r="M114" s="11">
        <v>4.3933482454393813</v>
      </c>
      <c r="N114" s="11">
        <v>4.2607215975994883</v>
      </c>
      <c r="O114" s="11">
        <v>4.1367258563920268</v>
      </c>
      <c r="P114" s="11">
        <v>4.0205450651243249</v>
      </c>
      <c r="Q114" s="11">
        <v>3.9114629778208765</v>
      </c>
      <c r="R114" s="11">
        <v>3.8088482798026329</v>
      </c>
      <c r="S114" s="11">
        <v>3.6442677795446188</v>
      </c>
      <c r="T114" s="11">
        <v>3.4901695370701633</v>
      </c>
      <c r="U114" s="11">
        <v>3.3455830246956828</v>
      </c>
      <c r="V114" s="11">
        <v>3.2096539395872297</v>
      </c>
      <c r="W114" s="11">
        <v>3.0816273114619523</v>
      </c>
      <c r="X114" s="11">
        <v>2.8809762274408932</v>
      </c>
      <c r="Y114" s="11">
        <v>2.6923605133786559</v>
      </c>
      <c r="Z114" s="11">
        <v>2.5147288483808472</v>
      </c>
      <c r="AA114" s="11">
        <v>2.3471488945505588</v>
      </c>
      <c r="AB114" s="11">
        <v>2.188790927792061</v>
      </c>
      <c r="AC114" s="11">
        <v>1.9620942467656115</v>
      </c>
      <c r="AD114" s="11">
        <v>1.7483171158678952</v>
      </c>
      <c r="AE114" s="11">
        <v>1.5463856975243873</v>
      </c>
      <c r="AF114" s="11">
        <v>1.3553419518117265</v>
      </c>
      <c r="AG114" s="11">
        <v>1.1743284373574254</v>
      </c>
      <c r="AH114" s="11">
        <v>0.99664225694557818</v>
      </c>
      <c r="AI114" s="11">
        <v>0.82890538951046877</v>
      </c>
      <c r="AJ114" s="11">
        <v>0.67030494463955181</v>
      </c>
      <c r="AK114" s="11">
        <v>0.52011423843680238</v>
      </c>
      <c r="AL114" s="11">
        <v>0.37768166098875761</v>
      </c>
      <c r="AM114" s="11">
        <v>0.25746009121817615</v>
      </c>
      <c r="AN114" s="11">
        <v>0.1443843724138193</v>
      </c>
      <c r="AO114" s="11">
        <v>3.7835779333581065E-2</v>
      </c>
      <c r="AP114" s="11">
        <v>-6.2734987059048966E-2</v>
      </c>
      <c r="AQ114" s="11">
        <v>-0.15781727164337742</v>
      </c>
      <c r="AR114" s="11">
        <v>-0.26608261912313386</v>
      </c>
      <c r="AS114" s="11">
        <v>-0.37055304533450084</v>
      </c>
      <c r="AT114" s="11">
        <v>-0.47142464314693017</v>
      </c>
      <c r="AU114" s="11">
        <v>-0.56888022405889005</v>
      </c>
      <c r="AV114" s="11">
        <v>-0.66309042390955153</v>
      </c>
      <c r="AW114" s="11">
        <v>-0.69394518193154364</v>
      </c>
      <c r="AX114" s="11">
        <v>-0.72381765336029724</v>
      </c>
      <c r="AY114" s="11">
        <v>-0.75275401107220086</v>
      </c>
      <c r="AZ114" s="11">
        <v>-0.78079757874718148</v>
      </c>
      <c r="BA114" s="11">
        <v>-0.80798904729959975</v>
      </c>
      <c r="BB114" s="10" t="s">
        <v>20</v>
      </c>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row>
    <row r="115" spans="2:80" x14ac:dyDescent="0.2">
      <c r="B115" s="101" t="s">
        <v>181</v>
      </c>
      <c r="C115" s="11">
        <v>82.739019092814189</v>
      </c>
      <c r="D115" s="11">
        <v>83.650581582818205</v>
      </c>
      <c r="E115" s="11">
        <v>84.460038566957252</v>
      </c>
      <c r="F115" s="11">
        <v>85.183635686058906</v>
      </c>
      <c r="G115" s="11">
        <v>85.834345774900754</v>
      </c>
      <c r="H115" s="11">
        <v>86.4226535081321</v>
      </c>
      <c r="I115" s="11">
        <v>84.323436664896931</v>
      </c>
      <c r="J115" s="11">
        <v>82.136752453193623</v>
      </c>
      <c r="K115" s="11">
        <v>79.857017849502952</v>
      </c>
      <c r="L115" s="11">
        <v>77.478164349999645</v>
      </c>
      <c r="M115" s="11">
        <v>74.993584028296183</v>
      </c>
      <c r="N115" s="11">
        <v>73.447188511992394</v>
      </c>
      <c r="O115" s="11">
        <v>71.836359849175921</v>
      </c>
      <c r="P115" s="11">
        <v>70.156985285814088</v>
      </c>
      <c r="Q115" s="11">
        <v>68.404594437088676</v>
      </c>
      <c r="R115" s="11">
        <v>66.57431955064213</v>
      </c>
      <c r="S115" s="11">
        <v>64.382499344623483</v>
      </c>
      <c r="T115" s="11">
        <v>62.099353296687362</v>
      </c>
      <c r="U115" s="11">
        <v>59.71905209777524</v>
      </c>
      <c r="V115" s="11">
        <v>57.235259542388697</v>
      </c>
      <c r="W115" s="11">
        <v>54.641076206762733</v>
      </c>
      <c r="X115" s="11">
        <v>53.061145928082325</v>
      </c>
      <c r="Y115" s="11">
        <v>51.415385221123572</v>
      </c>
      <c r="Z115" s="11">
        <v>49.699592143655934</v>
      </c>
      <c r="AA115" s="11">
        <v>47.909199367167965</v>
      </c>
      <c r="AB115" s="11">
        <v>46.039233578391638</v>
      </c>
      <c r="AC115" s="11">
        <v>42.583934294331051</v>
      </c>
      <c r="AD115" s="11">
        <v>38.984664206767938</v>
      </c>
      <c r="AE115" s="11">
        <v>35.232233689946824</v>
      </c>
      <c r="AF115" s="11">
        <v>31.316654020220444</v>
      </c>
      <c r="AG115" s="11">
        <v>27.22704858739511</v>
      </c>
      <c r="AH115" s="11">
        <v>24.144824261566054</v>
      </c>
      <c r="AI115" s="11">
        <v>20.934173922160781</v>
      </c>
      <c r="AJ115" s="11">
        <v>17.586900164057422</v>
      </c>
      <c r="AK115" s="11">
        <v>14.094092764297391</v>
      </c>
      <c r="AL115" s="11">
        <v>10.44604948010358</v>
      </c>
      <c r="AM115" s="11">
        <v>8.6109261380898232</v>
      </c>
      <c r="AN115" s="11">
        <v>6.6993393234921603</v>
      </c>
      <c r="AO115" s="11">
        <v>4.7064083891243804</v>
      </c>
      <c r="AP115" s="11">
        <v>2.6268282836971348</v>
      </c>
      <c r="AQ115" s="11">
        <v>0.4548223958064545</v>
      </c>
      <c r="AR115" s="11">
        <v>0.36744981206907845</v>
      </c>
      <c r="AS115" s="11">
        <v>0.27643670400931158</v>
      </c>
      <c r="AT115" s="11">
        <v>0.18155069773423554</v>
      </c>
      <c r="AU115" s="11">
        <v>8.2539212925460625E-2</v>
      </c>
      <c r="AV115" s="11">
        <v>-2.0872782319259844E-2</v>
      </c>
      <c r="AW115" s="11">
        <v>-2.4062164185315298E-2</v>
      </c>
      <c r="AX115" s="11">
        <v>-2.7384436962456401E-2</v>
      </c>
      <c r="AY115" s="11">
        <v>-3.0848083049263085E-2</v>
      </c>
      <c r="AZ115" s="11">
        <v>-3.4462322444191798E-2</v>
      </c>
      <c r="BA115" s="11">
        <v>-3.823719470111734E-2</v>
      </c>
      <c r="BB115" s="10" t="s">
        <v>20</v>
      </c>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row>
    <row r="116" spans="2:80" x14ac:dyDescent="0.2">
      <c r="B116" s="101" t="s">
        <v>172</v>
      </c>
      <c r="C116" s="11">
        <v>74.911409079055062</v>
      </c>
      <c r="D116" s="11">
        <v>73.596660748094777</v>
      </c>
      <c r="E116" s="11">
        <v>72.34548261529963</v>
      </c>
      <c r="F116" s="11">
        <v>71.153372931951807</v>
      </c>
      <c r="G116" s="11">
        <v>70.016245204663974</v>
      </c>
      <c r="H116" s="11">
        <v>68.930381394095917</v>
      </c>
      <c r="I116" s="11">
        <v>66.069548869163157</v>
      </c>
      <c r="J116" s="11">
        <v>63.312033677587529</v>
      </c>
      <c r="K116" s="11">
        <v>60.652338220919937</v>
      </c>
      <c r="L116" s="11">
        <v>58.085348145310093</v>
      </c>
      <c r="M116" s="11">
        <v>55.606299517962142</v>
      </c>
      <c r="N116" s="11">
        <v>53.449467330180269</v>
      </c>
      <c r="O116" s="11">
        <v>51.401027406355212</v>
      </c>
      <c r="P116" s="11">
        <v>49.453009100353178</v>
      </c>
      <c r="Q116" s="11">
        <v>47.598204565840668</v>
      </c>
      <c r="R116" s="11">
        <v>45.830079637478292</v>
      </c>
      <c r="S116" s="11">
        <v>43.893047584582092</v>
      </c>
      <c r="T116" s="11">
        <v>42.062843024440269</v>
      </c>
      <c r="U116" s="11">
        <v>40.330865788277293</v>
      </c>
      <c r="V116" s="11">
        <v>38.689414726498796</v>
      </c>
      <c r="W116" s="11">
        <v>37.131573226752757</v>
      </c>
      <c r="X116" s="11">
        <v>34.956428009136815</v>
      </c>
      <c r="Y116" s="11">
        <v>32.87628624830127</v>
      </c>
      <c r="Z116" s="11">
        <v>30.885056790082096</v>
      </c>
      <c r="AA116" s="11">
        <v>28.977158297762802</v>
      </c>
      <c r="AB116" s="11">
        <v>27.147467006899998</v>
      </c>
      <c r="AC116" s="11">
        <v>24.367636655850159</v>
      </c>
      <c r="AD116" s="11">
        <v>21.684927779906243</v>
      </c>
      <c r="AE116" s="11">
        <v>19.094337933880539</v>
      </c>
      <c r="AF116" s="11">
        <v>16.591202422318489</v>
      </c>
      <c r="AG116" s="11">
        <v>14.171166267870371</v>
      </c>
      <c r="AH116" s="11">
        <v>11.52674275772066</v>
      </c>
      <c r="AI116" s="11">
        <v>8.963950982048555</v>
      </c>
      <c r="AJ116" s="11">
        <v>6.479068512904095</v>
      </c>
      <c r="AK116" s="11">
        <v>4.0685958585750344</v>
      </c>
      <c r="AL116" s="11">
        <v>1.7292400202190212</v>
      </c>
      <c r="AM116" s="11">
        <v>-0.2958011911010196</v>
      </c>
      <c r="AN116" s="11">
        <v>-2.259554463629422</v>
      </c>
      <c r="AO116" s="11">
        <v>-4.1647606436858711</v>
      </c>
      <c r="AP116" s="11">
        <v>-6.0139995475613288</v>
      </c>
      <c r="AQ116" s="11">
        <v>-7.8097016163643573</v>
      </c>
      <c r="AR116" s="11">
        <v>-10.169064311126693</v>
      </c>
      <c r="AS116" s="11">
        <v>-12.45810415422361</v>
      </c>
      <c r="AT116" s="11">
        <v>-14.679919028501962</v>
      </c>
      <c r="AU116" s="11">
        <v>-16.837427491581707</v>
      </c>
      <c r="AV116" s="11">
        <v>-18.933381566367366</v>
      </c>
      <c r="AW116" s="11">
        <v>-19.037153094582077</v>
      </c>
      <c r="AX116" s="11">
        <v>-19.138172092304725</v>
      </c>
      <c r="AY116" s="11">
        <v>-19.236546642033193</v>
      </c>
      <c r="AZ116" s="11">
        <v>-19.332379240665755</v>
      </c>
      <c r="BA116" s="11">
        <v>-19.425767155721783</v>
      </c>
      <c r="BB116" s="10" t="s">
        <v>20</v>
      </c>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row>
    <row r="117" spans="2:80" x14ac:dyDescent="0.2">
      <c r="B117" s="101" t="s">
        <v>180</v>
      </c>
      <c r="C117" s="11">
        <v>15.766484255905478</v>
      </c>
      <c r="D117" s="11">
        <v>15.74870384636249</v>
      </c>
      <c r="E117" s="11">
        <v>15.732808674768922</v>
      </c>
      <c r="F117" s="11">
        <v>15.718514001763088</v>
      </c>
      <c r="G117" s="11">
        <v>15.705589680790444</v>
      </c>
      <c r="H117" s="11">
        <v>15.69384767277008</v>
      </c>
      <c r="I117" s="11">
        <v>15.433955017840379</v>
      </c>
      <c r="J117" s="11">
        <v>15.176783739394134</v>
      </c>
      <c r="K117" s="11">
        <v>14.922291316119221</v>
      </c>
      <c r="L117" s="11">
        <v>14.670436107970215</v>
      </c>
      <c r="M117" s="11">
        <v>14.421177333455415</v>
      </c>
      <c r="N117" s="11">
        <v>14.200841332933051</v>
      </c>
      <c r="O117" s="11">
        <v>13.987104435389087</v>
      </c>
      <c r="P117" s="11">
        <v>13.779674548445596</v>
      </c>
      <c r="Q117" s="11">
        <v>13.578276567380142</v>
      </c>
      <c r="R117" s="11">
        <v>13.382651157853724</v>
      </c>
      <c r="S117" s="11">
        <v>13.073175614307118</v>
      </c>
      <c r="T117" s="11">
        <v>12.783783546125363</v>
      </c>
      <c r="U117" s="11">
        <v>12.512581412615546</v>
      </c>
      <c r="V117" s="11">
        <v>12.257906459533773</v>
      </c>
      <c r="W117" s="11">
        <v>12.018292598180892</v>
      </c>
      <c r="X117" s="11">
        <v>11.609820863041925</v>
      </c>
      <c r="Y117" s="11">
        <v>11.218641715016549</v>
      </c>
      <c r="Z117" s="11">
        <v>10.843679798155705</v>
      </c>
      <c r="AA117" s="11">
        <v>10.48394710852858</v>
      </c>
      <c r="AB117" s="11">
        <v>10.138534301166295</v>
      </c>
      <c r="AC117" s="11">
        <v>9.4755588205304626</v>
      </c>
      <c r="AD117" s="11">
        <v>8.8234356558823954</v>
      </c>
      <c r="AE117" s="11">
        <v>8.1819005063388524</v>
      </c>
      <c r="AF117" s="11">
        <v>7.5506975843985495</v>
      </c>
      <c r="AG117" s="11">
        <v>6.9295792759002923</v>
      </c>
      <c r="AH117" s="11">
        <v>6.3432519732485533</v>
      </c>
      <c r="AI117" s="11">
        <v>5.7610285406007602</v>
      </c>
      <c r="AJ117" s="11">
        <v>5.1828660420035382</v>
      </c>
      <c r="AK117" s="11">
        <v>4.6087221383675692</v>
      </c>
      <c r="AL117" s="11">
        <v>4.0385550771320435</v>
      </c>
      <c r="AM117" s="11">
        <v>3.5725027896467902</v>
      </c>
      <c r="AN117" s="11">
        <v>3.1131267176786235</v>
      </c>
      <c r="AO117" s="11">
        <v>2.6602844258877423</v>
      </c>
      <c r="AP117" s="11">
        <v>2.2138375020851395</v>
      </c>
      <c r="AQ117" s="11">
        <v>1.7736514161839454</v>
      </c>
      <c r="AR117" s="11">
        <v>1.0846455037189711</v>
      </c>
      <c r="AS117" s="11">
        <v>0.40773310025097237</v>
      </c>
      <c r="AT117" s="11">
        <v>-0.25740142417187595</v>
      </c>
      <c r="AU117" s="11">
        <v>-0.91106281067865791</v>
      </c>
      <c r="AV117" s="11">
        <v>-1.5535453771232954</v>
      </c>
      <c r="AW117" s="11">
        <v>-1.8218751192125981</v>
      </c>
      <c r="AX117" s="11">
        <v>-2.0859017234877122</v>
      </c>
      <c r="AY117" s="11">
        <v>-2.3457278790862697</v>
      </c>
      <c r="AZ117" s="11">
        <v>-2.6014530335302082</v>
      </c>
      <c r="BA117" s="11">
        <v>-2.8531735196354164</v>
      </c>
      <c r="BB117" s="10" t="s">
        <v>20</v>
      </c>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row>
    <row r="118" spans="2:80" x14ac:dyDescent="0.2">
      <c r="B118" s="101" t="s">
        <v>179</v>
      </c>
      <c r="C118" s="11">
        <v>12.020228369606841</v>
      </c>
      <c r="D118" s="11">
        <v>11.990039904962982</v>
      </c>
      <c r="E118" s="11">
        <v>11.962934386567246</v>
      </c>
      <c r="F118" s="11">
        <v>11.938462496288048</v>
      </c>
      <c r="G118" s="11">
        <v>11.916258184097606</v>
      </c>
      <c r="H118" s="11">
        <v>11.896020233008651</v>
      </c>
      <c r="I118" s="11">
        <v>11.757999038060028</v>
      </c>
      <c r="J118" s="11">
        <v>11.63432829411976</v>
      </c>
      <c r="K118" s="11">
        <v>11.52288051646576</v>
      </c>
      <c r="L118" s="11">
        <v>11.421928955894471</v>
      </c>
      <c r="M118" s="11">
        <v>11.330057488282247</v>
      </c>
      <c r="N118" s="11">
        <v>11.09556353091012</v>
      </c>
      <c r="O118" s="11">
        <v>10.881545246683586</v>
      </c>
      <c r="P118" s="11">
        <v>10.685432966267861</v>
      </c>
      <c r="Q118" s="11">
        <v>10.505069741712145</v>
      </c>
      <c r="R118" s="11">
        <v>10.338631684777097</v>
      </c>
      <c r="S118" s="11">
        <v>9.9699328274511299</v>
      </c>
      <c r="T118" s="11">
        <v>9.6291219277394813</v>
      </c>
      <c r="U118" s="11">
        <v>9.3131501705078179</v>
      </c>
      <c r="V118" s="11">
        <v>9.0193975255639032</v>
      </c>
      <c r="W118" s="11">
        <v>8.7455999276860297</v>
      </c>
      <c r="X118" s="11">
        <v>8.2602224703691149</v>
      </c>
      <c r="Y118" s="11">
        <v>7.807347198136088</v>
      </c>
      <c r="Z118" s="11">
        <v>7.3838152236921877</v>
      </c>
      <c r="AA118" s="11">
        <v>6.9868641639923101</v>
      </c>
      <c r="AB118" s="11">
        <v>6.6140678214198703</v>
      </c>
      <c r="AC118" s="11">
        <v>6.0065332868901811</v>
      </c>
      <c r="AD118" s="11">
        <v>5.4355979621230324</v>
      </c>
      <c r="AE118" s="11">
        <v>4.898051326780311</v>
      </c>
      <c r="AF118" s="11">
        <v>4.3910476993740444</v>
      </c>
      <c r="AG118" s="11">
        <v>3.9120558442207316</v>
      </c>
      <c r="AH118" s="11">
        <v>3.4352391022319773</v>
      </c>
      <c r="AI118" s="11">
        <v>2.9845844907821921</v>
      </c>
      <c r="AJ118" s="11">
        <v>2.5579962960382132</v>
      </c>
      <c r="AK118" s="11">
        <v>2.1535968186476864</v>
      </c>
      <c r="AL118" s="11">
        <v>1.7696987426303061</v>
      </c>
      <c r="AM118" s="11">
        <v>1.4276229154102942</v>
      </c>
      <c r="AN118" s="11">
        <v>1.1028091560407627</v>
      </c>
      <c r="AO118" s="11">
        <v>0.79398298566420644</v>
      </c>
      <c r="AP118" s="11">
        <v>0.49999237363030258</v>
      </c>
      <c r="AQ118" s="11">
        <v>0.21979337684550176</v>
      </c>
      <c r="AR118" s="11">
        <v>-0.1330777953018514</v>
      </c>
      <c r="AS118" s="11">
        <v>-0.46944248294728363</v>
      </c>
      <c r="AT118" s="11">
        <v>-0.79043241806355335</v>
      </c>
      <c r="AU118" s="11">
        <v>-1.0970781845656936</v>
      </c>
      <c r="AV118" s="11">
        <v>-1.3903202714243297</v>
      </c>
      <c r="AW118" s="11">
        <v>-1.4644464058389299</v>
      </c>
      <c r="AX118" s="11">
        <v>-1.5353373700038235</v>
      </c>
      <c r="AY118" s="11">
        <v>-1.6032004350949229</v>
      </c>
      <c r="AZ118" s="11">
        <v>-1.6682255365530501</v>
      </c>
      <c r="BA118" s="11">
        <v>-1.7305870493701743</v>
      </c>
      <c r="BB118" s="10" t="s">
        <v>20</v>
      </c>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row>
    <row r="119" spans="2:80" x14ac:dyDescent="0.2">
      <c r="B119" s="101" t="s">
        <v>137</v>
      </c>
      <c r="C119" s="11">
        <v>13.259494958026593</v>
      </c>
      <c r="D119" s="11">
        <v>13.235324010101092</v>
      </c>
      <c r="E119" s="11">
        <v>13.213652799277547</v>
      </c>
      <c r="F119" s="11">
        <v>13.19411261086983</v>
      </c>
      <c r="G119" s="11">
        <v>13.17640384651034</v>
      </c>
      <c r="H119" s="11">
        <v>13.160280554128502</v>
      </c>
      <c r="I119" s="11">
        <v>12.946141006740872</v>
      </c>
      <c r="J119" s="11">
        <v>12.748034659029276</v>
      </c>
      <c r="K119" s="11">
        <v>12.564225816336631</v>
      </c>
      <c r="L119" s="11">
        <v>12.393220591425445</v>
      </c>
      <c r="M119" s="11">
        <v>12.233726212621823</v>
      </c>
      <c r="N119" s="11">
        <v>11.957596066698208</v>
      </c>
      <c r="O119" s="11">
        <v>11.701269048835968</v>
      </c>
      <c r="P119" s="11">
        <v>11.462688583484031</v>
      </c>
      <c r="Q119" s="11">
        <v>11.240073337063663</v>
      </c>
      <c r="R119" s="11">
        <v>11.031872662449045</v>
      </c>
      <c r="S119" s="11">
        <v>10.667378034460599</v>
      </c>
      <c r="T119" s="11">
        <v>10.329457212657593</v>
      </c>
      <c r="U119" s="11">
        <v>10.015306325819164</v>
      </c>
      <c r="V119" s="11">
        <v>9.7225025589482783</v>
      </c>
      <c r="W119" s="11">
        <v>9.4489415467391513</v>
      </c>
      <c r="X119" s="11">
        <v>8.9339836379698632</v>
      </c>
      <c r="Y119" s="11">
        <v>8.4503793513692944</v>
      </c>
      <c r="Z119" s="11">
        <v>7.9953497989765179</v>
      </c>
      <c r="AA119" s="11">
        <v>7.5664350617640599</v>
      </c>
      <c r="AB119" s="11">
        <v>7.1614497010307643</v>
      </c>
      <c r="AC119" s="11">
        <v>6.5776666475325873</v>
      </c>
      <c r="AD119" s="11">
        <v>6.0231041801712983</v>
      </c>
      <c r="AE119" s="11">
        <v>5.4956219610092782</v>
      </c>
      <c r="AF119" s="11">
        <v>4.9932837028682338</v>
      </c>
      <c r="AG119" s="11">
        <v>4.5143334187299873</v>
      </c>
      <c r="AH119" s="11">
        <v>4.0066510096350205</v>
      </c>
      <c r="AI119" s="11">
        <v>3.5216500359811658</v>
      </c>
      <c r="AJ119" s="11">
        <v>3.0578437214946201</v>
      </c>
      <c r="AK119" s="11">
        <v>2.6138724562626265</v>
      </c>
      <c r="AL119" s="11">
        <v>2.1884904854388587</v>
      </c>
      <c r="AM119" s="11">
        <v>1.8176851445291027</v>
      </c>
      <c r="AN119" s="11">
        <v>1.4629694014362999</v>
      </c>
      <c r="AO119" s="11">
        <v>1.1233182790097131</v>
      </c>
      <c r="AP119" s="11">
        <v>0.79779205047785007</v>
      </c>
      <c r="AQ119" s="11">
        <v>0.48552755683067766</v>
      </c>
      <c r="AR119" s="11">
        <v>9.0979232311904745E-2</v>
      </c>
      <c r="AS119" s="11">
        <v>-0.28722455936683</v>
      </c>
      <c r="AT119" s="11">
        <v>-0.65007883966619862</v>
      </c>
      <c r="AU119" s="11">
        <v>-0.9984994699415114</v>
      </c>
      <c r="AV119" s="11">
        <v>-1.3333308700219313</v>
      </c>
      <c r="AW119" s="11">
        <v>-1.4251319522566368</v>
      </c>
      <c r="AX119" s="11">
        <v>-1.5133644933282824</v>
      </c>
      <c r="AY119" s="11">
        <v>-1.5982326034792709</v>
      </c>
      <c r="AZ119" s="11">
        <v>-1.6799251181553585</v>
      </c>
      <c r="BA119" s="11">
        <v>-1.758617000644767</v>
      </c>
      <c r="BB119" s="10" t="s">
        <v>20</v>
      </c>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row>
    <row r="120" spans="2:80" x14ac:dyDescent="0.2">
      <c r="B120" s="101" t="s">
        <v>173</v>
      </c>
      <c r="C120" s="11">
        <v>8.1870358852382061</v>
      </c>
      <c r="D120" s="11">
        <v>7.936791143471619</v>
      </c>
      <c r="E120" s="11">
        <v>7.7000271256658843</v>
      </c>
      <c r="F120" s="11">
        <v>7.4756830898799791</v>
      </c>
      <c r="G120" s="11">
        <v>7.2628067370133218</v>
      </c>
      <c r="H120" s="11">
        <v>7.0605406981190759</v>
      </c>
      <c r="I120" s="11">
        <v>7.1526600027625689</v>
      </c>
      <c r="J120" s="11">
        <v>7.236460623115379</v>
      </c>
      <c r="K120" s="11">
        <v>7.313020687775631</v>
      </c>
      <c r="L120" s="11">
        <v>7.383239735317348</v>
      </c>
      <c r="M120" s="11">
        <v>7.4478742227019055</v>
      </c>
      <c r="N120" s="11">
        <v>7.1686051692573169</v>
      </c>
      <c r="O120" s="11">
        <v>6.904923378244467</v>
      </c>
      <c r="P120" s="11">
        <v>6.6555592867955626</v>
      </c>
      <c r="Q120" s="11">
        <v>6.41937756019753</v>
      </c>
      <c r="R120" s="11">
        <v>6.195359809140994</v>
      </c>
      <c r="S120" s="11">
        <v>5.8194762270212266</v>
      </c>
      <c r="T120" s="11">
        <v>5.4634326028767886</v>
      </c>
      <c r="U120" s="11">
        <v>5.1256985311899106</v>
      </c>
      <c r="V120" s="11">
        <v>4.8048970629753809</v>
      </c>
      <c r="W120" s="11">
        <v>4.4997859419459676</v>
      </c>
      <c r="X120" s="11">
        <v>4.1562676194530743</v>
      </c>
      <c r="Y120" s="11">
        <v>3.8286429701962326</v>
      </c>
      <c r="Z120" s="11">
        <v>3.5158338979158863</v>
      </c>
      <c r="AA120" s="11">
        <v>3.2168576560340152</v>
      </c>
      <c r="AB120" s="11">
        <v>2.9308165344634061</v>
      </c>
      <c r="AC120" s="11">
        <v>2.5841934340084785</v>
      </c>
      <c r="AD120" s="11">
        <v>2.2510178453870986</v>
      </c>
      <c r="AE120" s="11">
        <v>1.9305220997863743</v>
      </c>
      <c r="AF120" s="11">
        <v>1.6219958684544638</v>
      </c>
      <c r="AG120" s="11">
        <v>1.3247809071594869</v>
      </c>
      <c r="AH120" s="11">
        <v>1.1683112964452256</v>
      </c>
      <c r="AI120" s="11">
        <v>1.0169941718395976</v>
      </c>
      <c r="AJ120" s="11">
        <v>0.87057915165263233</v>
      </c>
      <c r="AK120" s="11">
        <v>0.72883181844930567</v>
      </c>
      <c r="AL120" s="11">
        <v>0.59153246666778991</v>
      </c>
      <c r="AM120" s="11">
        <v>0.50751882932298553</v>
      </c>
      <c r="AN120" s="11">
        <v>0.42581565932897242</v>
      </c>
      <c r="AO120" s="11">
        <v>0.3463289388952987</v>
      </c>
      <c r="AP120" s="11">
        <v>0.26896968300969176</v>
      </c>
      <c r="AQ120" s="11">
        <v>0.19365360712902724</v>
      </c>
      <c r="AR120" s="11">
        <v>0.11267132884265871</v>
      </c>
      <c r="AS120" s="11">
        <v>3.3571034994433049E-2</v>
      </c>
      <c r="AT120" s="11">
        <v>-4.3712125319493533E-2</v>
      </c>
      <c r="AU120" s="11">
        <v>-0.11924005726042586</v>
      </c>
      <c r="AV120" s="11">
        <v>-0.19307188562582894</v>
      </c>
      <c r="AW120" s="11">
        <v>-0.23379360324037268</v>
      </c>
      <c r="AX120" s="11">
        <v>-0.27370502692705451</v>
      </c>
      <c r="AY120" s="11">
        <v>-0.31283010367002689</v>
      </c>
      <c r="AZ120" s="11">
        <v>-0.35119184603706632</v>
      </c>
      <c r="BA120" s="11">
        <v>-0.38881237731567414</v>
      </c>
      <c r="BB120" s="10" t="s">
        <v>20</v>
      </c>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row>
    <row r="121" spans="2:80" x14ac:dyDescent="0.2">
      <c r="B121" s="101" t="s">
        <v>174</v>
      </c>
      <c r="C121" s="11">
        <v>1.8438553878701436</v>
      </c>
      <c r="D121" s="11">
        <v>1.7716057162330456</v>
      </c>
      <c r="E121" s="11">
        <v>1.7049258760465413</v>
      </c>
      <c r="F121" s="11">
        <v>1.6431956928655136</v>
      </c>
      <c r="G121" s="11">
        <v>1.585883768631027</v>
      </c>
      <c r="H121" s="11">
        <v>1.5325321453675815</v>
      </c>
      <c r="I121" s="11">
        <v>1.4854324365480984</v>
      </c>
      <c r="J121" s="11">
        <v>1.4416571877277671</v>
      </c>
      <c r="K121" s="11">
        <v>1.4008664195737213</v>
      </c>
      <c r="L121" s="11">
        <v>1.362764982354421</v>
      </c>
      <c r="M121" s="11">
        <v>1.3270954027182844</v>
      </c>
      <c r="N121" s="11">
        <v>1.2714426569820798</v>
      </c>
      <c r="O121" s="11">
        <v>1.2193791282516577</v>
      </c>
      <c r="P121" s="11">
        <v>1.1705684438893604</v>
      </c>
      <c r="Q121" s="11">
        <v>1.1247149900148514</v>
      </c>
      <c r="R121" s="11">
        <v>1.0815579195226919</v>
      </c>
      <c r="S121" s="11">
        <v>1.0075171749998724</v>
      </c>
      <c r="T121" s="11">
        <v>0.93809932395890305</v>
      </c>
      <c r="U121" s="11">
        <v>0.87288451314231774</v>
      </c>
      <c r="V121" s="11">
        <v>0.8115022370456012</v>
      </c>
      <c r="W121" s="11">
        <v>0.75362429471970038</v>
      </c>
      <c r="X121" s="11">
        <v>0.68413981767589305</v>
      </c>
      <c r="Y121" s="11">
        <v>0.61892044720753447</v>
      </c>
      <c r="Z121" s="11">
        <v>0.55758517476088287</v>
      </c>
      <c r="AA121" s="11">
        <v>0.4997970609689798</v>
      </c>
      <c r="AB121" s="11">
        <v>0.44525704316070414</v>
      </c>
      <c r="AC121" s="11">
        <v>0.37072968595710731</v>
      </c>
      <c r="AD121" s="11">
        <v>0.30075022847443933</v>
      </c>
      <c r="AE121" s="11">
        <v>0.23491470509032417</v>
      </c>
      <c r="AF121" s="11">
        <v>0.17286561718642002</v>
      </c>
      <c r="AG121" s="11">
        <v>0.11428543870050084</v>
      </c>
      <c r="AH121" s="11">
        <v>5.9000054842392402E-2</v>
      </c>
      <c r="AI121" s="11">
        <v>7.1157393041592631E-3</v>
      </c>
      <c r="AJ121" s="11">
        <v>-4.1671984865314732E-2</v>
      </c>
      <c r="AK121" s="11">
        <v>-8.763230378343051E-2</v>
      </c>
      <c r="AL121" s="11">
        <v>-0.13100408179028034</v>
      </c>
      <c r="AM121" s="11">
        <v>-0.16552719952340778</v>
      </c>
      <c r="AN121" s="11">
        <v>-0.19774865567208727</v>
      </c>
      <c r="AO121" s="11">
        <v>-0.22789120295650997</v>
      </c>
      <c r="AP121" s="11">
        <v>-0.2561497486412585</v>
      </c>
      <c r="AQ121" s="11">
        <v>-0.28269557374437843</v>
      </c>
      <c r="AR121" s="11">
        <v>-0.30345833697885072</v>
      </c>
      <c r="AS121" s="11">
        <v>-0.32350501414403587</v>
      </c>
      <c r="AT121" s="11">
        <v>-0.34287202283110635</v>
      </c>
      <c r="AU121" s="11">
        <v>-0.36159335236989271</v>
      </c>
      <c r="AV121" s="11">
        <v>-0.37970076290072197</v>
      </c>
      <c r="AW121" s="11">
        <v>-0.3931130372695244</v>
      </c>
      <c r="AX121" s="11">
        <v>-0.4061087503486363</v>
      </c>
      <c r="AY121" s="11">
        <v>-0.41870701185582188</v>
      </c>
      <c r="AZ121" s="11">
        <v>-0.43092578023785283</v>
      </c>
      <c r="BA121" s="11">
        <v>-0.44278194808244731</v>
      </c>
      <c r="BB121" s="10" t="s">
        <v>20</v>
      </c>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row>
    <row r="122" spans="2:80" x14ac:dyDescent="0.2">
      <c r="B122" s="101" t="s">
        <v>175</v>
      </c>
      <c r="C122" s="8">
        <v>36.870740310002084</v>
      </c>
      <c r="D122" s="8">
        <v>36.38874759136462</v>
      </c>
      <c r="E122" s="8">
        <v>35.906754872727156</v>
      </c>
      <c r="F122" s="8">
        <v>35.424762154089692</v>
      </c>
      <c r="G122" s="8">
        <v>34.942769435452227</v>
      </c>
      <c r="H122" s="8">
        <v>34.460776716814763</v>
      </c>
      <c r="I122" s="8">
        <v>33.717587952556414</v>
      </c>
      <c r="J122" s="8">
        <v>32.974399188298072</v>
      </c>
      <c r="K122" s="8">
        <v>32.231210424039723</v>
      </c>
      <c r="L122" s="8">
        <v>31.488021659781374</v>
      </c>
      <c r="M122" s="8">
        <v>30.744832895523029</v>
      </c>
      <c r="N122" s="8">
        <v>30.383923915689024</v>
      </c>
      <c r="O122" s="8">
        <v>30.023014935855024</v>
      </c>
      <c r="P122" s="8">
        <v>29.662105956021019</v>
      </c>
      <c r="Q122" s="8">
        <v>29.301196976187018</v>
      </c>
      <c r="R122" s="8">
        <v>28.940287996353014</v>
      </c>
      <c r="S122" s="8">
        <v>28.221388819096028</v>
      </c>
      <c r="T122" s="8">
        <v>27.502489641839041</v>
      </c>
      <c r="U122" s="8">
        <v>26.783590464582055</v>
      </c>
      <c r="V122" s="8">
        <v>26.064691287325068</v>
      </c>
      <c r="W122" s="8">
        <v>25.345792110068082</v>
      </c>
      <c r="X122" s="8">
        <v>24.32160791568014</v>
      </c>
      <c r="Y122" s="8">
        <v>23.297423721292198</v>
      </c>
      <c r="Z122" s="8">
        <v>22.273239526904256</v>
      </c>
      <c r="AA122" s="8">
        <v>21.24905533251631</v>
      </c>
      <c r="AB122" s="8">
        <v>20.224871138128368</v>
      </c>
      <c r="AC122" s="8">
        <v>18.39355702764178</v>
      </c>
      <c r="AD122" s="8">
        <v>16.562242917155192</v>
      </c>
      <c r="AE122" s="8">
        <v>14.730928806668604</v>
      </c>
      <c r="AF122" s="8">
        <v>12.899614696182017</v>
      </c>
      <c r="AG122" s="8">
        <v>11.068300585695429</v>
      </c>
      <c r="AH122" s="8">
        <v>9.5011684358833453</v>
      </c>
      <c r="AI122" s="8">
        <v>7.9340362860712599</v>
      </c>
      <c r="AJ122" s="8">
        <v>6.3669041362591763</v>
      </c>
      <c r="AK122" s="8">
        <v>4.7997719864470918</v>
      </c>
      <c r="AL122" s="8">
        <v>3.2326398366350073</v>
      </c>
      <c r="AM122" s="8">
        <v>2.3153675167801286</v>
      </c>
      <c r="AN122" s="8">
        <v>1.3980951969252498</v>
      </c>
      <c r="AO122" s="8">
        <v>0.48082287707037086</v>
      </c>
      <c r="AP122" s="8">
        <v>-0.43644944278450781</v>
      </c>
      <c r="AQ122" s="8">
        <v>-1.3537217626393869</v>
      </c>
      <c r="AR122" s="8">
        <v>-2.3349283777784682</v>
      </c>
      <c r="AS122" s="8">
        <v>-3.3161349929175494</v>
      </c>
      <c r="AT122" s="8">
        <v>-4.2973416080566302</v>
      </c>
      <c r="AU122" s="8">
        <v>-5.2785482231957115</v>
      </c>
      <c r="AV122" s="8">
        <v>-6.2597548383347936</v>
      </c>
      <c r="AW122" s="8">
        <v>-6.2912067300408765</v>
      </c>
      <c r="AX122" s="8">
        <v>-6.3226586217469594</v>
      </c>
      <c r="AY122" s="8">
        <v>-6.3541105134530431</v>
      </c>
      <c r="AZ122" s="8">
        <v>-6.385562405159126</v>
      </c>
      <c r="BA122" s="8">
        <v>-6.4170142968652089</v>
      </c>
      <c r="BB122" s="10" t="s">
        <v>21</v>
      </c>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row>
    <row r="123" spans="2:80" x14ac:dyDescent="0.2">
      <c r="B123" s="101" t="s">
        <v>176</v>
      </c>
      <c r="C123" s="8">
        <v>50.693453601589745</v>
      </c>
      <c r="D123" s="8">
        <v>49.885977553520945</v>
      </c>
      <c r="E123" s="8">
        <v>49.078501505452152</v>
      </c>
      <c r="F123" s="8">
        <v>48.271025457383352</v>
      </c>
      <c r="G123" s="8">
        <v>47.46354940931456</v>
      </c>
      <c r="H123" s="8">
        <v>46.65607336124576</v>
      </c>
      <c r="I123" s="8">
        <v>45.166603533327532</v>
      </c>
      <c r="J123" s="8">
        <v>43.677133705409304</v>
      </c>
      <c r="K123" s="8">
        <v>42.187663877491076</v>
      </c>
      <c r="L123" s="8">
        <v>40.698194049572848</v>
      </c>
      <c r="M123" s="8">
        <v>39.20872422165462</v>
      </c>
      <c r="N123" s="8">
        <v>38.094412156424994</v>
      </c>
      <c r="O123" s="8">
        <v>36.980100091195368</v>
      </c>
      <c r="P123" s="8">
        <v>35.865788025965742</v>
      </c>
      <c r="Q123" s="8">
        <v>34.751475960736116</v>
      </c>
      <c r="R123" s="8">
        <v>33.63716389550649</v>
      </c>
      <c r="S123" s="8">
        <v>32.561108050616077</v>
      </c>
      <c r="T123" s="8">
        <v>31.485052205725669</v>
      </c>
      <c r="U123" s="8">
        <v>30.40899636083526</v>
      </c>
      <c r="V123" s="8">
        <v>29.332940515944848</v>
      </c>
      <c r="W123" s="8">
        <v>28.25688467105444</v>
      </c>
      <c r="X123" s="8">
        <v>26.876420139428056</v>
      </c>
      <c r="Y123" s="8">
        <v>25.495955607801676</v>
      </c>
      <c r="Z123" s="8">
        <v>24.115491076175292</v>
      </c>
      <c r="AA123" s="8">
        <v>22.735026544548909</v>
      </c>
      <c r="AB123" s="8">
        <v>21.354562012922528</v>
      </c>
      <c r="AC123" s="8">
        <v>19.381860215218385</v>
      </c>
      <c r="AD123" s="8">
        <v>17.409158417514245</v>
      </c>
      <c r="AE123" s="8">
        <v>15.436456619810102</v>
      </c>
      <c r="AF123" s="8">
        <v>13.46375482210596</v>
      </c>
      <c r="AG123" s="8">
        <v>11.491053024401818</v>
      </c>
      <c r="AH123" s="8">
        <v>9.4813873067699816</v>
      </c>
      <c r="AI123" s="8">
        <v>7.471721589138145</v>
      </c>
      <c r="AJ123" s="8">
        <v>5.4620558715063083</v>
      </c>
      <c r="AK123" s="8">
        <v>3.4523901538744717</v>
      </c>
      <c r="AL123" s="8">
        <v>1.4427244362426359</v>
      </c>
      <c r="AM123" s="8">
        <v>-0.18423932701099277</v>
      </c>
      <c r="AN123" s="8">
        <v>-1.8112030902646215</v>
      </c>
      <c r="AO123" s="8">
        <v>-3.4381668535182497</v>
      </c>
      <c r="AP123" s="8">
        <v>-5.0651306167718788</v>
      </c>
      <c r="AQ123" s="8">
        <v>-6.692094380025507</v>
      </c>
      <c r="AR123" s="8">
        <v>-8.6819448715444008</v>
      </c>
      <c r="AS123" s="8">
        <v>-10.671795363063296</v>
      </c>
      <c r="AT123" s="8">
        <v>-12.66164585458219</v>
      </c>
      <c r="AU123" s="8">
        <v>-14.651496346101084</v>
      </c>
      <c r="AV123" s="8">
        <v>-16.641346837619977</v>
      </c>
      <c r="AW123" s="8">
        <v>-16.811981616954633</v>
      </c>
      <c r="AX123" s="8">
        <v>-16.982616396289288</v>
      </c>
      <c r="AY123" s="8">
        <v>-17.153251175623947</v>
      </c>
      <c r="AZ123" s="8">
        <v>-17.323885954958602</v>
      </c>
      <c r="BA123" s="8">
        <v>-17.494520734293257</v>
      </c>
      <c r="BB123" s="10" t="s">
        <v>21</v>
      </c>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row>
    <row r="124" spans="2:80" x14ac:dyDescent="0.2">
      <c r="B124" s="101" t="s">
        <v>177</v>
      </c>
      <c r="C124" s="8">
        <v>163.62052611646959</v>
      </c>
      <c r="D124" s="8">
        <v>163.27637199596487</v>
      </c>
      <c r="E124" s="8">
        <v>162.93221787546014</v>
      </c>
      <c r="F124" s="8">
        <v>162.58806375495539</v>
      </c>
      <c r="G124" s="8">
        <v>162.24390963445066</v>
      </c>
      <c r="H124" s="8">
        <v>161.89975551394593</v>
      </c>
      <c r="I124" s="8">
        <v>161.57960774260738</v>
      </c>
      <c r="J124" s="8">
        <v>161.25945997126883</v>
      </c>
      <c r="K124" s="8">
        <v>160.93931219993024</v>
      </c>
      <c r="L124" s="8">
        <v>160.61916442859169</v>
      </c>
      <c r="M124" s="8">
        <v>160.29901665725313</v>
      </c>
      <c r="N124" s="8">
        <v>158.53809295699719</v>
      </c>
      <c r="O124" s="8">
        <v>156.77716925674125</v>
      </c>
      <c r="P124" s="8">
        <v>155.01624555648533</v>
      </c>
      <c r="Q124" s="8">
        <v>153.25532185622939</v>
      </c>
      <c r="R124" s="8">
        <v>151.49439815597344</v>
      </c>
      <c r="S124" s="8">
        <v>147.82042107720687</v>
      </c>
      <c r="T124" s="8">
        <v>144.14644399844033</v>
      </c>
      <c r="U124" s="8">
        <v>140.47246691967376</v>
      </c>
      <c r="V124" s="8">
        <v>136.79848984090722</v>
      </c>
      <c r="W124" s="8">
        <v>133.12451276214065</v>
      </c>
      <c r="X124" s="8">
        <v>127.32180690663938</v>
      </c>
      <c r="Y124" s="8">
        <v>121.51910105113811</v>
      </c>
      <c r="Z124" s="8">
        <v>115.71639519563684</v>
      </c>
      <c r="AA124" s="8">
        <v>109.91368934013558</v>
      </c>
      <c r="AB124" s="8">
        <v>104.1109834846343</v>
      </c>
      <c r="AC124" s="8">
        <v>96.958593084584436</v>
      </c>
      <c r="AD124" s="8">
        <v>89.806202684534583</v>
      </c>
      <c r="AE124" s="8">
        <v>82.653812284484715</v>
      </c>
      <c r="AF124" s="8">
        <v>75.501421884434848</v>
      </c>
      <c r="AG124" s="8">
        <v>68.349031484384994</v>
      </c>
      <c r="AH124" s="8">
        <v>61.592669799752464</v>
      </c>
      <c r="AI124" s="8">
        <v>54.836308115119927</v>
      </c>
      <c r="AJ124" s="8">
        <v>48.079946430487396</v>
      </c>
      <c r="AK124" s="8">
        <v>41.323584745854859</v>
      </c>
      <c r="AL124" s="8">
        <v>34.567223061222329</v>
      </c>
      <c r="AM124" s="8">
        <v>29.244400910026133</v>
      </c>
      <c r="AN124" s="8">
        <v>23.921578758829938</v>
      </c>
      <c r="AO124" s="8">
        <v>18.598756607633739</v>
      </c>
      <c r="AP124" s="8">
        <v>13.275934456437543</v>
      </c>
      <c r="AQ124" s="8">
        <v>7.9531123052413495</v>
      </c>
      <c r="AR124" s="8">
        <v>1.8478045612504905</v>
      </c>
      <c r="AS124" s="8">
        <v>-4.2575031827403684</v>
      </c>
      <c r="AT124" s="8">
        <v>-10.362810926731227</v>
      </c>
      <c r="AU124" s="8">
        <v>-16.468118670722085</v>
      </c>
      <c r="AV124" s="8">
        <v>-22.573426414712944</v>
      </c>
      <c r="AW124" s="8">
        <v>-24.207724392639676</v>
      </c>
      <c r="AX124" s="8">
        <v>-25.842022370566404</v>
      </c>
      <c r="AY124" s="8">
        <v>-27.476320348493136</v>
      </c>
      <c r="AZ124" s="8">
        <v>-29.110618326419868</v>
      </c>
      <c r="BA124" s="8">
        <v>-30.744916304346596</v>
      </c>
      <c r="BB124" s="10" t="s">
        <v>21</v>
      </c>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row>
    <row r="125" spans="2:80" x14ac:dyDescent="0.2">
      <c r="B125" s="101" t="s">
        <v>178</v>
      </c>
      <c r="C125" s="8">
        <v>163.62052611646959</v>
      </c>
      <c r="D125" s="8">
        <v>163.27637199596487</v>
      </c>
      <c r="E125" s="8">
        <v>162.93221787546014</v>
      </c>
      <c r="F125" s="8">
        <v>162.58806375495539</v>
      </c>
      <c r="G125" s="8">
        <v>162.24390963445066</v>
      </c>
      <c r="H125" s="8">
        <v>161.89975551394593</v>
      </c>
      <c r="I125" s="8">
        <v>161.57960774260738</v>
      </c>
      <c r="J125" s="8">
        <v>161.25945997126883</v>
      </c>
      <c r="K125" s="8">
        <v>160.93931219993024</v>
      </c>
      <c r="L125" s="8">
        <v>160.61916442859169</v>
      </c>
      <c r="M125" s="8">
        <v>160.29901665725313</v>
      </c>
      <c r="N125" s="8">
        <v>158.53809295699719</v>
      </c>
      <c r="O125" s="8">
        <v>156.77716925674125</v>
      </c>
      <c r="P125" s="8">
        <v>155.01624555648533</v>
      </c>
      <c r="Q125" s="8">
        <v>153.25532185622939</v>
      </c>
      <c r="R125" s="8">
        <v>151.49439815597344</v>
      </c>
      <c r="S125" s="8">
        <v>147.82042107720687</v>
      </c>
      <c r="T125" s="8">
        <v>144.14644399844033</v>
      </c>
      <c r="U125" s="8">
        <v>140.47246691967376</v>
      </c>
      <c r="V125" s="8">
        <v>136.79848984090722</v>
      </c>
      <c r="W125" s="8">
        <v>133.12451276214065</v>
      </c>
      <c r="X125" s="8">
        <v>127.32180690663938</v>
      </c>
      <c r="Y125" s="8">
        <v>121.51910105113811</v>
      </c>
      <c r="Z125" s="8">
        <v>115.71639519563684</v>
      </c>
      <c r="AA125" s="8">
        <v>109.91368934013558</v>
      </c>
      <c r="AB125" s="8">
        <v>104.1109834846343</v>
      </c>
      <c r="AC125" s="8">
        <v>96.958593084584436</v>
      </c>
      <c r="AD125" s="8">
        <v>89.806202684534583</v>
      </c>
      <c r="AE125" s="8">
        <v>82.653812284484715</v>
      </c>
      <c r="AF125" s="8">
        <v>75.501421884434848</v>
      </c>
      <c r="AG125" s="8">
        <v>68.349031484384994</v>
      </c>
      <c r="AH125" s="8">
        <v>61.592669799752464</v>
      </c>
      <c r="AI125" s="8">
        <v>54.836308115119927</v>
      </c>
      <c r="AJ125" s="8">
        <v>48.079946430487396</v>
      </c>
      <c r="AK125" s="8">
        <v>41.323584745854859</v>
      </c>
      <c r="AL125" s="8">
        <v>34.567223061222329</v>
      </c>
      <c r="AM125" s="8">
        <v>29.244400910026133</v>
      </c>
      <c r="AN125" s="8">
        <v>23.921578758829938</v>
      </c>
      <c r="AO125" s="8">
        <v>18.598756607633739</v>
      </c>
      <c r="AP125" s="8">
        <v>13.275934456437543</v>
      </c>
      <c r="AQ125" s="8">
        <v>7.9531123052413495</v>
      </c>
      <c r="AR125" s="8">
        <v>1.8478045612504905</v>
      </c>
      <c r="AS125" s="8">
        <v>-4.2575031827403684</v>
      </c>
      <c r="AT125" s="8">
        <v>-10.362810926731227</v>
      </c>
      <c r="AU125" s="8">
        <v>-16.468118670722085</v>
      </c>
      <c r="AV125" s="8">
        <v>-22.573426414712944</v>
      </c>
      <c r="AW125" s="8">
        <v>-24.207724392639676</v>
      </c>
      <c r="AX125" s="8">
        <v>-25.842022370566404</v>
      </c>
      <c r="AY125" s="8">
        <v>-27.476320348493136</v>
      </c>
      <c r="AZ125" s="8">
        <v>-29.110618326419868</v>
      </c>
      <c r="BA125" s="8">
        <v>-30.744916304346596</v>
      </c>
      <c r="BB125" s="10" t="s">
        <v>21</v>
      </c>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row>
    <row r="126" spans="2:80" x14ac:dyDescent="0.2">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10"/>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row>
    <row r="127" spans="2:80" x14ac:dyDescent="0.2">
      <c r="B127" s="1" t="s">
        <v>130</v>
      </c>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10"/>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row>
    <row r="128" spans="2:80" x14ac:dyDescent="0.2">
      <c r="B128" s="5" t="s">
        <v>1</v>
      </c>
      <c r="C128" s="6">
        <v>2010</v>
      </c>
      <c r="D128" s="3">
        <v>2011</v>
      </c>
      <c r="E128" s="3">
        <v>2012</v>
      </c>
      <c r="F128" s="3">
        <v>2013</v>
      </c>
      <c r="G128" s="3">
        <v>2014</v>
      </c>
      <c r="H128" s="6">
        <v>2015</v>
      </c>
      <c r="I128" s="3">
        <v>2016</v>
      </c>
      <c r="J128" s="3">
        <v>2017</v>
      </c>
      <c r="K128" s="3">
        <v>2018</v>
      </c>
      <c r="L128" s="3">
        <v>2019</v>
      </c>
      <c r="M128" s="6">
        <v>2020</v>
      </c>
      <c r="N128" s="3">
        <v>2021</v>
      </c>
      <c r="O128" s="3">
        <v>2022</v>
      </c>
      <c r="P128" s="3">
        <v>2023</v>
      </c>
      <c r="Q128" s="3">
        <v>2024</v>
      </c>
      <c r="R128" s="6">
        <v>2025</v>
      </c>
      <c r="S128" s="3">
        <v>2026</v>
      </c>
      <c r="T128" s="3">
        <v>2027</v>
      </c>
      <c r="U128" s="3">
        <v>2028</v>
      </c>
      <c r="V128" s="3">
        <v>2029</v>
      </c>
      <c r="W128" s="6">
        <v>2030</v>
      </c>
      <c r="X128" s="3">
        <v>2031</v>
      </c>
      <c r="Y128" s="3">
        <v>2032</v>
      </c>
      <c r="Z128" s="3">
        <v>2033</v>
      </c>
      <c r="AA128" s="3">
        <v>2034</v>
      </c>
      <c r="AB128" s="6">
        <v>2035</v>
      </c>
      <c r="AC128" s="3">
        <v>2036</v>
      </c>
      <c r="AD128" s="3">
        <v>2037</v>
      </c>
      <c r="AE128" s="3">
        <v>2038</v>
      </c>
      <c r="AF128" s="3">
        <v>2039</v>
      </c>
      <c r="AG128" s="6">
        <v>2040</v>
      </c>
      <c r="AH128" s="3">
        <v>2041</v>
      </c>
      <c r="AI128" s="3">
        <v>2042</v>
      </c>
      <c r="AJ128" s="3">
        <v>2043</v>
      </c>
      <c r="AK128" s="3">
        <v>2044</v>
      </c>
      <c r="AL128" s="6">
        <v>2045</v>
      </c>
      <c r="AM128" s="3">
        <v>2046</v>
      </c>
      <c r="AN128" s="3">
        <v>2047</v>
      </c>
      <c r="AO128" s="3">
        <v>2048</v>
      </c>
      <c r="AP128" s="3">
        <v>2049</v>
      </c>
      <c r="AQ128" s="6">
        <v>2050</v>
      </c>
      <c r="AR128" s="3">
        <v>2051</v>
      </c>
      <c r="AS128" s="3">
        <v>2052</v>
      </c>
      <c r="AT128" s="3">
        <v>2053</v>
      </c>
      <c r="AU128" s="3">
        <v>2054</v>
      </c>
      <c r="AV128" s="6">
        <v>2055</v>
      </c>
      <c r="AW128" s="3">
        <v>2056</v>
      </c>
      <c r="AX128" s="3">
        <v>2057</v>
      </c>
      <c r="AY128" s="3">
        <v>2058</v>
      </c>
      <c r="AZ128" s="3">
        <v>2059</v>
      </c>
      <c r="BA128" s="6">
        <v>2060</v>
      </c>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row>
    <row r="129" spans="2:80" x14ac:dyDescent="0.2">
      <c r="B129" s="101" t="s">
        <v>2</v>
      </c>
      <c r="C129" s="8">
        <v>4097.036326984573</v>
      </c>
      <c r="D129" s="8">
        <v>4204.4806714984434</v>
      </c>
      <c r="E129" s="8">
        <v>4311.9250160123138</v>
      </c>
      <c r="F129" s="8">
        <v>4419.3693605261842</v>
      </c>
      <c r="G129" s="8">
        <v>4526.8137050400546</v>
      </c>
      <c r="H129" s="8">
        <v>4634.258049553926</v>
      </c>
      <c r="I129" s="8">
        <v>4581.1998761235864</v>
      </c>
      <c r="J129" s="8">
        <v>4528.1417026932459</v>
      </c>
      <c r="K129" s="8">
        <v>4475.0835292629063</v>
      </c>
      <c r="L129" s="8">
        <v>4422.0253558325658</v>
      </c>
      <c r="M129" s="8">
        <v>4368.9671824022262</v>
      </c>
      <c r="N129" s="8">
        <v>4323.7499457213644</v>
      </c>
      <c r="O129" s="8">
        <v>4278.5327090405026</v>
      </c>
      <c r="P129" s="8">
        <v>4233.3154723596417</v>
      </c>
      <c r="Q129" s="8">
        <v>4188.0982356787799</v>
      </c>
      <c r="R129" s="8">
        <v>4142.8809989979181</v>
      </c>
      <c r="S129" s="8">
        <v>4075.0741231505144</v>
      </c>
      <c r="T129" s="8">
        <v>4007.2672473031107</v>
      </c>
      <c r="U129" s="8">
        <v>3939.4603714557065</v>
      </c>
      <c r="V129" s="8">
        <v>3871.6534956083024</v>
      </c>
      <c r="W129" s="8">
        <v>3803.8466197608986</v>
      </c>
      <c r="X129" s="8">
        <v>3738.6598792883369</v>
      </c>
      <c r="Y129" s="8">
        <v>3673.4731388157752</v>
      </c>
      <c r="Z129" s="8">
        <v>3608.2863983432121</v>
      </c>
      <c r="AA129" s="8">
        <v>3543.0996578706504</v>
      </c>
      <c r="AB129" s="8">
        <v>3477.9129173980887</v>
      </c>
      <c r="AC129" s="8">
        <v>3423.8976548924156</v>
      </c>
      <c r="AD129" s="8">
        <v>3369.882392386743</v>
      </c>
      <c r="AE129" s="8">
        <v>3315.8671298810705</v>
      </c>
      <c r="AF129" s="8">
        <v>3261.8518673753983</v>
      </c>
      <c r="AG129" s="8">
        <v>3207.8366048697258</v>
      </c>
      <c r="AH129" s="8">
        <v>3151.3389999224041</v>
      </c>
      <c r="AI129" s="8">
        <v>3094.8413949750825</v>
      </c>
      <c r="AJ129" s="8">
        <v>3038.3437900277613</v>
      </c>
      <c r="AK129" s="8">
        <v>2981.8461850804397</v>
      </c>
      <c r="AL129" s="8">
        <v>2925.348580133118</v>
      </c>
      <c r="AM129" s="8">
        <v>2857.4347853756503</v>
      </c>
      <c r="AN129" s="8">
        <v>2789.5209906181835</v>
      </c>
      <c r="AO129" s="8">
        <v>2721.6071958607158</v>
      </c>
      <c r="AP129" s="8">
        <v>2653.693401103249</v>
      </c>
      <c r="AQ129" s="8">
        <v>2585.7796063457813</v>
      </c>
      <c r="AR129" s="8">
        <v>2542.9481103960152</v>
      </c>
      <c r="AS129" s="8">
        <v>2500.1166144462481</v>
      </c>
      <c r="AT129" s="8">
        <v>2457.285118496482</v>
      </c>
      <c r="AU129" s="8">
        <v>2414.4536225467159</v>
      </c>
      <c r="AV129" s="8">
        <v>2371.6221265969493</v>
      </c>
      <c r="AW129" s="8">
        <v>2332.1711823361566</v>
      </c>
      <c r="AX129" s="8">
        <v>2292.7202380753638</v>
      </c>
      <c r="AY129" s="8">
        <v>2253.269293814571</v>
      </c>
      <c r="AZ129" s="8">
        <v>2213.8183495537783</v>
      </c>
      <c r="BA129" s="8">
        <v>2174.367405292985</v>
      </c>
      <c r="BB129" s="102" t="s">
        <v>3</v>
      </c>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row>
    <row r="130" spans="2:80" x14ac:dyDescent="0.2">
      <c r="B130" s="101" t="s">
        <v>182</v>
      </c>
      <c r="C130" s="8">
        <v>298.01012888387208</v>
      </c>
      <c r="D130" s="8">
        <v>320.50720307883927</v>
      </c>
      <c r="E130" s="8">
        <v>343.00427727380651</v>
      </c>
      <c r="F130" s="8">
        <v>365.50135146877375</v>
      </c>
      <c r="G130" s="8">
        <v>387.99842566374099</v>
      </c>
      <c r="H130" s="8">
        <v>410.49549985870817</v>
      </c>
      <c r="I130" s="8">
        <v>390.44704467903301</v>
      </c>
      <c r="J130" s="8">
        <v>370.3985894993578</v>
      </c>
      <c r="K130" s="8">
        <v>350.35013431968258</v>
      </c>
      <c r="L130" s="8">
        <v>330.30167914000737</v>
      </c>
      <c r="M130" s="8">
        <v>310.25322396033221</v>
      </c>
      <c r="N130" s="8">
        <v>309.7245113929971</v>
      </c>
      <c r="O130" s="8">
        <v>309.19579882566205</v>
      </c>
      <c r="P130" s="8">
        <v>308.66708625832695</v>
      </c>
      <c r="Q130" s="8">
        <v>308.1383736909919</v>
      </c>
      <c r="R130" s="8">
        <v>307.60966112365679</v>
      </c>
      <c r="S130" s="8">
        <v>304.01337925590821</v>
      </c>
      <c r="T130" s="8">
        <v>300.41709738815968</v>
      </c>
      <c r="U130" s="8">
        <v>296.82081552041109</v>
      </c>
      <c r="V130" s="8">
        <v>293.22453365266256</v>
      </c>
      <c r="W130" s="8">
        <v>289.62825178491397</v>
      </c>
      <c r="X130" s="8">
        <v>283.23625680051748</v>
      </c>
      <c r="Y130" s="8">
        <v>276.84426181612105</v>
      </c>
      <c r="Z130" s="8">
        <v>270.4522668317245</v>
      </c>
      <c r="AA130" s="8">
        <v>264.06027184732801</v>
      </c>
      <c r="AB130" s="8">
        <v>257.66827686293152</v>
      </c>
      <c r="AC130" s="8">
        <v>241.42880746406709</v>
      </c>
      <c r="AD130" s="8">
        <v>225.18933806520261</v>
      </c>
      <c r="AE130" s="8">
        <v>208.94986866633815</v>
      </c>
      <c r="AF130" s="8">
        <v>192.71039926747366</v>
      </c>
      <c r="AG130" s="8">
        <v>176.4709298686092</v>
      </c>
      <c r="AH130" s="8">
        <v>162.70135281533169</v>
      </c>
      <c r="AI130" s="8">
        <v>148.93177576205417</v>
      </c>
      <c r="AJ130" s="8">
        <v>135.16219870877666</v>
      </c>
      <c r="AK130" s="8">
        <v>121.39262165549916</v>
      </c>
      <c r="AL130" s="8">
        <v>107.62304460222163</v>
      </c>
      <c r="AM130" s="8">
        <v>87.740942099013211</v>
      </c>
      <c r="AN130" s="8">
        <v>67.858839595804767</v>
      </c>
      <c r="AO130" s="8">
        <v>47.976737092596338</v>
      </c>
      <c r="AP130" s="8">
        <v>28.094634589387908</v>
      </c>
      <c r="AQ130" s="8">
        <v>8.2125320861794862</v>
      </c>
      <c r="AR130" s="8">
        <v>6.6595392712643413</v>
      </c>
      <c r="AS130" s="8">
        <v>5.1065464563492</v>
      </c>
      <c r="AT130" s="8">
        <v>3.5535536414340534</v>
      </c>
      <c r="AU130" s="8">
        <v>2.0005608265189103</v>
      </c>
      <c r="AV130" s="8">
        <v>0.44756801160376725</v>
      </c>
      <c r="AW130" s="8">
        <v>0.44585039617365396</v>
      </c>
      <c r="AX130" s="8">
        <v>0.44413278074353801</v>
      </c>
      <c r="AY130" s="8">
        <v>0.44241516531342473</v>
      </c>
      <c r="AZ130" s="8">
        <v>0.44069754988330967</v>
      </c>
      <c r="BA130" s="8">
        <v>0.4389799344531955</v>
      </c>
      <c r="BB130" s="102" t="s">
        <v>3</v>
      </c>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row>
    <row r="131" spans="2:80" x14ac:dyDescent="0.2">
      <c r="B131" s="101" t="s">
        <v>165</v>
      </c>
      <c r="C131" s="8">
        <v>2675.7654277586544</v>
      </c>
      <c r="D131" s="8">
        <v>2737.7052060729866</v>
      </c>
      <c r="E131" s="8">
        <v>2799.6449843873193</v>
      </c>
      <c r="F131" s="8">
        <v>2861.5847627016519</v>
      </c>
      <c r="G131" s="8">
        <v>2923.5245410159841</v>
      </c>
      <c r="H131" s="8">
        <v>2985.4643193303164</v>
      </c>
      <c r="I131" s="8">
        <v>2958.4611002933611</v>
      </c>
      <c r="J131" s="8">
        <v>2931.4578812564055</v>
      </c>
      <c r="K131" s="8">
        <v>2904.4546622194503</v>
      </c>
      <c r="L131" s="8">
        <v>2877.4514431824946</v>
      </c>
      <c r="M131" s="8">
        <v>2850.4482241455394</v>
      </c>
      <c r="N131" s="8">
        <v>2804.5666481244716</v>
      </c>
      <c r="O131" s="8">
        <v>2758.6850721034043</v>
      </c>
      <c r="P131" s="8">
        <v>2712.8034960823366</v>
      </c>
      <c r="Q131" s="8">
        <v>2666.9219200612688</v>
      </c>
      <c r="R131" s="8">
        <v>2621.0403440402015</v>
      </c>
      <c r="S131" s="8">
        <v>2554.1379886272207</v>
      </c>
      <c r="T131" s="8">
        <v>2487.2356332142399</v>
      </c>
      <c r="U131" s="8">
        <v>2420.3332778012596</v>
      </c>
      <c r="V131" s="8">
        <v>2353.4309223882788</v>
      </c>
      <c r="W131" s="8">
        <v>2286.528566975298</v>
      </c>
      <c r="X131" s="8">
        <v>2225.4366897202613</v>
      </c>
      <c r="Y131" s="8">
        <v>2164.3448124652241</v>
      </c>
      <c r="Z131" s="8">
        <v>2103.2529352101874</v>
      </c>
      <c r="AA131" s="8">
        <v>2042.1610579551502</v>
      </c>
      <c r="AB131" s="8">
        <v>1981.0691807001135</v>
      </c>
      <c r="AC131" s="8">
        <v>1943.6769948609456</v>
      </c>
      <c r="AD131" s="8">
        <v>1906.2848090217772</v>
      </c>
      <c r="AE131" s="8">
        <v>1868.8926231826085</v>
      </c>
      <c r="AF131" s="8">
        <v>1831.5004373434406</v>
      </c>
      <c r="AG131" s="8">
        <v>1794.1082515042722</v>
      </c>
      <c r="AH131" s="8">
        <v>1754.7014862138492</v>
      </c>
      <c r="AI131" s="8">
        <v>1715.294720923426</v>
      </c>
      <c r="AJ131" s="8">
        <v>1675.887955633003</v>
      </c>
      <c r="AK131" s="8">
        <v>1636.4811903425798</v>
      </c>
      <c r="AL131" s="8">
        <v>1597.0744250521568</v>
      </c>
      <c r="AM131" s="8">
        <v>1555.8663840432739</v>
      </c>
      <c r="AN131" s="8">
        <v>1514.6583430343912</v>
      </c>
      <c r="AO131" s="8">
        <v>1473.4503020255086</v>
      </c>
      <c r="AP131" s="8">
        <v>1432.2422610166257</v>
      </c>
      <c r="AQ131" s="8">
        <v>1391.034220007743</v>
      </c>
      <c r="AR131" s="8">
        <v>1355.0007309342868</v>
      </c>
      <c r="AS131" s="8">
        <v>1318.9672418608311</v>
      </c>
      <c r="AT131" s="8">
        <v>1282.9337527873754</v>
      </c>
      <c r="AU131" s="8">
        <v>1246.9002637139192</v>
      </c>
      <c r="AV131" s="8">
        <v>1210.8667746404635</v>
      </c>
      <c r="AW131" s="8">
        <v>1173.3885076936654</v>
      </c>
      <c r="AX131" s="8">
        <v>1135.9102407468672</v>
      </c>
      <c r="AY131" s="8">
        <v>1098.431973800069</v>
      </c>
      <c r="AZ131" s="8">
        <v>1060.9537068532709</v>
      </c>
      <c r="BA131" s="8">
        <v>1023.4754399064728</v>
      </c>
      <c r="BB131" s="102" t="s">
        <v>3</v>
      </c>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row>
    <row r="132" spans="2:80" x14ac:dyDescent="0.2">
      <c r="B132" s="101" t="s">
        <v>167</v>
      </c>
      <c r="C132" s="8">
        <v>213.8313</v>
      </c>
      <c r="D132" s="8">
        <v>218.42582884000001</v>
      </c>
      <c r="E132" s="8">
        <v>223.02035768000002</v>
      </c>
      <c r="F132" s="8">
        <v>227.61488651999997</v>
      </c>
      <c r="G132" s="8">
        <v>232.20941535999998</v>
      </c>
      <c r="H132" s="8">
        <v>236.80394419999999</v>
      </c>
      <c r="I132" s="8">
        <v>232.26015535999997</v>
      </c>
      <c r="J132" s="8">
        <v>227.71636652000001</v>
      </c>
      <c r="K132" s="8">
        <v>223.17257767999999</v>
      </c>
      <c r="L132" s="8">
        <v>218.62878884000003</v>
      </c>
      <c r="M132" s="8">
        <v>214.08500000000001</v>
      </c>
      <c r="N132" s="8">
        <v>211.59736000000001</v>
      </c>
      <c r="O132" s="8">
        <v>209.10972000000001</v>
      </c>
      <c r="P132" s="8">
        <v>206.62208000000001</v>
      </c>
      <c r="Q132" s="8">
        <v>204.13444000000004</v>
      </c>
      <c r="R132" s="8">
        <v>201.64680000000004</v>
      </c>
      <c r="S132" s="8">
        <v>200.90484000000004</v>
      </c>
      <c r="T132" s="8">
        <v>200.16288000000003</v>
      </c>
      <c r="U132" s="8">
        <v>199.42092000000002</v>
      </c>
      <c r="V132" s="8">
        <v>198.67896000000002</v>
      </c>
      <c r="W132" s="8">
        <v>197.93700000000001</v>
      </c>
      <c r="X132" s="8">
        <v>197.53888000000001</v>
      </c>
      <c r="Y132" s="8">
        <v>197.14076000000003</v>
      </c>
      <c r="Z132" s="8">
        <v>196.74264000000002</v>
      </c>
      <c r="AA132" s="8">
        <v>196.34452000000005</v>
      </c>
      <c r="AB132" s="8">
        <v>195.94640000000004</v>
      </c>
      <c r="AC132" s="8">
        <v>194.59808000000004</v>
      </c>
      <c r="AD132" s="8">
        <v>193.24976000000004</v>
      </c>
      <c r="AE132" s="8">
        <v>191.90144000000001</v>
      </c>
      <c r="AF132" s="8">
        <v>190.55312000000001</v>
      </c>
      <c r="AG132" s="8">
        <v>189.20480000000001</v>
      </c>
      <c r="AH132" s="8">
        <v>186.20147999999998</v>
      </c>
      <c r="AI132" s="8">
        <v>183.19816</v>
      </c>
      <c r="AJ132" s="8">
        <v>180.19484</v>
      </c>
      <c r="AK132" s="8">
        <v>177.19152</v>
      </c>
      <c r="AL132" s="8">
        <v>174.18819999999999</v>
      </c>
      <c r="AM132" s="8">
        <v>171.69067999999999</v>
      </c>
      <c r="AN132" s="8">
        <v>169.19315999999998</v>
      </c>
      <c r="AO132" s="8">
        <v>166.69564</v>
      </c>
      <c r="AP132" s="8">
        <v>164.19812000000002</v>
      </c>
      <c r="AQ132" s="8">
        <v>161.70060000000001</v>
      </c>
      <c r="AR132" s="8">
        <v>158.25599999999997</v>
      </c>
      <c r="AS132" s="8">
        <v>154.81139999999999</v>
      </c>
      <c r="AT132" s="8">
        <v>151.36680000000001</v>
      </c>
      <c r="AU132" s="8">
        <v>147.9222</v>
      </c>
      <c r="AV132" s="8">
        <v>144.4776</v>
      </c>
      <c r="AW132" s="8">
        <v>140.05781999999999</v>
      </c>
      <c r="AX132" s="8">
        <v>135.63803999999999</v>
      </c>
      <c r="AY132" s="8">
        <v>131.21825999999999</v>
      </c>
      <c r="AZ132" s="8">
        <v>126.79848000000001</v>
      </c>
      <c r="BA132" s="8">
        <v>122.37869999999999</v>
      </c>
      <c r="BB132" s="102" t="s">
        <v>3</v>
      </c>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row>
    <row r="133" spans="2:80" x14ac:dyDescent="0.2">
      <c r="B133" s="101" t="s">
        <v>166</v>
      </c>
      <c r="C133" s="8">
        <v>158.27940000000001</v>
      </c>
      <c r="D133" s="8">
        <v>161.23017152</v>
      </c>
      <c r="E133" s="8">
        <v>164.18094304000002</v>
      </c>
      <c r="F133" s="8">
        <v>167.13171456000001</v>
      </c>
      <c r="G133" s="8">
        <v>170.08248608000002</v>
      </c>
      <c r="H133" s="8">
        <v>173.03325760000001</v>
      </c>
      <c r="I133" s="8">
        <v>170.00850608000002</v>
      </c>
      <c r="J133" s="8">
        <v>166.98375455999999</v>
      </c>
      <c r="K133" s="8">
        <v>163.95900304000003</v>
      </c>
      <c r="L133" s="8">
        <v>160.93425152</v>
      </c>
      <c r="M133" s="8">
        <v>157.90950000000001</v>
      </c>
      <c r="N133" s="8">
        <v>157.64496000000003</v>
      </c>
      <c r="O133" s="8">
        <v>157.38042000000002</v>
      </c>
      <c r="P133" s="8">
        <v>157.11588</v>
      </c>
      <c r="Q133" s="8">
        <v>156.85134000000002</v>
      </c>
      <c r="R133" s="8">
        <v>156.58680000000001</v>
      </c>
      <c r="S133" s="8">
        <v>156.09438000000003</v>
      </c>
      <c r="T133" s="8">
        <v>155.60195999999999</v>
      </c>
      <c r="U133" s="8">
        <v>155.10954000000001</v>
      </c>
      <c r="V133" s="8">
        <v>154.61712</v>
      </c>
      <c r="W133" s="8">
        <v>154.12469999999999</v>
      </c>
      <c r="X133" s="8">
        <v>153.00700000000001</v>
      </c>
      <c r="Y133" s="8">
        <v>151.88929999999999</v>
      </c>
      <c r="Z133" s="8">
        <v>150.77160000000001</v>
      </c>
      <c r="AA133" s="8">
        <v>149.65389999999999</v>
      </c>
      <c r="AB133" s="8">
        <v>148.53620000000001</v>
      </c>
      <c r="AC133" s="8">
        <v>146.74322000000001</v>
      </c>
      <c r="AD133" s="8">
        <v>144.95023999999998</v>
      </c>
      <c r="AE133" s="8">
        <v>143.15726000000001</v>
      </c>
      <c r="AF133" s="8">
        <v>141.36428000000001</v>
      </c>
      <c r="AG133" s="8">
        <v>139.57130000000001</v>
      </c>
      <c r="AH133" s="8">
        <v>137.01560000000001</v>
      </c>
      <c r="AI133" s="8">
        <v>134.4599</v>
      </c>
      <c r="AJ133" s="8">
        <v>131.90419999999997</v>
      </c>
      <c r="AK133" s="8">
        <v>129.3485</v>
      </c>
      <c r="AL133" s="8">
        <v>126.79279999999999</v>
      </c>
      <c r="AM133" s="8">
        <v>123.35995999999999</v>
      </c>
      <c r="AN133" s="8">
        <v>119.92711999999999</v>
      </c>
      <c r="AO133" s="8">
        <v>116.49427999999999</v>
      </c>
      <c r="AP133" s="8">
        <v>113.06144</v>
      </c>
      <c r="AQ133" s="8">
        <v>109.62860000000001</v>
      </c>
      <c r="AR133" s="8">
        <v>105.88579799999999</v>
      </c>
      <c r="AS133" s="8">
        <v>102.142996</v>
      </c>
      <c r="AT133" s="8">
        <v>98.400194000000013</v>
      </c>
      <c r="AU133" s="8">
        <v>94.657392000000002</v>
      </c>
      <c r="AV133" s="8">
        <v>90.914590000000004</v>
      </c>
      <c r="AW133" s="8">
        <v>86.989074000000002</v>
      </c>
      <c r="AX133" s="8">
        <v>83.063558</v>
      </c>
      <c r="AY133" s="8">
        <v>79.138041999999999</v>
      </c>
      <c r="AZ133" s="8">
        <v>75.212525999999997</v>
      </c>
      <c r="BA133" s="8">
        <v>71.287009999999995</v>
      </c>
      <c r="BB133" s="102" t="s">
        <v>3</v>
      </c>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row>
    <row r="134" spans="2:80" x14ac:dyDescent="0.2">
      <c r="B134" s="101" t="s">
        <v>168</v>
      </c>
      <c r="C134" s="8">
        <v>372.11075605166991</v>
      </c>
      <c r="D134" s="8">
        <v>379.65604519268453</v>
      </c>
      <c r="E134" s="8">
        <v>387.20133433369915</v>
      </c>
      <c r="F134" s="8">
        <v>394.74662347471383</v>
      </c>
      <c r="G134" s="8">
        <v>402.29191261572839</v>
      </c>
      <c r="H134" s="8">
        <v>409.83720175674307</v>
      </c>
      <c r="I134" s="8">
        <v>402.26865292864102</v>
      </c>
      <c r="J134" s="8">
        <v>394.70010410053897</v>
      </c>
      <c r="K134" s="8">
        <v>387.13155527243697</v>
      </c>
      <c r="L134" s="8">
        <v>379.56300644433492</v>
      </c>
      <c r="M134" s="8">
        <v>371.99445761623292</v>
      </c>
      <c r="N134" s="8">
        <v>369.24228487654631</v>
      </c>
      <c r="O134" s="8">
        <v>366.49011213685969</v>
      </c>
      <c r="P134" s="8">
        <v>363.73793939717319</v>
      </c>
      <c r="Q134" s="8">
        <v>360.98576665748658</v>
      </c>
      <c r="R134" s="8">
        <v>358.23359391780002</v>
      </c>
      <c r="S134" s="8">
        <v>356.99920893194655</v>
      </c>
      <c r="T134" s="8">
        <v>355.76482394609309</v>
      </c>
      <c r="U134" s="8">
        <v>354.53043896023974</v>
      </c>
      <c r="V134" s="8">
        <v>353.29605397438627</v>
      </c>
      <c r="W134" s="8">
        <v>352.0616689885328</v>
      </c>
      <c r="X134" s="8">
        <v>350.54585989242184</v>
      </c>
      <c r="Y134" s="8">
        <v>349.03005079631089</v>
      </c>
      <c r="Z134" s="8">
        <v>347.51424170019993</v>
      </c>
      <c r="AA134" s="8">
        <v>345.99843260408898</v>
      </c>
      <c r="AB134" s="8">
        <v>344.48262350797796</v>
      </c>
      <c r="AC134" s="8">
        <v>341.34131904276035</v>
      </c>
      <c r="AD134" s="8">
        <v>338.20001457754267</v>
      </c>
      <c r="AE134" s="8">
        <v>335.05871011232495</v>
      </c>
      <c r="AF134" s="8">
        <v>331.91740564710727</v>
      </c>
      <c r="AG134" s="8">
        <v>328.77610118188966</v>
      </c>
      <c r="AH134" s="8">
        <v>323.21709558673211</v>
      </c>
      <c r="AI134" s="8">
        <v>317.65808999157463</v>
      </c>
      <c r="AJ134" s="8">
        <v>312.09908439641708</v>
      </c>
      <c r="AK134" s="8">
        <v>306.5400788012596</v>
      </c>
      <c r="AL134" s="8">
        <v>300.98107320610205</v>
      </c>
      <c r="AM134" s="8">
        <v>295.05070998960269</v>
      </c>
      <c r="AN134" s="8">
        <v>289.12034677310322</v>
      </c>
      <c r="AO134" s="8">
        <v>283.18998355660386</v>
      </c>
      <c r="AP134" s="8">
        <v>277.25962034010439</v>
      </c>
      <c r="AQ134" s="8">
        <v>271.32925712360498</v>
      </c>
      <c r="AR134" s="8">
        <v>264.14185064945679</v>
      </c>
      <c r="AS134" s="8">
        <v>256.95444417530859</v>
      </c>
      <c r="AT134" s="8">
        <v>249.7670377011604</v>
      </c>
      <c r="AU134" s="8">
        <v>242.57963122701221</v>
      </c>
      <c r="AV134" s="8">
        <v>235.392224752864</v>
      </c>
      <c r="AW134" s="8">
        <v>227.04692381999268</v>
      </c>
      <c r="AX134" s="8">
        <v>218.70162288712137</v>
      </c>
      <c r="AY134" s="8">
        <v>210.35632195425006</v>
      </c>
      <c r="AZ134" s="8">
        <v>202.01102102137875</v>
      </c>
      <c r="BA134" s="8">
        <v>193.66572008850744</v>
      </c>
      <c r="BB134" s="102" t="s">
        <v>3</v>
      </c>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row>
    <row r="135" spans="2:80" x14ac:dyDescent="0.2">
      <c r="B135" s="101" t="s">
        <v>169</v>
      </c>
      <c r="C135" s="8">
        <v>13.792873779528733</v>
      </c>
      <c r="D135" s="8">
        <v>14.000895234558897</v>
      </c>
      <c r="E135" s="8">
        <v>14.20891668958906</v>
      </c>
      <c r="F135" s="8">
        <v>14.416938144619223</v>
      </c>
      <c r="G135" s="8">
        <v>14.624959599649387</v>
      </c>
      <c r="H135" s="8">
        <v>14.83298105467955</v>
      </c>
      <c r="I135" s="8">
        <v>14.819036943442228</v>
      </c>
      <c r="J135" s="8">
        <v>14.805092832204892</v>
      </c>
      <c r="K135" s="8">
        <v>14.79114872096757</v>
      </c>
      <c r="L135" s="8">
        <v>14.777204609730234</v>
      </c>
      <c r="M135" s="8">
        <v>14.763260498492912</v>
      </c>
      <c r="N135" s="8">
        <v>14.694280447784067</v>
      </c>
      <c r="O135" s="8">
        <v>14.625300397075222</v>
      </c>
      <c r="P135" s="8">
        <v>14.556320346366405</v>
      </c>
      <c r="Q135" s="8">
        <v>14.48734029565756</v>
      </c>
      <c r="R135" s="8">
        <v>14.418360244948715</v>
      </c>
      <c r="S135" s="8">
        <v>14.305000781550007</v>
      </c>
      <c r="T135" s="8">
        <v>14.191641318151298</v>
      </c>
      <c r="U135" s="8">
        <v>14.078281854752589</v>
      </c>
      <c r="V135" s="8">
        <v>13.96492239135388</v>
      </c>
      <c r="W135" s="8">
        <v>13.851562927955172</v>
      </c>
      <c r="X135" s="8">
        <v>13.666907698907963</v>
      </c>
      <c r="Y135" s="8">
        <v>13.482252469860761</v>
      </c>
      <c r="Z135" s="8">
        <v>13.297597240813538</v>
      </c>
      <c r="AA135" s="8">
        <v>13.112942011766336</v>
      </c>
      <c r="AB135" s="8">
        <v>12.928286782719127</v>
      </c>
      <c r="AC135" s="8">
        <v>12.523296893973566</v>
      </c>
      <c r="AD135" s="8">
        <v>12.118307005227983</v>
      </c>
      <c r="AE135" s="8">
        <v>11.713317116482422</v>
      </c>
      <c r="AF135" s="8">
        <v>11.308327227736847</v>
      </c>
      <c r="AG135" s="8">
        <v>10.903337338991278</v>
      </c>
      <c r="AH135" s="8">
        <v>10.285493750266056</v>
      </c>
      <c r="AI135" s="8">
        <v>9.667650161540827</v>
      </c>
      <c r="AJ135" s="8">
        <v>9.0498065728155979</v>
      </c>
      <c r="AK135" s="8">
        <v>8.4319629840903687</v>
      </c>
      <c r="AL135" s="8">
        <v>7.8141193953651431</v>
      </c>
      <c r="AM135" s="8">
        <v>6.9307838768161396</v>
      </c>
      <c r="AN135" s="8">
        <v>6.0474483582671361</v>
      </c>
      <c r="AO135" s="8">
        <v>5.1641128397181291</v>
      </c>
      <c r="AP135" s="8">
        <v>4.2807773211691291</v>
      </c>
      <c r="AQ135" s="8">
        <v>3.3974418026201256</v>
      </c>
      <c r="AR135" s="8">
        <v>3.2688007687034037</v>
      </c>
      <c r="AS135" s="8">
        <v>3.1401597347866819</v>
      </c>
      <c r="AT135" s="8">
        <v>3.0115187008699635</v>
      </c>
      <c r="AU135" s="8">
        <v>2.8828776669532381</v>
      </c>
      <c r="AV135" s="8">
        <v>2.7542366330365162</v>
      </c>
      <c r="AW135" s="8">
        <v>2.5673228707152571</v>
      </c>
      <c r="AX135" s="8">
        <v>2.380409108393998</v>
      </c>
      <c r="AY135" s="8">
        <v>2.1934953460727424</v>
      </c>
      <c r="AZ135" s="8">
        <v>2.0065815837514851</v>
      </c>
      <c r="BA135" s="8">
        <v>1.819667821430226</v>
      </c>
      <c r="BB135" s="102" t="s">
        <v>3</v>
      </c>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row>
    <row r="136" spans="2:80" x14ac:dyDescent="0.2">
      <c r="B136" s="101" t="s">
        <v>170</v>
      </c>
      <c r="C136" s="8">
        <v>0</v>
      </c>
      <c r="D136" s="8">
        <v>0</v>
      </c>
      <c r="E136" s="8">
        <v>0</v>
      </c>
      <c r="F136" s="8">
        <v>0</v>
      </c>
      <c r="G136" s="8">
        <v>0</v>
      </c>
      <c r="H136" s="8">
        <v>0</v>
      </c>
      <c r="I136" s="8">
        <v>0</v>
      </c>
      <c r="J136" s="8">
        <v>0</v>
      </c>
      <c r="K136" s="8">
        <v>0</v>
      </c>
      <c r="L136" s="8">
        <v>0</v>
      </c>
      <c r="M136" s="8">
        <v>0</v>
      </c>
      <c r="N136" s="8">
        <v>0</v>
      </c>
      <c r="O136" s="8">
        <v>0</v>
      </c>
      <c r="P136" s="8">
        <v>0</v>
      </c>
      <c r="Q136" s="8">
        <v>0</v>
      </c>
      <c r="R136" s="8">
        <v>0</v>
      </c>
      <c r="S136" s="8">
        <v>0</v>
      </c>
      <c r="T136" s="8">
        <v>0</v>
      </c>
      <c r="U136" s="8">
        <v>0</v>
      </c>
      <c r="V136" s="8">
        <v>0</v>
      </c>
      <c r="W136" s="8">
        <v>0</v>
      </c>
      <c r="X136" s="8">
        <v>0</v>
      </c>
      <c r="Y136" s="8">
        <v>0</v>
      </c>
      <c r="Z136" s="8">
        <v>0</v>
      </c>
      <c r="AA136" s="8">
        <v>0</v>
      </c>
      <c r="AB136" s="8">
        <v>0</v>
      </c>
      <c r="AC136" s="8">
        <v>0</v>
      </c>
      <c r="AD136" s="8">
        <v>0</v>
      </c>
      <c r="AE136" s="8">
        <v>0</v>
      </c>
      <c r="AF136" s="8">
        <v>0</v>
      </c>
      <c r="AG136" s="8">
        <v>0</v>
      </c>
      <c r="AH136" s="8">
        <v>0</v>
      </c>
      <c r="AI136" s="8">
        <v>0</v>
      </c>
      <c r="AJ136" s="8">
        <v>0</v>
      </c>
      <c r="AK136" s="8">
        <v>0</v>
      </c>
      <c r="AL136" s="8">
        <v>0</v>
      </c>
      <c r="AM136" s="8">
        <v>0</v>
      </c>
      <c r="AN136" s="8">
        <v>0</v>
      </c>
      <c r="AO136" s="8">
        <v>0</v>
      </c>
      <c r="AP136" s="8">
        <v>0</v>
      </c>
      <c r="AQ136" s="8">
        <v>0</v>
      </c>
      <c r="AR136" s="8">
        <v>0</v>
      </c>
      <c r="AS136" s="8">
        <v>0</v>
      </c>
      <c r="AT136" s="8">
        <v>0</v>
      </c>
      <c r="AU136" s="8">
        <v>0</v>
      </c>
      <c r="AV136" s="8">
        <v>0</v>
      </c>
      <c r="AW136" s="8">
        <v>0</v>
      </c>
      <c r="AX136" s="8">
        <v>0</v>
      </c>
      <c r="AY136" s="8">
        <v>0</v>
      </c>
      <c r="AZ136" s="8">
        <v>0</v>
      </c>
      <c r="BA136" s="8">
        <v>0</v>
      </c>
      <c r="BB136" s="102" t="s">
        <v>3</v>
      </c>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row>
    <row r="137" spans="2:80" x14ac:dyDescent="0.2">
      <c r="B137" s="101" t="s">
        <v>171</v>
      </c>
      <c r="C137" s="8">
        <v>13.79287377952874</v>
      </c>
      <c r="D137" s="8">
        <v>14.000895234558904</v>
      </c>
      <c r="E137" s="8">
        <v>14.208916689589067</v>
      </c>
      <c r="F137" s="8">
        <v>14.416938144619223</v>
      </c>
      <c r="G137" s="8">
        <v>14.624959599649387</v>
      </c>
      <c r="H137" s="8">
        <v>14.83298105467955</v>
      </c>
      <c r="I137" s="8">
        <v>14.819036943442228</v>
      </c>
      <c r="J137" s="8">
        <v>14.805092832204899</v>
      </c>
      <c r="K137" s="8">
        <v>14.791148720967577</v>
      </c>
      <c r="L137" s="8">
        <v>14.777204609730248</v>
      </c>
      <c r="M137" s="8">
        <v>14.763260498492919</v>
      </c>
      <c r="N137" s="8">
        <v>14.694280447784081</v>
      </c>
      <c r="O137" s="8">
        <v>14.625300397075236</v>
      </c>
      <c r="P137" s="8">
        <v>14.556320346366398</v>
      </c>
      <c r="Q137" s="8">
        <v>14.487340295657553</v>
      </c>
      <c r="R137" s="8">
        <v>14.418360244948715</v>
      </c>
      <c r="S137" s="8">
        <v>14.305000781550007</v>
      </c>
      <c r="T137" s="8">
        <v>14.191641318151298</v>
      </c>
      <c r="U137" s="8">
        <v>14.078281854752589</v>
      </c>
      <c r="V137" s="8">
        <v>13.96492239135388</v>
      </c>
      <c r="W137" s="8">
        <v>13.851562927955172</v>
      </c>
      <c r="X137" s="8">
        <v>13.66690769890797</v>
      </c>
      <c r="Y137" s="8">
        <v>13.482252469860754</v>
      </c>
      <c r="Z137" s="8">
        <v>13.297597240813552</v>
      </c>
      <c r="AA137" s="8">
        <v>13.112942011766336</v>
      </c>
      <c r="AB137" s="8">
        <v>12.928286782719134</v>
      </c>
      <c r="AC137" s="8">
        <v>12.523296893973566</v>
      </c>
      <c r="AD137" s="8">
        <v>12.11830700522799</v>
      </c>
      <c r="AE137" s="8">
        <v>11.713317116482422</v>
      </c>
      <c r="AF137" s="8">
        <v>11.30832722773685</v>
      </c>
      <c r="AG137" s="8">
        <v>10.903337338991278</v>
      </c>
      <c r="AH137" s="8">
        <v>10.285493750266049</v>
      </c>
      <c r="AI137" s="8">
        <v>9.6676501615408199</v>
      </c>
      <c r="AJ137" s="8">
        <v>9.0498065728155908</v>
      </c>
      <c r="AK137" s="8">
        <v>8.4319629840903723</v>
      </c>
      <c r="AL137" s="8">
        <v>7.8141193953651431</v>
      </c>
      <c r="AM137" s="8">
        <v>6.9307838768161396</v>
      </c>
      <c r="AN137" s="8">
        <v>6.0474483582671361</v>
      </c>
      <c r="AO137" s="8">
        <v>5.1641128397181326</v>
      </c>
      <c r="AP137" s="8">
        <v>4.2807773211691291</v>
      </c>
      <c r="AQ137" s="8">
        <v>3.3974418026201256</v>
      </c>
      <c r="AR137" s="8">
        <v>3.268800768703402</v>
      </c>
      <c r="AS137" s="8">
        <v>3.1401597347866819</v>
      </c>
      <c r="AT137" s="8">
        <v>3.01151870086996</v>
      </c>
      <c r="AU137" s="8">
        <v>2.8828776669532381</v>
      </c>
      <c r="AV137" s="8">
        <v>2.7542366330365162</v>
      </c>
      <c r="AW137" s="8">
        <v>2.5673228707152589</v>
      </c>
      <c r="AX137" s="8">
        <v>2.3804091083939998</v>
      </c>
      <c r="AY137" s="8">
        <v>2.1934953460727415</v>
      </c>
      <c r="AZ137" s="8">
        <v>2.0065815837514842</v>
      </c>
      <c r="BA137" s="8">
        <v>1.819667821430226</v>
      </c>
      <c r="BB137" s="102" t="s">
        <v>3</v>
      </c>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row>
    <row r="138" spans="2:80" x14ac:dyDescent="0.2">
      <c r="B138" s="101" t="s">
        <v>107</v>
      </c>
      <c r="C138" s="8">
        <v>737.35714051084801</v>
      </c>
      <c r="D138" s="8">
        <v>752.61132191937418</v>
      </c>
      <c r="E138" s="8">
        <v>767.86550332790023</v>
      </c>
      <c r="F138" s="8">
        <v>783.11968473642639</v>
      </c>
      <c r="G138" s="8">
        <v>798.37386614495244</v>
      </c>
      <c r="H138" s="8">
        <v>813.62804755347861</v>
      </c>
      <c r="I138" s="8">
        <v>815.20404127910865</v>
      </c>
      <c r="J138" s="8">
        <v>816.78003500473869</v>
      </c>
      <c r="K138" s="8">
        <v>818.35602873036873</v>
      </c>
      <c r="L138" s="8">
        <v>819.93202245599878</v>
      </c>
      <c r="M138" s="8">
        <v>821.50801618162882</v>
      </c>
      <c r="N138" s="8">
        <v>825.52222087956545</v>
      </c>
      <c r="O138" s="8">
        <v>829.53642557750197</v>
      </c>
      <c r="P138" s="8">
        <v>833.55063027543861</v>
      </c>
      <c r="Q138" s="8">
        <v>837.56483497337513</v>
      </c>
      <c r="R138" s="8">
        <v>841.57903967131165</v>
      </c>
      <c r="S138" s="8">
        <v>845.61854555388902</v>
      </c>
      <c r="T138" s="8">
        <v>849.65805143646639</v>
      </c>
      <c r="U138" s="8">
        <v>853.69755731904377</v>
      </c>
      <c r="V138" s="8">
        <v>857.73706320162114</v>
      </c>
      <c r="W138" s="8">
        <v>861.7765690841984</v>
      </c>
      <c r="X138" s="8">
        <v>865.77416517622805</v>
      </c>
      <c r="Y138" s="8">
        <v>869.77176126825771</v>
      </c>
      <c r="Z138" s="8">
        <v>873.76935736028724</v>
      </c>
      <c r="AA138" s="8">
        <v>877.76695345231678</v>
      </c>
      <c r="AB138" s="8">
        <v>881.76454954434644</v>
      </c>
      <c r="AC138" s="8">
        <v>884.92723663066977</v>
      </c>
      <c r="AD138" s="8">
        <v>888.0899237169931</v>
      </c>
      <c r="AE138" s="8">
        <v>891.25261080331666</v>
      </c>
      <c r="AF138" s="8">
        <v>894.41529788963999</v>
      </c>
      <c r="AG138" s="8">
        <v>897.57798497596332</v>
      </c>
      <c r="AH138" s="8">
        <v>900.43357155622505</v>
      </c>
      <c r="AI138" s="8">
        <v>903.28915813648678</v>
      </c>
      <c r="AJ138" s="8">
        <v>906.14474471674862</v>
      </c>
      <c r="AK138" s="8">
        <v>909.00033129701035</v>
      </c>
      <c r="AL138" s="8">
        <v>911.85591787727208</v>
      </c>
      <c r="AM138" s="8">
        <v>911.84596536694448</v>
      </c>
      <c r="AN138" s="8">
        <v>911.83601285661689</v>
      </c>
      <c r="AO138" s="8">
        <v>911.8260603462893</v>
      </c>
      <c r="AP138" s="8">
        <v>911.81610783596159</v>
      </c>
      <c r="AQ138" s="8">
        <v>911.80615532563399</v>
      </c>
      <c r="AR138" s="8">
        <v>913.8771887723035</v>
      </c>
      <c r="AS138" s="8">
        <v>915.948222218973</v>
      </c>
      <c r="AT138" s="8">
        <v>918.0192556656425</v>
      </c>
      <c r="AU138" s="8">
        <v>920.09028911231201</v>
      </c>
      <c r="AV138" s="8">
        <v>922.16132255898151</v>
      </c>
      <c r="AW138" s="8">
        <v>928.7225775556094</v>
      </c>
      <c r="AX138" s="8">
        <v>935.28383255223753</v>
      </c>
      <c r="AY138" s="8">
        <v>941.84508754886542</v>
      </c>
      <c r="AZ138" s="8">
        <v>948.40634254549343</v>
      </c>
      <c r="BA138" s="8">
        <v>954.96759754212144</v>
      </c>
      <c r="BB138" s="102" t="s">
        <v>3</v>
      </c>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row>
    <row r="139" spans="2:80" x14ac:dyDescent="0.2">
      <c r="B139" s="101" t="s">
        <v>8</v>
      </c>
      <c r="C139" s="8">
        <v>2862.1807868983256</v>
      </c>
      <c r="D139" s="8">
        <v>2946.7965898778439</v>
      </c>
      <c r="E139" s="8">
        <v>3031.4123928573626</v>
      </c>
      <c r="F139" s="8">
        <v>3116.0281958368814</v>
      </c>
      <c r="G139" s="8">
        <v>3200.6439988164002</v>
      </c>
      <c r="H139" s="8">
        <v>3285.2598017959185</v>
      </c>
      <c r="I139" s="8">
        <v>3323.5752803673013</v>
      </c>
      <c r="J139" s="8">
        <v>3361.8907589386836</v>
      </c>
      <c r="K139" s="8">
        <v>3400.2062375100663</v>
      </c>
      <c r="L139" s="8">
        <v>3438.5217160814491</v>
      </c>
      <c r="M139" s="8">
        <v>3476.8371946528318</v>
      </c>
      <c r="N139" s="8">
        <v>3508.212299684159</v>
      </c>
      <c r="O139" s="8">
        <v>3539.5874047154853</v>
      </c>
      <c r="P139" s="8">
        <v>3570.9625097468124</v>
      </c>
      <c r="Q139" s="8">
        <v>3602.3376147781387</v>
      </c>
      <c r="R139" s="8">
        <v>3633.7127198094659</v>
      </c>
      <c r="S139" s="8">
        <v>3658.9530930348974</v>
      </c>
      <c r="T139" s="8">
        <v>3684.1934662603289</v>
      </c>
      <c r="U139" s="8">
        <v>3709.4338394857605</v>
      </c>
      <c r="V139" s="8">
        <v>3734.674212711192</v>
      </c>
      <c r="W139" s="8">
        <v>3759.9145859366236</v>
      </c>
      <c r="X139" s="8">
        <v>3761.5382434770936</v>
      </c>
      <c r="Y139" s="8">
        <v>3763.1619010175637</v>
      </c>
      <c r="Z139" s="8">
        <v>3764.7855585580337</v>
      </c>
      <c r="AA139" s="8">
        <v>3766.4092160985037</v>
      </c>
      <c r="AB139" s="8">
        <v>3768.0328736389738</v>
      </c>
      <c r="AC139" s="8">
        <v>3748.3469363911809</v>
      </c>
      <c r="AD139" s="8">
        <v>3728.6609991433879</v>
      </c>
      <c r="AE139" s="8">
        <v>3708.9750618955959</v>
      </c>
      <c r="AF139" s="8">
        <v>3689.2891246478034</v>
      </c>
      <c r="AG139" s="8">
        <v>3669.6031874000105</v>
      </c>
      <c r="AH139" s="8">
        <v>3649.1008166338347</v>
      </c>
      <c r="AI139" s="8">
        <v>3628.5984458676594</v>
      </c>
      <c r="AJ139" s="8">
        <v>3608.0960751014836</v>
      </c>
      <c r="AK139" s="8">
        <v>3587.5937043353083</v>
      </c>
      <c r="AL139" s="8">
        <v>3567.0913335691325</v>
      </c>
      <c r="AM139" s="8">
        <v>3548.0927577676889</v>
      </c>
      <c r="AN139" s="8">
        <v>3529.0941819662453</v>
      </c>
      <c r="AO139" s="8">
        <v>3510.0956061648017</v>
      </c>
      <c r="AP139" s="8">
        <v>3491.097030363358</v>
      </c>
      <c r="AQ139" s="8">
        <v>3472.0984545619144</v>
      </c>
      <c r="AR139" s="8">
        <v>3437.1029396259187</v>
      </c>
      <c r="AS139" s="8">
        <v>3402.1074246899234</v>
      </c>
      <c r="AT139" s="8">
        <v>3367.1119097539276</v>
      </c>
      <c r="AU139" s="8">
        <v>3332.1163948179328</v>
      </c>
      <c r="AV139" s="8">
        <v>3297.1208798819371</v>
      </c>
      <c r="AW139" s="8">
        <v>3249.9806337344839</v>
      </c>
      <c r="AX139" s="8">
        <v>3202.8403875870308</v>
      </c>
      <c r="AY139" s="8">
        <v>3155.7001414395777</v>
      </c>
      <c r="AZ139" s="8">
        <v>3108.5598952921246</v>
      </c>
      <c r="BA139" s="8">
        <v>3061.4196491446714</v>
      </c>
      <c r="BB139" s="102" t="s">
        <v>3</v>
      </c>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row>
    <row r="140" spans="2:80" x14ac:dyDescent="0.2">
      <c r="B140" s="101" t="s">
        <v>181</v>
      </c>
      <c r="C140" s="8">
        <v>0.97432858847296644</v>
      </c>
      <c r="D140" s="8">
        <v>1.047062461982087</v>
      </c>
      <c r="E140" s="8">
        <v>1.1197963354912075</v>
      </c>
      <c r="F140" s="8">
        <v>1.1925302090003282</v>
      </c>
      <c r="G140" s="8">
        <v>1.2652640825094486</v>
      </c>
      <c r="H140" s="8">
        <v>1.3379979560185693</v>
      </c>
      <c r="I140" s="8">
        <v>1.3070170426787804</v>
      </c>
      <c r="J140" s="8">
        <v>1.2760361293389915</v>
      </c>
      <c r="K140" s="8">
        <v>1.2450552159992023</v>
      </c>
      <c r="L140" s="8">
        <v>1.2140743026594134</v>
      </c>
      <c r="M140" s="8">
        <v>1.1830933893196245</v>
      </c>
      <c r="N140" s="8">
        <v>1.1554904955563359</v>
      </c>
      <c r="O140" s="8">
        <v>1.1278876017930468</v>
      </c>
      <c r="P140" s="8">
        <v>1.1002847080297582</v>
      </c>
      <c r="Q140" s="8">
        <v>1.0726818142664694</v>
      </c>
      <c r="R140" s="8">
        <v>1.0450789205031807</v>
      </c>
      <c r="S140" s="8">
        <v>1.0093269473967783</v>
      </c>
      <c r="T140" s="8">
        <v>0.9735749742903762</v>
      </c>
      <c r="U140" s="8">
        <v>0.93782300118397377</v>
      </c>
      <c r="V140" s="8">
        <v>0.90207102807757145</v>
      </c>
      <c r="W140" s="8">
        <v>0.86631905497116912</v>
      </c>
      <c r="X140" s="8">
        <v>0.83560548585034033</v>
      </c>
      <c r="Y140" s="8">
        <v>0.80489191672951144</v>
      </c>
      <c r="Z140" s="8">
        <v>0.77417834760868243</v>
      </c>
      <c r="AA140" s="8">
        <v>0.74346477848785364</v>
      </c>
      <c r="AB140" s="8">
        <v>0.71275120936702474</v>
      </c>
      <c r="AC140" s="8">
        <v>0.66230248252741286</v>
      </c>
      <c r="AD140" s="8">
        <v>0.61185375568780109</v>
      </c>
      <c r="AE140" s="8">
        <v>0.56140502884818932</v>
      </c>
      <c r="AF140" s="8">
        <v>0.51095630200857745</v>
      </c>
      <c r="AG140" s="8">
        <v>0.46050757516896568</v>
      </c>
      <c r="AH140" s="8">
        <v>0.4187108848315847</v>
      </c>
      <c r="AI140" s="8">
        <v>0.37691419449420371</v>
      </c>
      <c r="AJ140" s="8">
        <v>0.33511750415682273</v>
      </c>
      <c r="AK140" s="8">
        <v>0.29332081381944175</v>
      </c>
      <c r="AL140" s="8">
        <v>0.25152412348206077</v>
      </c>
      <c r="AM140" s="8">
        <v>0.20583581334489032</v>
      </c>
      <c r="AN140" s="8">
        <v>0.16014750320771987</v>
      </c>
      <c r="AO140" s="8">
        <v>0.11445919307054944</v>
      </c>
      <c r="AP140" s="8">
        <v>6.8770882933378991E-2</v>
      </c>
      <c r="AQ140" s="8">
        <v>2.3082572796208518E-2</v>
      </c>
      <c r="AR140" s="8">
        <v>1.8581810880972448E-2</v>
      </c>
      <c r="AS140" s="8">
        <v>1.4081048965736382E-2</v>
      </c>
      <c r="AT140" s="8">
        <v>9.5802870505003138E-3</v>
      </c>
      <c r="AU140" s="8">
        <v>5.0795251352642465E-3</v>
      </c>
      <c r="AV140" s="8">
        <v>5.7876322002817649E-4</v>
      </c>
      <c r="AW140" s="8">
        <v>5.6782004939864036E-4</v>
      </c>
      <c r="AX140" s="8">
        <v>5.5687687876910413E-4</v>
      </c>
      <c r="AY140" s="8">
        <v>5.45933708139568E-4</v>
      </c>
      <c r="AZ140" s="8">
        <v>5.3499053751003187E-4</v>
      </c>
      <c r="BA140" s="8">
        <v>5.2404736688049563E-4</v>
      </c>
      <c r="BB140" s="102" t="s">
        <v>3</v>
      </c>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row>
    <row r="141" spans="2:80" x14ac:dyDescent="0.2">
      <c r="B141" s="101" t="s">
        <v>172</v>
      </c>
      <c r="C141" s="8">
        <v>508.99404491967385</v>
      </c>
      <c r="D141" s="8">
        <v>514.34755529866311</v>
      </c>
      <c r="E141" s="8">
        <v>519.70106567765242</v>
      </c>
      <c r="F141" s="8">
        <v>525.05457605664151</v>
      </c>
      <c r="G141" s="8">
        <v>530.40808643563082</v>
      </c>
      <c r="H141" s="8">
        <v>535.76159681462002</v>
      </c>
      <c r="I141" s="8">
        <v>529.37241547422184</v>
      </c>
      <c r="J141" s="8">
        <v>522.98323413382377</v>
      </c>
      <c r="K141" s="8">
        <v>516.59405279342548</v>
      </c>
      <c r="L141" s="8">
        <v>510.20487145302729</v>
      </c>
      <c r="M141" s="8">
        <v>503.81569011262917</v>
      </c>
      <c r="N141" s="8">
        <v>502.84270293478562</v>
      </c>
      <c r="O141" s="8">
        <v>501.86971575694213</v>
      </c>
      <c r="P141" s="8">
        <v>500.89672857909864</v>
      </c>
      <c r="Q141" s="8">
        <v>499.92374140125514</v>
      </c>
      <c r="R141" s="8">
        <v>498.95075422341165</v>
      </c>
      <c r="S141" s="8">
        <v>499.69714503504144</v>
      </c>
      <c r="T141" s="8">
        <v>500.44353584667135</v>
      </c>
      <c r="U141" s="8">
        <v>501.1899266583012</v>
      </c>
      <c r="V141" s="8">
        <v>501.93631746993117</v>
      </c>
      <c r="W141" s="8">
        <v>502.68270828156096</v>
      </c>
      <c r="X141" s="8">
        <v>499.25513022252812</v>
      </c>
      <c r="Y141" s="8">
        <v>495.82755216349517</v>
      </c>
      <c r="Z141" s="8">
        <v>492.39997410446233</v>
      </c>
      <c r="AA141" s="8">
        <v>488.97239604542938</v>
      </c>
      <c r="AB141" s="8">
        <v>485.54481798639654</v>
      </c>
      <c r="AC141" s="8">
        <v>481.3691645144271</v>
      </c>
      <c r="AD141" s="8">
        <v>477.19351104245766</v>
      </c>
      <c r="AE141" s="8">
        <v>473.01785757048816</v>
      </c>
      <c r="AF141" s="8">
        <v>468.84220409851878</v>
      </c>
      <c r="AG141" s="8">
        <v>464.66655062654928</v>
      </c>
      <c r="AH141" s="8">
        <v>460.9459404391049</v>
      </c>
      <c r="AI141" s="8">
        <v>457.22533025166052</v>
      </c>
      <c r="AJ141" s="8">
        <v>453.50472006421614</v>
      </c>
      <c r="AK141" s="8">
        <v>449.78410987677177</v>
      </c>
      <c r="AL141" s="8">
        <v>446.06349968932739</v>
      </c>
      <c r="AM141" s="8">
        <v>442.45590033460923</v>
      </c>
      <c r="AN141" s="8">
        <v>438.84830097989112</v>
      </c>
      <c r="AO141" s="8">
        <v>435.24070162517302</v>
      </c>
      <c r="AP141" s="8">
        <v>431.63310227045491</v>
      </c>
      <c r="AQ141" s="8">
        <v>428.02550291573675</v>
      </c>
      <c r="AR141" s="8">
        <v>423.6215260282487</v>
      </c>
      <c r="AS141" s="8">
        <v>419.21754914076064</v>
      </c>
      <c r="AT141" s="8">
        <v>414.81357225327264</v>
      </c>
      <c r="AU141" s="8">
        <v>410.40959536578464</v>
      </c>
      <c r="AV141" s="8">
        <v>406.00561847829658</v>
      </c>
      <c r="AW141" s="8">
        <v>399.15664381569343</v>
      </c>
      <c r="AX141" s="8">
        <v>392.30766915309022</v>
      </c>
      <c r="AY141" s="8">
        <v>385.45869449048695</v>
      </c>
      <c r="AZ141" s="8">
        <v>378.60971982788374</v>
      </c>
      <c r="BA141" s="8">
        <v>371.76074516528058</v>
      </c>
      <c r="BB141" s="102" t="s">
        <v>3</v>
      </c>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row>
    <row r="142" spans="2:80" x14ac:dyDescent="0.2">
      <c r="B142" s="101" t="s">
        <v>180</v>
      </c>
      <c r="C142" s="8">
        <v>580.5329339189384</v>
      </c>
      <c r="D142" s="8">
        <v>612.36663688153089</v>
      </c>
      <c r="E142" s="8">
        <v>644.20033984412339</v>
      </c>
      <c r="F142" s="8">
        <v>676.03404280671577</v>
      </c>
      <c r="G142" s="8">
        <v>707.86774576930827</v>
      </c>
      <c r="H142" s="8">
        <v>739.70144873190077</v>
      </c>
      <c r="I142" s="8">
        <v>733.59459690677977</v>
      </c>
      <c r="J142" s="8">
        <v>727.48774508165866</v>
      </c>
      <c r="K142" s="8">
        <v>721.38089325653755</v>
      </c>
      <c r="L142" s="8">
        <v>715.27404143141655</v>
      </c>
      <c r="M142" s="8">
        <v>709.16718960629555</v>
      </c>
      <c r="N142" s="8">
        <v>709.27863619641278</v>
      </c>
      <c r="O142" s="8">
        <v>709.39008278653</v>
      </c>
      <c r="P142" s="8">
        <v>709.50152937664745</v>
      </c>
      <c r="Q142" s="8">
        <v>709.61297596676468</v>
      </c>
      <c r="R142" s="8">
        <v>709.72442255688202</v>
      </c>
      <c r="S142" s="8">
        <v>718.73519575286525</v>
      </c>
      <c r="T142" s="8">
        <v>727.74596894884849</v>
      </c>
      <c r="U142" s="8">
        <v>736.75674214483195</v>
      </c>
      <c r="V142" s="8">
        <v>745.76751534081518</v>
      </c>
      <c r="W142" s="8">
        <v>754.77828853679853</v>
      </c>
      <c r="X142" s="8">
        <v>754.0329730848332</v>
      </c>
      <c r="Y142" s="8">
        <v>753.28765763286799</v>
      </c>
      <c r="Z142" s="8">
        <v>752.54234218090266</v>
      </c>
      <c r="AA142" s="8">
        <v>751.79702672893745</v>
      </c>
      <c r="AB142" s="8">
        <v>751.05171127697213</v>
      </c>
      <c r="AC142" s="8">
        <v>740.56444202829493</v>
      </c>
      <c r="AD142" s="8">
        <v>730.07717277961774</v>
      </c>
      <c r="AE142" s="8">
        <v>719.58990353094055</v>
      </c>
      <c r="AF142" s="8">
        <v>709.10263428226335</v>
      </c>
      <c r="AG142" s="8">
        <v>698.61536503358616</v>
      </c>
      <c r="AH142" s="8">
        <v>686.87796149797634</v>
      </c>
      <c r="AI142" s="8">
        <v>675.14055796236664</v>
      </c>
      <c r="AJ142" s="8">
        <v>663.40315442675683</v>
      </c>
      <c r="AK142" s="8">
        <v>651.66575089114701</v>
      </c>
      <c r="AL142" s="8">
        <v>639.9283473555372</v>
      </c>
      <c r="AM142" s="8">
        <v>631.70084636840716</v>
      </c>
      <c r="AN142" s="8">
        <v>623.473345381277</v>
      </c>
      <c r="AO142" s="8">
        <v>615.24584439414707</v>
      </c>
      <c r="AP142" s="8">
        <v>607.01834340701703</v>
      </c>
      <c r="AQ142" s="8">
        <v>598.79084241988687</v>
      </c>
      <c r="AR142" s="8">
        <v>590.49602015797689</v>
      </c>
      <c r="AS142" s="8">
        <v>582.20119789606679</v>
      </c>
      <c r="AT142" s="8">
        <v>573.9063756341568</v>
      </c>
      <c r="AU142" s="8">
        <v>565.61155337224659</v>
      </c>
      <c r="AV142" s="8">
        <v>557.3167311103366</v>
      </c>
      <c r="AW142" s="8">
        <v>547.05942276237261</v>
      </c>
      <c r="AX142" s="8">
        <v>536.80211441440872</v>
      </c>
      <c r="AY142" s="8">
        <v>526.54480606644483</v>
      </c>
      <c r="AZ142" s="8">
        <v>516.28749771848095</v>
      </c>
      <c r="BA142" s="8">
        <v>506.03018937051695</v>
      </c>
      <c r="BB142" s="102" t="s">
        <v>3</v>
      </c>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row>
    <row r="143" spans="2:80" x14ac:dyDescent="0.2">
      <c r="B143" s="101" t="s">
        <v>179</v>
      </c>
      <c r="C143" s="8">
        <v>914.79838828476522</v>
      </c>
      <c r="D143" s="8">
        <v>960.99629861123958</v>
      </c>
      <c r="E143" s="8">
        <v>1007.1942089377144</v>
      </c>
      <c r="F143" s="8">
        <v>1053.3921192641888</v>
      </c>
      <c r="G143" s="8">
        <v>1099.5900295906636</v>
      </c>
      <c r="H143" s="8">
        <v>1145.7879399171379</v>
      </c>
      <c r="I143" s="8">
        <v>1186.1788137043213</v>
      </c>
      <c r="J143" s="8">
        <v>1226.5696874915047</v>
      </c>
      <c r="K143" s="8">
        <v>1266.9605612786881</v>
      </c>
      <c r="L143" s="8">
        <v>1307.3514350658713</v>
      </c>
      <c r="M143" s="8">
        <v>1347.742308853055</v>
      </c>
      <c r="N143" s="8">
        <v>1375.0373138789435</v>
      </c>
      <c r="O143" s="8">
        <v>1402.3323189048319</v>
      </c>
      <c r="P143" s="8">
        <v>1429.6273239307206</v>
      </c>
      <c r="Q143" s="8">
        <v>1456.9223289566091</v>
      </c>
      <c r="R143" s="8">
        <v>1484.2173339824976</v>
      </c>
      <c r="S143" s="8">
        <v>1496.9992980525033</v>
      </c>
      <c r="T143" s="8">
        <v>1509.7812621225087</v>
      </c>
      <c r="U143" s="8">
        <v>1522.5632261925143</v>
      </c>
      <c r="V143" s="8">
        <v>1535.3451902625197</v>
      </c>
      <c r="W143" s="8">
        <v>1548.1271543325252</v>
      </c>
      <c r="X143" s="8">
        <v>1548.5704781359022</v>
      </c>
      <c r="Y143" s="8">
        <v>1549.0138019392793</v>
      </c>
      <c r="Z143" s="8">
        <v>1549.4571257426567</v>
      </c>
      <c r="AA143" s="8">
        <v>1549.9004495460338</v>
      </c>
      <c r="AB143" s="8">
        <v>1550.3437733494109</v>
      </c>
      <c r="AC143" s="8">
        <v>1544.281544028272</v>
      </c>
      <c r="AD143" s="8">
        <v>1538.2193147071337</v>
      </c>
      <c r="AE143" s="8">
        <v>1532.1570853859948</v>
      </c>
      <c r="AF143" s="8">
        <v>1526.0948560648562</v>
      </c>
      <c r="AG143" s="8">
        <v>1520.0326267437176</v>
      </c>
      <c r="AH143" s="8">
        <v>1510.2002039842491</v>
      </c>
      <c r="AI143" s="8">
        <v>1500.3677812247809</v>
      </c>
      <c r="AJ143" s="8">
        <v>1490.5353584653126</v>
      </c>
      <c r="AK143" s="8">
        <v>1480.7029357058441</v>
      </c>
      <c r="AL143" s="8">
        <v>1470.8705129463758</v>
      </c>
      <c r="AM143" s="8">
        <v>1455.8450539618366</v>
      </c>
      <c r="AN143" s="8">
        <v>1440.8195949772976</v>
      </c>
      <c r="AO143" s="8">
        <v>1425.7941359927586</v>
      </c>
      <c r="AP143" s="8">
        <v>1410.7686770082196</v>
      </c>
      <c r="AQ143" s="8">
        <v>1395.7432180236804</v>
      </c>
      <c r="AR143" s="8">
        <v>1370.3150418533046</v>
      </c>
      <c r="AS143" s="8">
        <v>1344.8868656829291</v>
      </c>
      <c r="AT143" s="8">
        <v>1319.4586895125537</v>
      </c>
      <c r="AU143" s="8">
        <v>1294.030513342178</v>
      </c>
      <c r="AV143" s="8">
        <v>1268.6023371718024</v>
      </c>
      <c r="AW143" s="8">
        <v>1230.2521330725021</v>
      </c>
      <c r="AX143" s="8">
        <v>1191.9019289732021</v>
      </c>
      <c r="AY143" s="8">
        <v>1153.5517248739018</v>
      </c>
      <c r="AZ143" s="8">
        <v>1115.2015207746015</v>
      </c>
      <c r="BA143" s="8">
        <v>1076.8513166753014</v>
      </c>
      <c r="BB143" s="102" t="s">
        <v>3</v>
      </c>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row>
    <row r="144" spans="2:80" x14ac:dyDescent="0.2">
      <c r="B144" s="101" t="s">
        <v>137</v>
      </c>
      <c r="C144" s="8">
        <v>1495.3313222037036</v>
      </c>
      <c r="D144" s="8">
        <v>1573.3629354927707</v>
      </c>
      <c r="E144" s="8">
        <v>1651.3945487818376</v>
      </c>
      <c r="F144" s="8">
        <v>1729.4261620709044</v>
      </c>
      <c r="G144" s="8">
        <v>1807.4577753599713</v>
      </c>
      <c r="H144" s="8">
        <v>1885.4893886490386</v>
      </c>
      <c r="I144" s="8">
        <v>1919.7734106111011</v>
      </c>
      <c r="J144" s="8">
        <v>1954.0574325731632</v>
      </c>
      <c r="K144" s="8">
        <v>1988.3414545352255</v>
      </c>
      <c r="L144" s="8">
        <v>2022.6254764972875</v>
      </c>
      <c r="M144" s="8">
        <v>2056.9094984593503</v>
      </c>
      <c r="N144" s="8">
        <v>2084.3159500753563</v>
      </c>
      <c r="O144" s="8">
        <v>2111.7224016913619</v>
      </c>
      <c r="P144" s="8">
        <v>2139.128853307368</v>
      </c>
      <c r="Q144" s="8">
        <v>2166.5353049233736</v>
      </c>
      <c r="R144" s="8">
        <v>2193.9417565393796</v>
      </c>
      <c r="S144" s="8">
        <v>2215.7344938053684</v>
      </c>
      <c r="T144" s="8">
        <v>2237.5272310713572</v>
      </c>
      <c r="U144" s="8">
        <v>2259.3199683373459</v>
      </c>
      <c r="V144" s="8">
        <v>2281.1127056033347</v>
      </c>
      <c r="W144" s="8">
        <v>2302.9054428693235</v>
      </c>
      <c r="X144" s="8">
        <v>2302.6034512207352</v>
      </c>
      <c r="Y144" s="8">
        <v>2302.301459572147</v>
      </c>
      <c r="Z144" s="8">
        <v>2301.9994679235597</v>
      </c>
      <c r="AA144" s="8">
        <v>2301.6974762749715</v>
      </c>
      <c r="AB144" s="8">
        <v>2301.3954846263832</v>
      </c>
      <c r="AC144" s="8">
        <v>2284.8459860565672</v>
      </c>
      <c r="AD144" s="8">
        <v>2268.2964874867512</v>
      </c>
      <c r="AE144" s="8">
        <v>2251.7469889169356</v>
      </c>
      <c r="AF144" s="8">
        <v>2235.19749034712</v>
      </c>
      <c r="AG144" s="8">
        <v>2218.647991777304</v>
      </c>
      <c r="AH144" s="8">
        <v>2197.0781654822254</v>
      </c>
      <c r="AI144" s="8">
        <v>2175.5083391871476</v>
      </c>
      <c r="AJ144" s="8">
        <v>2153.9385128920694</v>
      </c>
      <c r="AK144" s="8">
        <v>2132.3686865969912</v>
      </c>
      <c r="AL144" s="8">
        <v>2110.798860301913</v>
      </c>
      <c r="AM144" s="8">
        <v>2087.5459003302435</v>
      </c>
      <c r="AN144" s="8">
        <v>2064.2929403585749</v>
      </c>
      <c r="AO144" s="8">
        <v>2041.0399803869054</v>
      </c>
      <c r="AP144" s="8">
        <v>2017.7870204152366</v>
      </c>
      <c r="AQ144" s="8">
        <v>1994.5340604435673</v>
      </c>
      <c r="AR144" s="8">
        <v>1960.8110620112818</v>
      </c>
      <c r="AS144" s="8">
        <v>1927.0880635789961</v>
      </c>
      <c r="AT144" s="8">
        <v>1893.3650651467103</v>
      </c>
      <c r="AU144" s="8">
        <v>1859.6420667144246</v>
      </c>
      <c r="AV144" s="8">
        <v>1825.9190682821391</v>
      </c>
      <c r="AW144" s="8">
        <v>1777.3115558348748</v>
      </c>
      <c r="AX144" s="8">
        <v>1728.7040433876107</v>
      </c>
      <c r="AY144" s="8">
        <v>1680.0965309403464</v>
      </c>
      <c r="AZ144" s="8">
        <v>1631.4890184930823</v>
      </c>
      <c r="BA144" s="8">
        <v>1582.8815060458182</v>
      </c>
      <c r="BB144" s="102" t="s">
        <v>3</v>
      </c>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row>
    <row r="145" spans="2:80" x14ac:dyDescent="0.2">
      <c r="B145" s="101" t="s">
        <v>173</v>
      </c>
      <c r="C145" s="8">
        <v>71.912212341126306</v>
      </c>
      <c r="D145" s="8">
        <v>72.744590930196424</v>
      </c>
      <c r="E145" s="8">
        <v>73.576969519266541</v>
      </c>
      <c r="F145" s="8">
        <v>74.409348108336673</v>
      </c>
      <c r="G145" s="8">
        <v>75.24172669740679</v>
      </c>
      <c r="H145" s="8">
        <v>76.074105286476907</v>
      </c>
      <c r="I145" s="8">
        <v>76.145208176943029</v>
      </c>
      <c r="J145" s="8">
        <v>76.21631106740918</v>
      </c>
      <c r="K145" s="8">
        <v>76.287413957875316</v>
      </c>
      <c r="L145" s="8">
        <v>76.358516848341466</v>
      </c>
      <c r="M145" s="8">
        <v>76.429619738807588</v>
      </c>
      <c r="N145" s="8">
        <v>75.853770203399364</v>
      </c>
      <c r="O145" s="8">
        <v>75.27792066799114</v>
      </c>
      <c r="P145" s="8">
        <v>74.702071132582887</v>
      </c>
      <c r="Q145" s="8">
        <v>74.126221597174663</v>
      </c>
      <c r="R145" s="8">
        <v>73.550372061766438</v>
      </c>
      <c r="S145" s="8">
        <v>72.804739713566846</v>
      </c>
      <c r="T145" s="8">
        <v>72.05910736536724</v>
      </c>
      <c r="U145" s="8">
        <v>71.313475017167647</v>
      </c>
      <c r="V145" s="8">
        <v>70.567842668968041</v>
      </c>
      <c r="W145" s="8">
        <v>69.822210320768448</v>
      </c>
      <c r="X145" s="8">
        <v>68.894517481723241</v>
      </c>
      <c r="Y145" s="8">
        <v>67.966824642678048</v>
      </c>
      <c r="Z145" s="8">
        <v>67.039131803632841</v>
      </c>
      <c r="AA145" s="8">
        <v>66.111438964587634</v>
      </c>
      <c r="AB145" s="8">
        <v>65.183746125542427</v>
      </c>
      <c r="AC145" s="8">
        <v>64.308632692287631</v>
      </c>
      <c r="AD145" s="8">
        <v>63.433519259032835</v>
      </c>
      <c r="AE145" s="8">
        <v>62.558405825778053</v>
      </c>
      <c r="AF145" s="8">
        <v>61.683292392523256</v>
      </c>
      <c r="AG145" s="8">
        <v>60.808178959268453</v>
      </c>
      <c r="AH145" s="8">
        <v>59.706483915008327</v>
      </c>
      <c r="AI145" s="8">
        <v>58.604788870748202</v>
      </c>
      <c r="AJ145" s="8">
        <v>57.50309382648809</v>
      </c>
      <c r="AK145" s="8">
        <v>56.401398782227965</v>
      </c>
      <c r="AL145" s="8">
        <v>55.299703737967839</v>
      </c>
      <c r="AM145" s="8">
        <v>54.002212563942386</v>
      </c>
      <c r="AN145" s="8">
        <v>52.704721389916941</v>
      </c>
      <c r="AO145" s="8">
        <v>51.407230215891495</v>
      </c>
      <c r="AP145" s="8">
        <v>50.109739041866042</v>
      </c>
      <c r="AQ145" s="8">
        <v>48.812247867840604</v>
      </c>
      <c r="AR145" s="8">
        <v>48.392855128899143</v>
      </c>
      <c r="AS145" s="8">
        <v>47.973462389957689</v>
      </c>
      <c r="AT145" s="8">
        <v>47.554069651016228</v>
      </c>
      <c r="AU145" s="8">
        <v>47.134676912074774</v>
      </c>
      <c r="AV145" s="8">
        <v>46.715284173133313</v>
      </c>
      <c r="AW145" s="8">
        <v>46.221782917820697</v>
      </c>
      <c r="AX145" s="8">
        <v>45.728281662508081</v>
      </c>
      <c r="AY145" s="8">
        <v>45.234780407195466</v>
      </c>
      <c r="AZ145" s="8">
        <v>44.74127915188285</v>
      </c>
      <c r="BA145" s="8">
        <v>44.247777896570227</v>
      </c>
      <c r="BB145" s="102" t="s">
        <v>3</v>
      </c>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row>
    <row r="146" spans="2:80" x14ac:dyDescent="0.2">
      <c r="B146" s="101" t="s">
        <v>174</v>
      </c>
      <c r="C146" s="8">
        <v>784.96887884534863</v>
      </c>
      <c r="D146" s="8">
        <v>785.29444569423185</v>
      </c>
      <c r="E146" s="8">
        <v>785.62001254311508</v>
      </c>
      <c r="F146" s="8">
        <v>785.94557939199808</v>
      </c>
      <c r="G146" s="8">
        <v>786.27114624088131</v>
      </c>
      <c r="H146" s="8">
        <v>786.59671308976453</v>
      </c>
      <c r="I146" s="8">
        <v>796.97722906235674</v>
      </c>
      <c r="J146" s="8">
        <v>807.35774503494895</v>
      </c>
      <c r="K146" s="8">
        <v>817.73826100754104</v>
      </c>
      <c r="L146" s="8">
        <v>828.11877698013325</v>
      </c>
      <c r="M146" s="8">
        <v>838.49929295272545</v>
      </c>
      <c r="N146" s="8">
        <v>844.04438597506123</v>
      </c>
      <c r="O146" s="8">
        <v>849.58947899739701</v>
      </c>
      <c r="P146" s="8">
        <v>855.1345720197329</v>
      </c>
      <c r="Q146" s="8">
        <v>860.67966504206868</v>
      </c>
      <c r="R146" s="8">
        <v>866.22475806440434</v>
      </c>
      <c r="S146" s="8">
        <v>869.7073875335235</v>
      </c>
      <c r="T146" s="8">
        <v>873.19001700264243</v>
      </c>
      <c r="U146" s="8">
        <v>876.67264647176148</v>
      </c>
      <c r="V146" s="8">
        <v>880.15527594088053</v>
      </c>
      <c r="W146" s="8">
        <v>883.63790540999958</v>
      </c>
      <c r="X146" s="8">
        <v>889.94953906625653</v>
      </c>
      <c r="Y146" s="8">
        <v>896.26117272251349</v>
      </c>
      <c r="Z146" s="8">
        <v>902.57280637877045</v>
      </c>
      <c r="AA146" s="8">
        <v>908.88444003502741</v>
      </c>
      <c r="AB146" s="8">
        <v>915.19607369128437</v>
      </c>
      <c r="AC146" s="8">
        <v>917.16085064537151</v>
      </c>
      <c r="AD146" s="8">
        <v>919.12562759945854</v>
      </c>
      <c r="AE146" s="8">
        <v>921.09040455354557</v>
      </c>
      <c r="AF146" s="8">
        <v>923.05518150763271</v>
      </c>
      <c r="AG146" s="8">
        <v>925.01995846171985</v>
      </c>
      <c r="AH146" s="8">
        <v>930.95151591266438</v>
      </c>
      <c r="AI146" s="8">
        <v>936.88307336360901</v>
      </c>
      <c r="AJ146" s="8">
        <v>942.81463081455342</v>
      </c>
      <c r="AK146" s="8">
        <v>948.74618826549806</v>
      </c>
      <c r="AL146" s="8">
        <v>954.67774571644259</v>
      </c>
      <c r="AM146" s="8">
        <v>963.88290872554876</v>
      </c>
      <c r="AN146" s="8">
        <v>973.08807173465493</v>
      </c>
      <c r="AO146" s="8">
        <v>982.2932347437611</v>
      </c>
      <c r="AP146" s="8">
        <v>991.49839775286728</v>
      </c>
      <c r="AQ146" s="8">
        <v>1000.7035607619734</v>
      </c>
      <c r="AR146" s="8">
        <v>1004.2589146466083</v>
      </c>
      <c r="AS146" s="8">
        <v>1007.8142685312432</v>
      </c>
      <c r="AT146" s="8">
        <v>1011.3696224158782</v>
      </c>
      <c r="AU146" s="8">
        <v>1014.9249763005131</v>
      </c>
      <c r="AV146" s="8">
        <v>1018.480330185148</v>
      </c>
      <c r="AW146" s="8">
        <v>1027.2900833460455</v>
      </c>
      <c r="AX146" s="8">
        <v>1036.0998365069431</v>
      </c>
      <c r="AY146" s="8">
        <v>1044.9095896678407</v>
      </c>
      <c r="AZ146" s="8">
        <v>1053.719342828738</v>
      </c>
      <c r="BA146" s="8">
        <v>1062.5290959896356</v>
      </c>
      <c r="BB146" s="102" t="s">
        <v>3</v>
      </c>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row>
    <row r="147" spans="2:80" x14ac:dyDescent="0.2">
      <c r="B147" s="101" t="s">
        <v>175</v>
      </c>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c r="AN147" s="107"/>
      <c r="AO147" s="107"/>
      <c r="AP147" s="107"/>
      <c r="AQ147" s="107"/>
      <c r="AR147" s="107"/>
      <c r="AS147" s="107"/>
      <c r="AT147" s="107"/>
      <c r="AU147" s="107"/>
      <c r="AV147" s="107"/>
      <c r="AW147" s="107"/>
      <c r="AX147" s="107"/>
      <c r="AY147" s="107"/>
      <c r="AZ147" s="107"/>
      <c r="BA147" s="107"/>
      <c r="BB147" s="10"/>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row>
    <row r="148" spans="2:80" x14ac:dyDescent="0.2">
      <c r="B148" s="101" t="s">
        <v>176</v>
      </c>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c r="AN148" s="107"/>
      <c r="AO148" s="107"/>
      <c r="AP148" s="107"/>
      <c r="AQ148" s="107"/>
      <c r="AR148" s="107"/>
      <c r="AS148" s="107"/>
      <c r="AT148" s="107"/>
      <c r="AU148" s="107"/>
      <c r="AV148" s="107"/>
      <c r="AW148" s="107"/>
      <c r="AX148" s="107"/>
      <c r="AY148" s="107"/>
      <c r="AZ148" s="107"/>
      <c r="BA148" s="107"/>
      <c r="BB148" s="10"/>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row>
    <row r="149" spans="2:80" x14ac:dyDescent="0.2">
      <c r="B149" s="101" t="s">
        <v>177</v>
      </c>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c r="AN149" s="107"/>
      <c r="AO149" s="107"/>
      <c r="AP149" s="107"/>
      <c r="AQ149" s="107"/>
      <c r="AR149" s="107"/>
      <c r="AS149" s="107"/>
      <c r="AT149" s="107"/>
      <c r="AU149" s="107"/>
      <c r="AV149" s="107"/>
      <c r="AW149" s="107"/>
      <c r="AX149" s="107"/>
      <c r="AY149" s="107"/>
      <c r="AZ149" s="107"/>
      <c r="BA149" s="107"/>
      <c r="BB149" s="10"/>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row>
    <row r="150" spans="2:80" x14ac:dyDescent="0.2">
      <c r="B150" s="101" t="s">
        <v>178</v>
      </c>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c r="AN150" s="107"/>
      <c r="AO150" s="107"/>
      <c r="AP150" s="107"/>
      <c r="AQ150" s="107"/>
      <c r="AR150" s="107"/>
      <c r="AS150" s="107"/>
      <c r="AT150" s="107"/>
      <c r="AU150" s="107"/>
      <c r="AV150" s="107"/>
      <c r="AW150" s="107"/>
      <c r="AX150" s="107"/>
      <c r="AY150" s="107"/>
      <c r="AZ150" s="107"/>
      <c r="BA150" s="107"/>
      <c r="BB150" s="10"/>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row>
    <row r="151" spans="2:80" x14ac:dyDescent="0.2">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10"/>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row>
    <row r="152" spans="2:80" x14ac:dyDescent="0.2">
      <c r="B152" s="1" t="s">
        <v>131</v>
      </c>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10"/>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row>
    <row r="153" spans="2:80" x14ac:dyDescent="0.2">
      <c r="B153" s="5" t="s">
        <v>1</v>
      </c>
      <c r="C153" s="6">
        <v>2010</v>
      </c>
      <c r="D153" s="3">
        <v>2011</v>
      </c>
      <c r="E153" s="3">
        <v>2012</v>
      </c>
      <c r="F153" s="3">
        <v>2013</v>
      </c>
      <c r="G153" s="3">
        <v>2014</v>
      </c>
      <c r="H153" s="6">
        <v>2015</v>
      </c>
      <c r="I153" s="3">
        <v>2016</v>
      </c>
      <c r="J153" s="3">
        <v>2017</v>
      </c>
      <c r="K153" s="3">
        <v>2018</v>
      </c>
      <c r="L153" s="3">
        <v>2019</v>
      </c>
      <c r="M153" s="6">
        <v>2020</v>
      </c>
      <c r="N153" s="3">
        <v>2021</v>
      </c>
      <c r="O153" s="3">
        <v>2022</v>
      </c>
      <c r="P153" s="3">
        <v>2023</v>
      </c>
      <c r="Q153" s="3">
        <v>2024</v>
      </c>
      <c r="R153" s="6">
        <v>2025</v>
      </c>
      <c r="S153" s="3">
        <v>2026</v>
      </c>
      <c r="T153" s="3">
        <v>2027</v>
      </c>
      <c r="U153" s="3">
        <v>2028</v>
      </c>
      <c r="V153" s="3">
        <v>2029</v>
      </c>
      <c r="W153" s="6">
        <v>2030</v>
      </c>
      <c r="X153" s="3">
        <v>2031</v>
      </c>
      <c r="Y153" s="3">
        <v>2032</v>
      </c>
      <c r="Z153" s="3">
        <v>2033</v>
      </c>
      <c r="AA153" s="3">
        <v>2034</v>
      </c>
      <c r="AB153" s="6">
        <v>2035</v>
      </c>
      <c r="AC153" s="3">
        <v>2036</v>
      </c>
      <c r="AD153" s="3">
        <v>2037</v>
      </c>
      <c r="AE153" s="3">
        <v>2038</v>
      </c>
      <c r="AF153" s="3">
        <v>2039</v>
      </c>
      <c r="AG153" s="6">
        <v>2040</v>
      </c>
      <c r="AH153" s="3">
        <v>2041</v>
      </c>
      <c r="AI153" s="3">
        <v>2042</v>
      </c>
      <c r="AJ153" s="3">
        <v>2043</v>
      </c>
      <c r="AK153" s="3">
        <v>2044</v>
      </c>
      <c r="AL153" s="6">
        <v>2045</v>
      </c>
      <c r="AM153" s="3">
        <v>2046</v>
      </c>
      <c r="AN153" s="3">
        <v>2047</v>
      </c>
      <c r="AO153" s="3">
        <v>2048</v>
      </c>
      <c r="AP153" s="3">
        <v>2049</v>
      </c>
      <c r="AQ153" s="6">
        <v>2050</v>
      </c>
      <c r="AR153" s="3">
        <v>2051</v>
      </c>
      <c r="AS153" s="3">
        <v>2052</v>
      </c>
      <c r="AT153" s="3">
        <v>2053</v>
      </c>
      <c r="AU153" s="3">
        <v>2054</v>
      </c>
      <c r="AV153" s="6">
        <v>2055</v>
      </c>
      <c r="AW153" s="3">
        <v>2056</v>
      </c>
      <c r="AX153" s="3">
        <v>2057</v>
      </c>
      <c r="AY153" s="3">
        <v>2058</v>
      </c>
      <c r="AZ153" s="3">
        <v>2059</v>
      </c>
      <c r="BA153" s="6">
        <v>2060</v>
      </c>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row>
    <row r="154" spans="2:80" x14ac:dyDescent="0.2">
      <c r="B154" s="101" t="s">
        <v>2</v>
      </c>
      <c r="C154" s="8">
        <v>102.24240386867577</v>
      </c>
      <c r="D154" s="8">
        <v>99.599742240342934</v>
      </c>
      <c r="E154" s="8">
        <v>97.212313592159603</v>
      </c>
      <c r="F154" s="8">
        <v>95.044844999510431</v>
      </c>
      <c r="G154" s="8">
        <v>93.068276885665057</v>
      </c>
      <c r="H154" s="8">
        <v>91.258452622273865</v>
      </c>
      <c r="I154" s="8">
        <v>88.226056965952381</v>
      </c>
      <c r="J154" s="8">
        <v>85.324399073989838</v>
      </c>
      <c r="K154" s="8">
        <v>82.545202479848612</v>
      </c>
      <c r="L154" s="8">
        <v>79.880874878288125</v>
      </c>
      <c r="M154" s="8">
        <v>77.324438862816748</v>
      </c>
      <c r="N154" s="8">
        <v>74.863462977143243</v>
      </c>
      <c r="O154" s="8">
        <v>72.507032462241327</v>
      </c>
      <c r="P154" s="8">
        <v>70.248624046989548</v>
      </c>
      <c r="Q154" s="8">
        <v>68.0822461087931</v>
      </c>
      <c r="R154" s="8">
        <v>66.002385593210022</v>
      </c>
      <c r="S154" s="8">
        <v>63.652498685728233</v>
      </c>
      <c r="T154" s="8">
        <v>61.392757901937784</v>
      </c>
      <c r="U154" s="8">
        <v>59.218073601268067</v>
      </c>
      <c r="V154" s="8">
        <v>57.123732212949655</v>
      </c>
      <c r="W154" s="8">
        <v>55.105362131600245</v>
      </c>
      <c r="X154" s="8">
        <v>53.233119995575009</v>
      </c>
      <c r="Y154" s="8">
        <v>51.423948636133261</v>
      </c>
      <c r="Z154" s="8">
        <v>49.674713819252347</v>
      </c>
      <c r="AA154" s="8">
        <v>47.982485596813497</v>
      </c>
      <c r="AB154" s="8">
        <v>46.34452192954997</v>
      </c>
      <c r="AC154" s="8">
        <v>44.946448521500166</v>
      </c>
      <c r="AD154" s="8">
        <v>43.589336230768502</v>
      </c>
      <c r="AE154" s="8">
        <v>42.271410912869136</v>
      </c>
      <c r="AF154" s="8">
        <v>40.990999422894937</v>
      </c>
      <c r="AG154" s="8">
        <v>39.746522529164601</v>
      </c>
      <c r="AH154" s="8">
        <v>38.476915247729622</v>
      </c>
      <c r="AI154" s="8">
        <v>37.243815318107963</v>
      </c>
      <c r="AJ154" s="8">
        <v>36.04567041425603</v>
      </c>
      <c r="AK154" s="8">
        <v>34.881014988597492</v>
      </c>
      <c r="AL154" s="8">
        <v>33.748464291715607</v>
      </c>
      <c r="AM154" s="8">
        <v>32.513670507562203</v>
      </c>
      <c r="AN154" s="8">
        <v>31.312229635199358</v>
      </c>
      <c r="AO154" s="8">
        <v>30.142808342811435</v>
      </c>
      <c r="AP154" s="8">
        <v>29.004143433210896</v>
      </c>
      <c r="AQ154" s="8">
        <v>27.895037292250645</v>
      </c>
      <c r="AR154" s="8">
        <v>27.087574075959456</v>
      </c>
      <c r="AS154" s="8">
        <v>26.300191233500858</v>
      </c>
      <c r="AT154" s="8">
        <v>25.532148912150713</v>
      </c>
      <c r="AU154" s="8">
        <v>24.782743164288693</v>
      </c>
      <c r="AV154" s="8">
        <v>24.051303795410938</v>
      </c>
      <c r="AW154" s="8">
        <v>23.373504791235373</v>
      </c>
      <c r="AX154" s="8">
        <v>22.711438652034371</v>
      </c>
      <c r="AY154" s="8">
        <v>22.064563882582114</v>
      </c>
      <c r="AZ154" s="8">
        <v>21.432363555438783</v>
      </c>
      <c r="BA154" s="8">
        <v>20.814343933268074</v>
      </c>
      <c r="BB154" s="10" t="s">
        <v>19</v>
      </c>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row>
    <row r="155" spans="2:80" x14ac:dyDescent="0.2">
      <c r="B155" s="101" t="s">
        <v>182</v>
      </c>
      <c r="C155" s="8">
        <v>48.931702275263902</v>
      </c>
      <c r="D155" s="8">
        <v>48.730925006607585</v>
      </c>
      <c r="E155" s="8">
        <v>48.557817911330766</v>
      </c>
      <c r="F155" s="8">
        <v>48.407029677108376</v>
      </c>
      <c r="G155" s="8">
        <v>48.274505322522117</v>
      </c>
      <c r="H155" s="8">
        <v>48.157116074407192</v>
      </c>
      <c r="I155" s="8">
        <v>44.860047166405153</v>
      </c>
      <c r="J155" s="8">
        <v>41.696283893571824</v>
      </c>
      <c r="K155" s="8">
        <v>38.657901822578232</v>
      </c>
      <c r="L155" s="8">
        <v>35.737592412969477</v>
      </c>
      <c r="M155" s="8">
        <v>32.928604323035223</v>
      </c>
      <c r="N155" s="8">
        <v>32.499302641737962</v>
      </c>
      <c r="O155" s="8">
        <v>32.079638893213186</v>
      </c>
      <c r="P155" s="8">
        <v>31.66929211916754</v>
      </c>
      <c r="Q155" s="8">
        <v>31.26795545606856</v>
      </c>
      <c r="R155" s="8">
        <v>30.875335369839153</v>
      </c>
      <c r="S155" s="8">
        <v>30.240082501220837</v>
      </c>
      <c r="T155" s="8">
        <v>29.616148214704616</v>
      </c>
      <c r="U155" s="8">
        <v>29.003232679107235</v>
      </c>
      <c r="V155" s="8">
        <v>28.401046560658695</v>
      </c>
      <c r="W155" s="8">
        <v>27.809310567581274</v>
      </c>
      <c r="X155" s="8">
        <v>27.047628155084048</v>
      </c>
      <c r="Y155" s="8">
        <v>26.294187825739364</v>
      </c>
      <c r="Z155" s="8">
        <v>25.548856519423889</v>
      </c>
      <c r="AA155" s="8">
        <v>24.811504024845863</v>
      </c>
      <c r="AB155" s="8">
        <v>24.082002903708762</v>
      </c>
      <c r="AC155" s="8">
        <v>22.528086766962989</v>
      </c>
      <c r="AD155" s="8">
        <v>20.979142359109073</v>
      </c>
      <c r="AE155" s="8">
        <v>19.435145857810486</v>
      </c>
      <c r="AF155" s="8">
        <v>17.896073592682857</v>
      </c>
      <c r="AG155" s="8">
        <v>16.361902044084378</v>
      </c>
      <c r="AH155" s="8">
        <v>15.076962462894954</v>
      </c>
      <c r="AI155" s="8">
        <v>13.79342961248574</v>
      </c>
      <c r="AJ155" s="8">
        <v>12.511301184021896</v>
      </c>
      <c r="AK155" s="8">
        <v>11.2305748737184</v>
      </c>
      <c r="AL155" s="8">
        <v>9.9512483828262415</v>
      </c>
      <c r="AM155" s="8">
        <v>8.1085167652520305</v>
      </c>
      <c r="AN155" s="8">
        <v>6.2677622299054621</v>
      </c>
      <c r="AO155" s="8">
        <v>4.4289815966503472</v>
      </c>
      <c r="AP155" s="8">
        <v>2.5921716921671707</v>
      </c>
      <c r="AQ155" s="8">
        <v>0.75732934993483925</v>
      </c>
      <c r="AR155" s="8">
        <v>0.61384004947851145</v>
      </c>
      <c r="AS155" s="8">
        <v>0.47048062072130781</v>
      </c>
      <c r="AT155" s="8">
        <v>0.32725088742330627</v>
      </c>
      <c r="AU155" s="8">
        <v>0.18415067366332566</v>
      </c>
      <c r="AV155" s="8">
        <v>4.1179803838203653E-2</v>
      </c>
      <c r="AW155" s="8">
        <v>4.0920518558556093E-2</v>
      </c>
      <c r="AX155" s="8">
        <v>4.0662510077454445E-2</v>
      </c>
      <c r="AY155" s="8">
        <v>4.0405768987053767E-2</v>
      </c>
      <c r="AZ155" s="8">
        <v>4.0150285971708354E-2</v>
      </c>
      <c r="BA155" s="8">
        <v>3.989605180684646E-2</v>
      </c>
      <c r="BB155" s="10" t="s">
        <v>19</v>
      </c>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row>
    <row r="156" spans="2:80" x14ac:dyDescent="0.2">
      <c r="B156" s="101" t="s">
        <v>165</v>
      </c>
      <c r="C156" s="8">
        <v>151.74842871937327</v>
      </c>
      <c r="D156" s="8">
        <v>148.52016616287838</v>
      </c>
      <c r="E156" s="8">
        <v>145.56056323376583</v>
      </c>
      <c r="F156" s="8">
        <v>142.83742245426888</v>
      </c>
      <c r="G156" s="8">
        <v>140.32349364708921</v>
      </c>
      <c r="H156" s="8">
        <v>137.99555886540128</v>
      </c>
      <c r="I156" s="8">
        <v>133.85137269117303</v>
      </c>
      <c r="J156" s="8">
        <v>129.87907701183568</v>
      </c>
      <c r="K156" s="8">
        <v>126.06819472657777</v>
      </c>
      <c r="L156" s="8">
        <v>122.40908324897738</v>
      </c>
      <c r="M156" s="8">
        <v>118.89285304154492</v>
      </c>
      <c r="N156" s="8">
        <v>114.70184426579112</v>
      </c>
      <c r="O156" s="8">
        <v>110.6708955064409</v>
      </c>
      <c r="P156" s="8">
        <v>106.79100923028965</v>
      </c>
      <c r="Q156" s="8">
        <v>103.05384987726224</v>
      </c>
      <c r="R156" s="8">
        <v>99.451684080979689</v>
      </c>
      <c r="S156" s="8">
        <v>95.609429697306382</v>
      </c>
      <c r="T156" s="8">
        <v>91.869180070953661</v>
      </c>
      <c r="U156" s="8">
        <v>88.226926358753232</v>
      </c>
      <c r="V156" s="8">
        <v>84.678867067540892</v>
      </c>
      <c r="W156" s="8">
        <v>81.221394819298979</v>
      </c>
      <c r="X156" s="8">
        <v>78.401212601314683</v>
      </c>
      <c r="Y156" s="8">
        <v>75.627036727153055</v>
      </c>
      <c r="Z156" s="8">
        <v>72.897750535368417</v>
      </c>
      <c r="AA156" s="8">
        <v>70.212273212477797</v>
      </c>
      <c r="AB156" s="8">
        <v>67.569558365889122</v>
      </c>
      <c r="AC156" s="8">
        <v>65.943925589384534</v>
      </c>
      <c r="AD156" s="8">
        <v>64.335381020097998</v>
      </c>
      <c r="AE156" s="8">
        <v>62.743656626922096</v>
      </c>
      <c r="AF156" s="8">
        <v>61.168489955072111</v>
      </c>
      <c r="AG156" s="8">
        <v>59.60962398181865</v>
      </c>
      <c r="AH156" s="8">
        <v>57.960292213544271</v>
      </c>
      <c r="AI156" s="8">
        <v>56.330088172093134</v>
      </c>
      <c r="AJ156" s="8">
        <v>54.718681032011467</v>
      </c>
      <c r="AK156" s="8">
        <v>53.125747553212591</v>
      </c>
      <c r="AL156" s="8">
        <v>51.550971864813711</v>
      </c>
      <c r="AM156" s="8">
        <v>49.972118342475667</v>
      </c>
      <c r="AN156" s="8">
        <v>48.408826674314874</v>
      </c>
      <c r="AO156" s="8">
        <v>46.860867912221522</v>
      </c>
      <c r="AP156" s="8">
        <v>45.328017577256311</v>
      </c>
      <c r="AQ156" s="8">
        <v>43.810055551129807</v>
      </c>
      <c r="AR156" s="8">
        <v>42.484388408630515</v>
      </c>
      <c r="AS156" s="8">
        <v>41.170523005686121</v>
      </c>
      <c r="AT156" s="8">
        <v>39.868302443375278</v>
      </c>
      <c r="AU156" s="8">
        <v>38.577572591708702</v>
      </c>
      <c r="AV156" s="8">
        <v>37.298182028815226</v>
      </c>
      <c r="AW156" s="8">
        <v>36.035693783716489</v>
      </c>
      <c r="AX156" s="8">
        <v>34.780731319886733</v>
      </c>
      <c r="AY156" s="8">
        <v>33.53322754473021</v>
      </c>
      <c r="AZ156" s="8">
        <v>32.293116160798625</v>
      </c>
      <c r="BA156" s="8">
        <v>31.060331654046291</v>
      </c>
      <c r="BB156" s="10" t="s">
        <v>19</v>
      </c>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row>
    <row r="157" spans="2:80" x14ac:dyDescent="0.2">
      <c r="B157" s="101" t="s">
        <v>167</v>
      </c>
      <c r="C157" s="8">
        <v>37.208261112948819</v>
      </c>
      <c r="D157" s="8">
        <v>36.007205035075728</v>
      </c>
      <c r="E157" s="8">
        <v>34.926262049857428</v>
      </c>
      <c r="F157" s="8">
        <v>33.948272125647748</v>
      </c>
      <c r="G157" s="8">
        <v>33.059195413313219</v>
      </c>
      <c r="H157" s="8">
        <v>32.247433908929636</v>
      </c>
      <c r="I157" s="8">
        <v>31.037091867285561</v>
      </c>
      <c r="J157" s="8">
        <v>29.871194727843204</v>
      </c>
      <c r="K157" s="8">
        <v>28.747338540127725</v>
      </c>
      <c r="L157" s="8">
        <v>27.663289650851866</v>
      </c>
      <c r="M157" s="8">
        <v>26.616969886401854</v>
      </c>
      <c r="N157" s="8">
        <v>25.724630298653071</v>
      </c>
      <c r="O157" s="8">
        <v>24.870986712849941</v>
      </c>
      <c r="P157" s="8">
        <v>24.053575488072426</v>
      </c>
      <c r="Q157" s="8">
        <v>23.270137772680062</v>
      </c>
      <c r="R157" s="8">
        <v>22.518598658712246</v>
      </c>
      <c r="S157" s="8">
        <v>21.883718147811948</v>
      </c>
      <c r="T157" s="8">
        <v>21.279329406296121</v>
      </c>
      <c r="U157" s="8">
        <v>20.703287278992235</v>
      </c>
      <c r="V157" s="8">
        <v>20.153643221193096</v>
      </c>
      <c r="W157" s="8">
        <v>19.628623278230084</v>
      </c>
      <c r="X157" s="8">
        <v>19.118962548920393</v>
      </c>
      <c r="Y157" s="8">
        <v>18.633194216605467</v>
      </c>
      <c r="Z157" s="8">
        <v>18.169676681249747</v>
      </c>
      <c r="AA157" s="8">
        <v>17.726915363827676</v>
      </c>
      <c r="AB157" s="8">
        <v>17.303546607842069</v>
      </c>
      <c r="AC157" s="8">
        <v>16.809283238526085</v>
      </c>
      <c r="AD157" s="8">
        <v>16.336141659757438</v>
      </c>
      <c r="AE157" s="8">
        <v>15.882796271518794</v>
      </c>
      <c r="AF157" s="8">
        <v>15.448030126692039</v>
      </c>
      <c r="AG157" s="8">
        <v>15.030724022412052</v>
      </c>
      <c r="AH157" s="8">
        <v>14.505159105996968</v>
      </c>
      <c r="AI157" s="8">
        <v>13.999598653763064</v>
      </c>
      <c r="AJ157" s="8">
        <v>13.512921857829491</v>
      </c>
      <c r="AK157" s="8">
        <v>13.04409010393516</v>
      </c>
      <c r="AL157" s="8">
        <v>12.592139572575613</v>
      </c>
      <c r="AM157" s="8">
        <v>12.190987836042549</v>
      </c>
      <c r="AN157" s="8">
        <v>11.803847288877353</v>
      </c>
      <c r="AO157" s="8">
        <v>11.429996468744962</v>
      </c>
      <c r="AP157" s="8">
        <v>11.068762610073769</v>
      </c>
      <c r="AQ157" s="8">
        <v>10.719517603610019</v>
      </c>
      <c r="AR157" s="8">
        <v>10.327212416147191</v>
      </c>
      <c r="AS157" s="8">
        <v>9.9469803307165954</v>
      </c>
      <c r="AT157" s="8">
        <v>9.5782724726513262</v>
      </c>
      <c r="AU157" s="8">
        <v>9.2205727416446663</v>
      </c>
      <c r="AV157" s="8">
        <v>8.8733954014559533</v>
      </c>
      <c r="AW157" s="8">
        <v>8.4744782088282857</v>
      </c>
      <c r="AX157" s="8">
        <v>8.0872110154604844</v>
      </c>
      <c r="AY157" s="8">
        <v>7.7110908253021613</v>
      </c>
      <c r="AZ157" s="8">
        <v>7.3456431877090385</v>
      </c>
      <c r="BA157" s="8">
        <v>6.9904202008039231</v>
      </c>
      <c r="BB157" s="10" t="s">
        <v>19</v>
      </c>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row>
    <row r="158" spans="2:80" x14ac:dyDescent="0.2">
      <c r="B158" s="101" t="s">
        <v>166</v>
      </c>
      <c r="C158" s="8">
        <v>66.765287992832455</v>
      </c>
      <c r="D158" s="8">
        <v>65.629188430821529</v>
      </c>
      <c r="E158" s="8">
        <v>64.56994031511654</v>
      </c>
      <c r="F158" s="8">
        <v>63.580000839010012</v>
      </c>
      <c r="G158" s="8">
        <v>62.652783006211834</v>
      </c>
      <c r="H158" s="8">
        <v>61.782508881650458</v>
      </c>
      <c r="I158" s="8">
        <v>59.832102161068491</v>
      </c>
      <c r="J158" s="8">
        <v>57.936837807073253</v>
      </c>
      <c r="K158" s="8">
        <v>56.094409918835311</v>
      </c>
      <c r="L158" s="8">
        <v>54.302639396539099</v>
      </c>
      <c r="M158" s="8">
        <v>52.559465343628027</v>
      </c>
      <c r="N158" s="8">
        <v>51.32445751585982</v>
      </c>
      <c r="O158" s="8">
        <v>50.142286083249232</v>
      </c>
      <c r="P158" s="8">
        <v>49.009631368783317</v>
      </c>
      <c r="Q158" s="8">
        <v>47.923446088279462</v>
      </c>
      <c r="R158" s="8">
        <v>46.880927973327715</v>
      </c>
      <c r="S158" s="8">
        <v>45.655093156707387</v>
      </c>
      <c r="T158" s="8">
        <v>44.484556277286465</v>
      </c>
      <c r="U158" s="8">
        <v>43.36565809922817</v>
      </c>
      <c r="V158" s="8">
        <v>42.295055276197161</v>
      </c>
      <c r="W158" s="8">
        <v>41.269686984378936</v>
      </c>
      <c r="X158" s="8">
        <v>40.0304740934886</v>
      </c>
      <c r="Y158" s="8">
        <v>38.846845178662036</v>
      </c>
      <c r="Z158" s="8">
        <v>37.715142505292498</v>
      </c>
      <c r="AA158" s="8">
        <v>36.632022382524788</v>
      </c>
      <c r="AB158" s="8">
        <v>35.59442216773995</v>
      </c>
      <c r="AC158" s="8">
        <v>34.414793430403712</v>
      </c>
      <c r="AD158" s="8">
        <v>33.284430522132766</v>
      </c>
      <c r="AE158" s="8">
        <v>32.200310276936065</v>
      </c>
      <c r="AF158" s="8">
        <v>31.159651923545486</v>
      </c>
      <c r="AG158" s="8">
        <v>30.159893269071198</v>
      </c>
      <c r="AH158" s="8">
        <v>29.023982900423189</v>
      </c>
      <c r="AI158" s="8">
        <v>27.931990807488983</v>
      </c>
      <c r="AJ158" s="8">
        <v>26.88141824373777</v>
      </c>
      <c r="AK158" s="8">
        <v>25.869952490736306</v>
      </c>
      <c r="AL158" s="8">
        <v>24.895449862566561</v>
      </c>
      <c r="AM158" s="8">
        <v>23.778979098085543</v>
      </c>
      <c r="AN158" s="8">
        <v>22.702564726390321</v>
      </c>
      <c r="AO158" s="8">
        <v>21.664089040393289</v>
      </c>
      <c r="AP158" s="8">
        <v>20.661581026850321</v>
      </c>
      <c r="AQ158" s="8">
        <v>19.69320388070469</v>
      </c>
      <c r="AR158" s="8">
        <v>18.710412495354902</v>
      </c>
      <c r="AS158" s="8">
        <v>17.759187336718156</v>
      </c>
      <c r="AT158" s="8">
        <v>16.838031631138325</v>
      </c>
      <c r="AU158" s="8">
        <v>15.945541762433521</v>
      </c>
      <c r="AV158" s="8">
        <v>15.080400135419836</v>
      </c>
      <c r="AW158" s="8">
        <v>14.195993152559415</v>
      </c>
      <c r="AX158" s="8">
        <v>13.339726042092952</v>
      </c>
      <c r="AY158" s="8">
        <v>12.510276812767994</v>
      </c>
      <c r="AZ158" s="8">
        <v>11.706405004850033</v>
      </c>
      <c r="BA158" s="8">
        <v>10.926945500167458</v>
      </c>
      <c r="BB158" s="10" t="s">
        <v>19</v>
      </c>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row>
    <row r="159" spans="2:80" x14ac:dyDescent="0.2">
      <c r="B159" s="101" t="s">
        <v>168</v>
      </c>
      <c r="C159" s="8">
        <v>45.840215866107947</v>
      </c>
      <c r="D159" s="8">
        <v>44.545646431241515</v>
      </c>
      <c r="E159" s="8">
        <v>43.368610868044428</v>
      </c>
      <c r="F159" s="8">
        <v>42.293797893281429</v>
      </c>
      <c r="G159" s="8">
        <v>41.308445037802656</v>
      </c>
      <c r="H159" s="8">
        <v>40.401829471806487</v>
      </c>
      <c r="I159" s="8">
        <v>38.961642782325541</v>
      </c>
      <c r="J159" s="8">
        <v>37.571002881905471</v>
      </c>
      <c r="K159" s="8">
        <v>36.227396168640325</v>
      </c>
      <c r="L159" s="8">
        <v>34.928476239529388</v>
      </c>
      <c r="M159" s="8">
        <v>33.672050215780601</v>
      </c>
      <c r="N159" s="8">
        <v>32.684945872041837</v>
      </c>
      <c r="O159" s="8">
        <v>31.740490705624357</v>
      </c>
      <c r="P159" s="8">
        <v>30.835979093552066</v>
      </c>
      <c r="Q159" s="8">
        <v>29.968929529769454</v>
      </c>
      <c r="R159" s="8">
        <v>29.137061890384388</v>
      </c>
      <c r="S159" s="8">
        <v>28.334272533685333</v>
      </c>
      <c r="T159" s="8">
        <v>27.569404450130694</v>
      </c>
      <c r="U159" s="8">
        <v>26.839832711879893</v>
      </c>
      <c r="V159" s="8">
        <v>26.143169192203413</v>
      </c>
      <c r="W159" s="8">
        <v>25.477236451432173</v>
      </c>
      <c r="X159" s="8">
        <v>24.765933472858336</v>
      </c>
      <c r="Y159" s="8">
        <v>24.087587064335274</v>
      </c>
      <c r="Z159" s="8">
        <v>23.439958636680004</v>
      </c>
      <c r="AA159" s="8">
        <v>22.821007854722843</v>
      </c>
      <c r="AB159" s="8">
        <v>22.228871165481014</v>
      </c>
      <c r="AC159" s="8">
        <v>21.548262527222235</v>
      </c>
      <c r="AD159" s="8">
        <v>20.896561252626093</v>
      </c>
      <c r="AE159" s="8">
        <v>20.271963973167704</v>
      </c>
      <c r="AF159" s="8">
        <v>19.672814267338527</v>
      </c>
      <c r="AG159" s="8">
        <v>19.09758799203891</v>
      </c>
      <c r="AH159" s="8">
        <v>18.408865842174986</v>
      </c>
      <c r="AI159" s="8">
        <v>17.746469657328852</v>
      </c>
      <c r="AJ159" s="8">
        <v>17.108918305327681</v>
      </c>
      <c r="AK159" s="8">
        <v>16.494839715844879</v>
      </c>
      <c r="AL159" s="8">
        <v>15.902961023511159</v>
      </c>
      <c r="AM159" s="8">
        <v>15.310460457592985</v>
      </c>
      <c r="AN159" s="8">
        <v>14.738805983020141</v>
      </c>
      <c r="AO159" s="8">
        <v>14.186916468992591</v>
      </c>
      <c r="AP159" s="8">
        <v>13.653784274477102</v>
      </c>
      <c r="AQ159" s="8">
        <v>13.138469108223322</v>
      </c>
      <c r="AR159" s="8">
        <v>12.588155529910646</v>
      </c>
      <c r="AS159" s="8">
        <v>12.054977364580932</v>
      </c>
      <c r="AT159" s="8">
        <v>11.538146549403807</v>
      </c>
      <c r="AU159" s="8">
        <v>11.036922616248203</v>
      </c>
      <c r="AV159" s="8">
        <v>10.550609152050463</v>
      </c>
      <c r="AW159" s="8">
        <v>10.022051324644114</v>
      </c>
      <c r="AX159" s="8">
        <v>9.5093035406877959</v>
      </c>
      <c r="AY159" s="8">
        <v>9.0116668958464849</v>
      </c>
      <c r="AZ159" s="8">
        <v>8.5284830822585906</v>
      </c>
      <c r="BA159" s="8">
        <v>8.0591314831244443</v>
      </c>
      <c r="BB159" s="10" t="s">
        <v>19</v>
      </c>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row>
    <row r="160" spans="2:80" x14ac:dyDescent="0.2">
      <c r="B160" s="101" t="s">
        <v>169</v>
      </c>
      <c r="C160" s="8">
        <v>3.9374689802905536</v>
      </c>
      <c r="D160" s="8">
        <v>3.8532287657652851</v>
      </c>
      <c r="E160" s="8">
        <v>3.7748327790897021</v>
      </c>
      <c r="F160" s="8">
        <v>3.7016932376787195</v>
      </c>
      <c r="G160" s="8">
        <v>3.6332986237331051</v>
      </c>
      <c r="H160" s="8">
        <v>3.5692017036651262</v>
      </c>
      <c r="I160" s="8">
        <v>3.4687102469422002</v>
      </c>
      <c r="J160" s="8">
        <v>3.3735485192920245</v>
      </c>
      <c r="K160" s="8">
        <v>3.2833034678113688</v>
      </c>
      <c r="L160" s="8">
        <v>3.1976036467676217</v>
      </c>
      <c r="M160" s="8">
        <v>3.116114107380815</v>
      </c>
      <c r="N160" s="8">
        <v>2.9933915967449809</v>
      </c>
      <c r="O160" s="8">
        <v>2.8789402218626416</v>
      </c>
      <c r="P160" s="8">
        <v>2.7719510667295388</v>
      </c>
      <c r="Q160" s="8">
        <v>2.6717173676864734</v>
      </c>
      <c r="R160" s="8">
        <v>2.5776188817900469</v>
      </c>
      <c r="S160" s="8">
        <v>2.4628097550678758</v>
      </c>
      <c r="T160" s="8">
        <v>2.356186809645946</v>
      </c>
      <c r="U160" s="8">
        <v>2.2569046420604515</v>
      </c>
      <c r="V160" s="8">
        <v>2.1642303836448562</v>
      </c>
      <c r="W160" s="8">
        <v>2.077525578689841</v>
      </c>
      <c r="X160" s="8">
        <v>1.9736369859485352</v>
      </c>
      <c r="Y160" s="8">
        <v>1.8771947778791345</v>
      </c>
      <c r="Z160" s="8">
        <v>1.7874260561697703</v>
      </c>
      <c r="AA160" s="8">
        <v>1.7036613095712321</v>
      </c>
      <c r="AB160" s="8">
        <v>1.6253176862747332</v>
      </c>
      <c r="AC160" s="8">
        <v>1.5229891586385769</v>
      </c>
      <c r="AD160" s="8">
        <v>1.4271326032682297</v>
      </c>
      <c r="AE160" s="8">
        <v>1.3371528425299357</v>
      </c>
      <c r="AF160" s="8">
        <v>1.2525255067943497</v>
      </c>
      <c r="AG160" s="8">
        <v>1.1727868085838626</v>
      </c>
      <c r="AH160" s="8">
        <v>1.0728543345359598</v>
      </c>
      <c r="AI160" s="8">
        <v>0.97879185233042854</v>
      </c>
      <c r="AJ160" s="8">
        <v>0.89009691735227292</v>
      </c>
      <c r="AK160" s="8">
        <v>0.8063228369156501</v>
      </c>
      <c r="AL160" s="8">
        <v>0.7270711461005348</v>
      </c>
      <c r="AM160" s="8">
        <v>0.62567636499683799</v>
      </c>
      <c r="AN160" s="8">
        <v>0.53014588477960534</v>
      </c>
      <c r="AO160" s="8">
        <v>0.43998524983161891</v>
      </c>
      <c r="AP160" s="8">
        <v>0.3547540724329542</v>
      </c>
      <c r="AQ160" s="8">
        <v>0.27405883912108858</v>
      </c>
      <c r="AR160" s="8">
        <v>0.25654088462098301</v>
      </c>
      <c r="AS160" s="8">
        <v>0.23994674539817232</v>
      </c>
      <c r="AT160" s="8">
        <v>0.22420522224156358</v>
      </c>
      <c r="AU160" s="8">
        <v>0.20925224919459662</v>
      </c>
      <c r="AV160" s="8">
        <v>0.19503002205689091</v>
      </c>
      <c r="AW160" s="8">
        <v>0.17774513805897432</v>
      </c>
      <c r="AX160" s="8">
        <v>0.16121349431030993</v>
      </c>
      <c r="AY160" s="8">
        <v>0.14538690373103577</v>
      </c>
      <c r="AZ160" s="8">
        <v>0.13022120365619499</v>
      </c>
      <c r="BA160" s="8">
        <v>0.11567584429713153</v>
      </c>
      <c r="BB160" s="10" t="s">
        <v>19</v>
      </c>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row>
    <row r="161" spans="2:80" x14ac:dyDescent="0.2">
      <c r="B161" s="101" t="s">
        <v>170</v>
      </c>
      <c r="C161" s="8">
        <v>0</v>
      </c>
      <c r="D161" s="8">
        <v>0</v>
      </c>
      <c r="E161" s="8">
        <v>0</v>
      </c>
      <c r="F161" s="8">
        <v>0</v>
      </c>
      <c r="G161" s="8">
        <v>0</v>
      </c>
      <c r="H161" s="8">
        <v>0</v>
      </c>
      <c r="I161" s="8">
        <v>0</v>
      </c>
      <c r="J161" s="8">
        <v>0</v>
      </c>
      <c r="K161" s="8">
        <v>0</v>
      </c>
      <c r="L161" s="8">
        <v>0</v>
      </c>
      <c r="M161" s="8">
        <v>0</v>
      </c>
      <c r="N161" s="8">
        <v>0</v>
      </c>
      <c r="O161" s="8">
        <v>0</v>
      </c>
      <c r="P161" s="8">
        <v>0</v>
      </c>
      <c r="Q161" s="8">
        <v>0</v>
      </c>
      <c r="R161" s="8">
        <v>0</v>
      </c>
      <c r="S161" s="8">
        <v>0</v>
      </c>
      <c r="T161" s="8">
        <v>0</v>
      </c>
      <c r="U161" s="8">
        <v>0</v>
      </c>
      <c r="V161" s="8">
        <v>0</v>
      </c>
      <c r="W161" s="8">
        <v>0</v>
      </c>
      <c r="X161" s="8">
        <v>0</v>
      </c>
      <c r="Y161" s="8">
        <v>0</v>
      </c>
      <c r="Z161" s="8">
        <v>0</v>
      </c>
      <c r="AA161" s="8">
        <v>0</v>
      </c>
      <c r="AB161" s="8">
        <v>0</v>
      </c>
      <c r="AC161" s="8">
        <v>0</v>
      </c>
      <c r="AD161" s="8">
        <v>0</v>
      </c>
      <c r="AE161" s="8">
        <v>0</v>
      </c>
      <c r="AF161" s="8">
        <v>0</v>
      </c>
      <c r="AG161" s="8">
        <v>0</v>
      </c>
      <c r="AH161" s="8">
        <v>0</v>
      </c>
      <c r="AI161" s="8">
        <v>0</v>
      </c>
      <c r="AJ161" s="8">
        <v>0</v>
      </c>
      <c r="AK161" s="8">
        <v>0</v>
      </c>
      <c r="AL161" s="8">
        <v>0</v>
      </c>
      <c r="AM161" s="8">
        <v>0</v>
      </c>
      <c r="AN161" s="8">
        <v>0</v>
      </c>
      <c r="AO161" s="8">
        <v>0</v>
      </c>
      <c r="AP161" s="8">
        <v>0</v>
      </c>
      <c r="AQ161" s="8">
        <v>0</v>
      </c>
      <c r="AR161" s="8">
        <v>0</v>
      </c>
      <c r="AS161" s="8">
        <v>0</v>
      </c>
      <c r="AT161" s="8">
        <v>0</v>
      </c>
      <c r="AU161" s="8">
        <v>0</v>
      </c>
      <c r="AV161" s="8">
        <v>0</v>
      </c>
      <c r="AW161" s="8">
        <v>0</v>
      </c>
      <c r="AX161" s="8">
        <v>0</v>
      </c>
      <c r="AY161" s="8">
        <v>0</v>
      </c>
      <c r="AZ161" s="8">
        <v>0</v>
      </c>
      <c r="BA161" s="8">
        <v>0</v>
      </c>
      <c r="BB161" s="10" t="s">
        <v>19</v>
      </c>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row>
    <row r="162" spans="2:80" x14ac:dyDescent="0.2">
      <c r="B162" s="101" t="s">
        <v>171</v>
      </c>
      <c r="C162" s="8">
        <v>4.7071116935906145</v>
      </c>
      <c r="D162" s="8">
        <v>4.6216877028007524</v>
      </c>
      <c r="E162" s="8">
        <v>4.5416792980747731</v>
      </c>
      <c r="F162" s="8">
        <v>4.4665873080954137</v>
      </c>
      <c r="G162" s="8">
        <v>4.3959720797713455</v>
      </c>
      <c r="H162" s="8">
        <v>4.329444864257014</v>
      </c>
      <c r="I162" s="8">
        <v>4.2126843827483142</v>
      </c>
      <c r="J162" s="8">
        <v>4.1018534194638363</v>
      </c>
      <c r="K162" s="8">
        <v>3.9965114759816673</v>
      </c>
      <c r="L162" s="8">
        <v>3.8962606318149455</v>
      </c>
      <c r="M162" s="8">
        <v>3.8007405213899794</v>
      </c>
      <c r="N162" s="8">
        <v>3.6579769438670211</v>
      </c>
      <c r="O162" s="8">
        <v>3.524346536088192</v>
      </c>
      <c r="P162" s="8">
        <v>3.3990000341802413</v>
      </c>
      <c r="Q162" s="8">
        <v>3.2811903024754416</v>
      </c>
      <c r="R162" s="8">
        <v>3.1702574297922403</v>
      </c>
      <c r="S162" s="8">
        <v>3.0362107180480633</v>
      </c>
      <c r="T162" s="8">
        <v>2.9111531620140534</v>
      </c>
      <c r="U162" s="8">
        <v>2.7942098789680756</v>
      </c>
      <c r="V162" s="8">
        <v>2.6846159510123098</v>
      </c>
      <c r="W162" s="8">
        <v>2.5816996744471896</v>
      </c>
      <c r="X162" s="8">
        <v>2.4583908319165841</v>
      </c>
      <c r="Y162" s="8">
        <v>2.3433979721046017</v>
      </c>
      <c r="Z162" s="8">
        <v>2.2359072883942712</v>
      </c>
      <c r="AA162" s="8">
        <v>2.1352078058608877</v>
      </c>
      <c r="AB162" s="8">
        <v>2.0406756365224923</v>
      </c>
      <c r="AC162" s="8">
        <v>1.9185321462241811</v>
      </c>
      <c r="AD162" s="8">
        <v>1.8033773618004139</v>
      </c>
      <c r="AE162" s="8">
        <v>1.6946281546904451</v>
      </c>
      <c r="AF162" s="8">
        <v>1.5917645148139503</v>
      </c>
      <c r="AG162" s="8">
        <v>1.4943212355598596</v>
      </c>
      <c r="AH162" s="8">
        <v>1.3731837971897343</v>
      </c>
      <c r="AI162" s="8">
        <v>1.2581548764120543</v>
      </c>
      <c r="AJ162" s="8">
        <v>1.148783791079439</v>
      </c>
      <c r="AK162" s="8">
        <v>1.0446631295721265</v>
      </c>
      <c r="AL162" s="8">
        <v>0.94542367945599759</v>
      </c>
      <c r="AM162" s="8">
        <v>0.81631772831084126</v>
      </c>
      <c r="AN162" s="8">
        <v>0.69388077477901411</v>
      </c>
      <c r="AO162" s="8">
        <v>0.57760909591353016</v>
      </c>
      <c r="AP162" s="8">
        <v>0.4670484525221304</v>
      </c>
      <c r="AQ162" s="8">
        <v>0.36178815845862272</v>
      </c>
      <c r="AR162" s="8">
        <v>0.34040405932096851</v>
      </c>
      <c r="AS162" s="8">
        <v>0.31994382384135794</v>
      </c>
      <c r="AT162" s="8">
        <v>0.30034884704527881</v>
      </c>
      <c r="AU162" s="8">
        <v>0.28156537809991167</v>
      </c>
      <c r="AV162" s="8">
        <v>0.26354402793535642</v>
      </c>
      <c r="AW162" s="8">
        <v>0.24114922306281264</v>
      </c>
      <c r="AX162" s="8">
        <v>0.21956181220864818</v>
      </c>
      <c r="AY162" s="8">
        <v>0.19873890537700112</v>
      </c>
      <c r="AZ162" s="8">
        <v>0.17864059755858488</v>
      </c>
      <c r="BA162" s="8">
        <v>0.15922971349145526</v>
      </c>
      <c r="BB162" s="10" t="s">
        <v>19</v>
      </c>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row>
    <row r="163" spans="2:80" x14ac:dyDescent="0.2">
      <c r="B163" s="101" t="s">
        <v>107</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c r="BA163" s="103"/>
      <c r="BB163" s="10"/>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row>
    <row r="164" spans="2:80" x14ac:dyDescent="0.2">
      <c r="B164" s="101" t="s">
        <v>8</v>
      </c>
      <c r="C164" s="8">
        <v>25.25816419589356</v>
      </c>
      <c r="D164" s="8">
        <v>24.923640713427297</v>
      </c>
      <c r="E164" s="8">
        <v>24.615824665958662</v>
      </c>
      <c r="F164" s="8">
        <v>24.33164045489616</v>
      </c>
      <c r="G164" s="8">
        <v>24.068467267468034</v>
      </c>
      <c r="H164" s="8">
        <v>23.824058012514222</v>
      </c>
      <c r="I164" s="8">
        <v>23.192983633983999</v>
      </c>
      <c r="J164" s="8">
        <v>22.607777587563742</v>
      </c>
      <c r="K164" s="8">
        <v>22.063614468659051</v>
      </c>
      <c r="L164" s="8">
        <v>21.556322792887723</v>
      </c>
      <c r="M164" s="8">
        <v>21.082277854986607</v>
      </c>
      <c r="N164" s="8">
        <v>20.557072407927947</v>
      </c>
      <c r="O164" s="8">
        <v>20.066045606339383</v>
      </c>
      <c r="P164" s="8">
        <v>19.605966237591073</v>
      </c>
      <c r="Q164" s="8">
        <v>19.173997946441464</v>
      </c>
      <c r="R164" s="8">
        <v>18.767640708094298</v>
      </c>
      <c r="S164" s="8">
        <v>18.276394319073173</v>
      </c>
      <c r="T164" s="8">
        <v>17.816435787829182</v>
      </c>
      <c r="U164" s="8">
        <v>17.384868244932111</v>
      </c>
      <c r="V164" s="8">
        <v>16.979141733481548</v>
      </c>
      <c r="W164" s="8">
        <v>16.597002788305812</v>
      </c>
      <c r="X164" s="8">
        <v>16.090801391673907</v>
      </c>
      <c r="Y164" s="8">
        <v>15.614962756907257</v>
      </c>
      <c r="Z164" s="8">
        <v>15.166834617721603</v>
      </c>
      <c r="AA164" s="8">
        <v>14.744064877451978</v>
      </c>
      <c r="AB164" s="8">
        <v>14.344560312938748</v>
      </c>
      <c r="AC164" s="8">
        <v>13.851075159783463</v>
      </c>
      <c r="AD164" s="8">
        <v>13.38571395685589</v>
      </c>
      <c r="AE164" s="8">
        <v>12.946139118543707</v>
      </c>
      <c r="AF164" s="8">
        <v>12.530265133598283</v>
      </c>
      <c r="AG164" s="8">
        <v>12.136225478940808</v>
      </c>
      <c r="AH164" s="8">
        <v>11.720809471604355</v>
      </c>
      <c r="AI164" s="8">
        <v>11.328654158278868</v>
      </c>
      <c r="AJ164" s="8">
        <v>10.957859066520179</v>
      </c>
      <c r="AK164" s="8">
        <v>10.606725267790445</v>
      </c>
      <c r="AL164" s="8">
        <v>10.273729350488585</v>
      </c>
      <c r="AM164" s="8">
        <v>9.9060044264585354</v>
      </c>
      <c r="AN164" s="8">
        <v>9.5601367074932639</v>
      </c>
      <c r="AO164" s="8">
        <v>9.2342336821816886</v>
      </c>
      <c r="AP164" s="8">
        <v>8.9266151949006858</v>
      </c>
      <c r="AQ164" s="8">
        <v>8.6357844734078828</v>
      </c>
      <c r="AR164" s="8">
        <v>8.3962456784826589</v>
      </c>
      <c r="AS164" s="8">
        <v>8.1651032069298406</v>
      </c>
      <c r="AT164" s="8">
        <v>7.9419232001720079</v>
      </c>
      <c r="AU164" s="8">
        <v>7.7263011848752541</v>
      </c>
      <c r="AV164" s="8">
        <v>7.517859626544583</v>
      </c>
      <c r="AW164" s="8">
        <v>7.2905081198956774</v>
      </c>
      <c r="AX164" s="8">
        <v>7.070394535410176</v>
      </c>
      <c r="AY164" s="8">
        <v>6.8571786509088639</v>
      </c>
      <c r="AZ164" s="8">
        <v>6.6505412383524956</v>
      </c>
      <c r="BA164" s="8">
        <v>6.4501824690831882</v>
      </c>
      <c r="BB164" s="10" t="s">
        <v>20</v>
      </c>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row>
    <row r="165" spans="2:80" x14ac:dyDescent="0.2">
      <c r="B165" s="101" t="s">
        <v>181</v>
      </c>
      <c r="C165" s="8">
        <v>417.51551845257956</v>
      </c>
      <c r="D165" s="8">
        <v>422.06345744814553</v>
      </c>
      <c r="E165" s="8">
        <v>426.10197485509042</v>
      </c>
      <c r="F165" s="8">
        <v>429.71212291529343</v>
      </c>
      <c r="G165" s="8">
        <v>432.95862528929854</v>
      </c>
      <c r="H165" s="8">
        <v>435.89379178714779</v>
      </c>
      <c r="I165" s="8">
        <v>434.49062337377489</v>
      </c>
      <c r="J165" s="8">
        <v>433.02898960984481</v>
      </c>
      <c r="K165" s="8">
        <v>431.50515866447086</v>
      </c>
      <c r="L165" s="8">
        <v>429.91507419973289</v>
      </c>
      <c r="M165" s="8">
        <v>428.25431931433985</v>
      </c>
      <c r="N165" s="8">
        <v>426.79863921095273</v>
      </c>
      <c r="O165" s="8">
        <v>425.28230576992428</v>
      </c>
      <c r="P165" s="8">
        <v>423.70144750161819</v>
      </c>
      <c r="Q165" s="8">
        <v>422.0518562651248</v>
      </c>
      <c r="R165" s="8">
        <v>420.32894986256525</v>
      </c>
      <c r="S165" s="8">
        <v>414.23425263464202</v>
      </c>
      <c r="T165" s="8">
        <v>407.88560968888874</v>
      </c>
      <c r="U165" s="8">
        <v>401.26681172416716</v>
      </c>
      <c r="V165" s="8">
        <v>394.36023993489249</v>
      </c>
      <c r="W165" s="8">
        <v>387.14670939942783</v>
      </c>
      <c r="X165" s="8">
        <v>381.04205626153578</v>
      </c>
      <c r="Y165" s="8">
        <v>374.68304257623146</v>
      </c>
      <c r="Z165" s="8">
        <v>368.05343256389295</v>
      </c>
      <c r="AA165" s="8">
        <v>361.13557863797456</v>
      </c>
      <c r="AB165" s="8">
        <v>353.91026453757081</v>
      </c>
      <c r="AC165" s="8">
        <v>335.5718352776251</v>
      </c>
      <c r="AD165" s="8">
        <v>316.46930479851517</v>
      </c>
      <c r="AE165" s="8">
        <v>296.5539006819962</v>
      </c>
      <c r="AF165" s="8">
        <v>275.7726094299764</v>
      </c>
      <c r="AG165" s="8">
        <v>254.0677052334224</v>
      </c>
      <c r="AH165" s="8">
        <v>235.72240408854032</v>
      </c>
      <c r="AI165" s="8">
        <v>216.61271539595487</v>
      </c>
      <c r="AJ165" s="8">
        <v>196.6898484611317</v>
      </c>
      <c r="AK165" s="8">
        <v>175.90076992044663</v>
      </c>
      <c r="AL165" s="8">
        <v>154.18773233350893</v>
      </c>
      <c r="AM165" s="8">
        <v>128.75527807661769</v>
      </c>
      <c r="AN165" s="8">
        <v>102.26313822568933</v>
      </c>
      <c r="AO165" s="8">
        <v>74.643673274721451</v>
      </c>
      <c r="AP165" s="8">
        <v>45.823362021537569</v>
      </c>
      <c r="AQ165" s="8">
        <v>15.722148045989949</v>
      </c>
      <c r="AR165" s="8">
        <v>12.914857765451362</v>
      </c>
      <c r="AS165" s="8">
        <v>9.9905970565570037</v>
      </c>
      <c r="AT165" s="8">
        <v>6.941899721752244</v>
      </c>
      <c r="AU165" s="8">
        <v>3.7606503289124977</v>
      </c>
      <c r="AV165" s="8">
        <v>0.43801207416876115</v>
      </c>
      <c r="AW165" s="8">
        <v>0.43850020989338268</v>
      </c>
      <c r="AX165" s="8">
        <v>0.43900868460652998</v>
      </c>
      <c r="AY165" s="8">
        <v>0.4395387965415134</v>
      </c>
      <c r="AZ165" s="8">
        <v>0.44009195682149621</v>
      </c>
      <c r="BA165" s="8">
        <v>0.4406697020028113</v>
      </c>
      <c r="BB165" s="10" t="s">
        <v>20</v>
      </c>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row>
    <row r="166" spans="2:80" x14ac:dyDescent="0.2">
      <c r="B166" s="101" t="s">
        <v>172</v>
      </c>
      <c r="C166" s="8">
        <v>454.35842684622588</v>
      </c>
      <c r="D166" s="8">
        <v>447.76227572777208</v>
      </c>
      <c r="E166" s="8">
        <v>441.48505913378438</v>
      </c>
      <c r="F166" s="8">
        <v>435.50419158981038</v>
      </c>
      <c r="G166" s="8">
        <v>429.79917097594432</v>
      </c>
      <c r="H166" s="8">
        <v>424.35134372269698</v>
      </c>
      <c r="I166" s="8">
        <v>411.58032348812321</v>
      </c>
      <c r="J166" s="8">
        <v>399.27052135820514</v>
      </c>
      <c r="K166" s="8">
        <v>387.3973955464437</v>
      </c>
      <c r="L166" s="8">
        <v>375.93811510557504</v>
      </c>
      <c r="M166" s="8">
        <v>364.87141340023953</v>
      </c>
      <c r="N166" s="8">
        <v>354.78024311420609</v>
      </c>
      <c r="O166" s="8">
        <v>345.19620768988005</v>
      </c>
      <c r="P166" s="8">
        <v>336.08201486693571</v>
      </c>
      <c r="Q166" s="8">
        <v>327.40394129630624</v>
      </c>
      <c r="R166" s="8">
        <v>319.13141558004509</v>
      </c>
      <c r="S166" s="8">
        <v>310.54566689606901</v>
      </c>
      <c r="T166" s="8">
        <v>302.43342302785322</v>
      </c>
      <c r="U166" s="8">
        <v>294.75656437503488</v>
      </c>
      <c r="V166" s="8">
        <v>287.48095617206059</v>
      </c>
      <c r="W166" s="8">
        <v>280.57594105561498</v>
      </c>
      <c r="X166" s="8">
        <v>272.44139317625894</v>
      </c>
      <c r="Y166" s="8">
        <v>264.66213659498527</v>
      </c>
      <c r="Z166" s="8">
        <v>257.21539178204745</v>
      </c>
      <c r="AA166" s="8">
        <v>250.08028580887796</v>
      </c>
      <c r="AB166" s="8">
        <v>243.23765696303133</v>
      </c>
      <c r="AC166" s="8">
        <v>236.85836542610079</v>
      </c>
      <c r="AD166" s="8">
        <v>230.70195303140406</v>
      </c>
      <c r="AE166" s="8">
        <v>224.75693992146057</v>
      </c>
      <c r="AF166" s="8">
        <v>219.01262132350462</v>
      </c>
      <c r="AG166" s="8">
        <v>213.45900322112422</v>
      </c>
      <c r="AH166" s="8">
        <v>208.43029579595725</v>
      </c>
      <c r="AI166" s="8">
        <v>203.55682148973708</v>
      </c>
      <c r="AJ166" s="8">
        <v>198.83150163257599</v>
      </c>
      <c r="AK166" s="8">
        <v>194.24768149617876</v>
      </c>
      <c r="AL166" s="8">
        <v>189.79909902468856</v>
      </c>
      <c r="AM166" s="8">
        <v>185.37139019506529</v>
      </c>
      <c r="AN166" s="8">
        <v>181.07768611863924</v>
      </c>
      <c r="AO166" s="8">
        <v>176.91199399418628</v>
      </c>
      <c r="AP166" s="8">
        <v>172.86867310915852</v>
      </c>
      <c r="AQ166" s="8">
        <v>168.94240935661534</v>
      </c>
      <c r="AR166" s="8">
        <v>164.6746222222674</v>
      </c>
      <c r="AS166" s="8">
        <v>160.53404018540385</v>
      </c>
      <c r="AT166" s="8">
        <v>156.51505956983419</v>
      </c>
      <c r="AU166" s="8">
        <v>152.61240107590305</v>
      </c>
      <c r="AV166" s="8">
        <v>148.82108664408125</v>
      </c>
      <c r="AW166" s="8">
        <v>144.34408094300579</v>
      </c>
      <c r="AX166" s="8">
        <v>139.98582741718837</v>
      </c>
      <c r="AY166" s="8">
        <v>135.74166307315141</v>
      </c>
      <c r="AZ166" s="8">
        <v>131.60716589643908</v>
      </c>
      <c r="BA166" s="8">
        <v>127.57813948321795</v>
      </c>
      <c r="BB166" s="10" t="s">
        <v>20</v>
      </c>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row>
    <row r="167" spans="2:80" x14ac:dyDescent="0.2">
      <c r="B167" s="101" t="s">
        <v>180</v>
      </c>
      <c r="C167" s="8">
        <v>85.246472060416721</v>
      </c>
      <c r="D167" s="8">
        <v>84.887001043767654</v>
      </c>
      <c r="E167" s="8">
        <v>84.565644357424901</v>
      </c>
      <c r="F167" s="8">
        <v>84.276645354018996</v>
      </c>
      <c r="G167" s="8">
        <v>84.015351102708109</v>
      </c>
      <c r="H167" s="8">
        <v>83.77795997004732</v>
      </c>
      <c r="I167" s="8">
        <v>82.649008800345229</v>
      </c>
      <c r="J167" s="8">
        <v>81.531879054242125</v>
      </c>
      <c r="K167" s="8">
        <v>80.426386022843246</v>
      </c>
      <c r="L167" s="8">
        <v>79.332348825399961</v>
      </c>
      <c r="M167" s="8">
        <v>78.249590310646582</v>
      </c>
      <c r="N167" s="8">
        <v>77.072091211334779</v>
      </c>
      <c r="O167" s="8">
        <v>75.929858422543816</v>
      </c>
      <c r="P167" s="8">
        <v>74.821330971436183</v>
      </c>
      <c r="Q167" s="8">
        <v>73.7450386690182</v>
      </c>
      <c r="R167" s="8">
        <v>72.69959560490814</v>
      </c>
      <c r="S167" s="8">
        <v>71.153611884679279</v>
      </c>
      <c r="T167" s="8">
        <v>69.707955077536525</v>
      </c>
      <c r="U167" s="8">
        <v>68.353166009254736</v>
      </c>
      <c r="V167" s="8">
        <v>67.080938398302408</v>
      </c>
      <c r="W167" s="8">
        <v>65.883948405014166</v>
      </c>
      <c r="X167" s="8">
        <v>64.395545696220978</v>
      </c>
      <c r="Y167" s="8">
        <v>62.970154283651652</v>
      </c>
      <c r="Z167" s="8">
        <v>61.603855750020927</v>
      </c>
      <c r="AA167" s="8">
        <v>60.293049974193352</v>
      </c>
      <c r="AB167" s="8">
        <v>59.034423455139404</v>
      </c>
      <c r="AC167" s="8">
        <v>57.729744391267729</v>
      </c>
      <c r="AD167" s="8">
        <v>56.446421757425988</v>
      </c>
      <c r="AE167" s="8">
        <v>55.183935432072722</v>
      </c>
      <c r="AF167" s="8">
        <v>53.94178204727433</v>
      </c>
      <c r="AG167" s="8">
        <v>52.719474319531699</v>
      </c>
      <c r="AH167" s="8">
        <v>51.651700410155719</v>
      </c>
      <c r="AI167" s="8">
        <v>50.591400151244031</v>
      </c>
      <c r="AJ167" s="8">
        <v>49.538495351161018</v>
      </c>
      <c r="AK167" s="8">
        <v>48.492908905233733</v>
      </c>
      <c r="AL167" s="8">
        <v>47.454564776929537</v>
      </c>
      <c r="AM167" s="8">
        <v>46.50650101534189</v>
      </c>
      <c r="AN167" s="8">
        <v>45.572018300701686</v>
      </c>
      <c r="AO167" s="8">
        <v>44.650826884867648</v>
      </c>
      <c r="AP167" s="8">
        <v>43.742645203766209</v>
      </c>
      <c r="AQ167" s="8">
        <v>42.847199590464207</v>
      </c>
      <c r="AR167" s="8">
        <v>41.87955001186976</v>
      </c>
      <c r="AS167" s="8">
        <v>40.928884727129606</v>
      </c>
      <c r="AT167" s="8">
        <v>39.994760461107269</v>
      </c>
      <c r="AU167" s="8">
        <v>39.076749231081848</v>
      </c>
      <c r="AV167" s="8">
        <v>38.174437692926453</v>
      </c>
      <c r="AW167" s="8">
        <v>37.16895237323893</v>
      </c>
      <c r="AX167" s="8">
        <v>36.179591773334863</v>
      </c>
      <c r="AY167" s="8">
        <v>35.20597109643559</v>
      </c>
      <c r="AZ167" s="8">
        <v>34.247717692746079</v>
      </c>
      <c r="BA167" s="8">
        <v>33.304470583899082</v>
      </c>
      <c r="BB167" s="10" t="s">
        <v>20</v>
      </c>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row>
    <row r="168" spans="2:80" x14ac:dyDescent="0.2">
      <c r="B168" s="101" t="s">
        <v>179</v>
      </c>
      <c r="C168" s="8">
        <v>66.402924045911263</v>
      </c>
      <c r="D168" s="8">
        <v>66.002779697515734</v>
      </c>
      <c r="E168" s="8">
        <v>65.643499418629787</v>
      </c>
      <c r="F168" s="8">
        <v>65.319127553240151</v>
      </c>
      <c r="G168" s="8">
        <v>65.024812153704858</v>
      </c>
      <c r="H168" s="8">
        <v>64.756560626279182</v>
      </c>
      <c r="I168" s="8">
        <v>63.363085082220572</v>
      </c>
      <c r="J168" s="8">
        <v>62.114493101398743</v>
      </c>
      <c r="K168" s="8">
        <v>60.989305389045334</v>
      </c>
      <c r="L168" s="8">
        <v>59.970088515557109</v>
      </c>
      <c r="M168" s="8">
        <v>59.042545152655066</v>
      </c>
      <c r="N168" s="8">
        <v>57.488273296801353</v>
      </c>
      <c r="O168" s="8">
        <v>56.069718211036317</v>
      </c>
      <c r="P168" s="8">
        <v>54.769847623950199</v>
      </c>
      <c r="Q168" s="8">
        <v>53.574364862263927</v>
      </c>
      <c r="R168" s="8">
        <v>52.471180837668371</v>
      </c>
      <c r="S168" s="8">
        <v>50.842867273876792</v>
      </c>
      <c r="T168" s="8">
        <v>49.337717475710029</v>
      </c>
      <c r="U168" s="8">
        <v>47.942266722738204</v>
      </c>
      <c r="V168" s="8">
        <v>46.644943970964803</v>
      </c>
      <c r="W168" s="8">
        <v>45.435750252298249</v>
      </c>
      <c r="X168" s="8">
        <v>43.874362410480245</v>
      </c>
      <c r="Y168" s="8">
        <v>42.417529314370938</v>
      </c>
      <c r="Z168" s="8">
        <v>41.055089288471471</v>
      </c>
      <c r="AA168" s="8">
        <v>39.778156153096212</v>
      </c>
      <c r="AB168" s="8">
        <v>38.578925187602955</v>
      </c>
      <c r="AC168" s="8">
        <v>37.234628612000527</v>
      </c>
      <c r="AD168" s="8">
        <v>35.971315403691996</v>
      </c>
      <c r="AE168" s="8">
        <v>34.781881618372715</v>
      </c>
      <c r="AF168" s="8">
        <v>33.660030593611026</v>
      </c>
      <c r="AG168" s="8">
        <v>32.60016144374859</v>
      </c>
      <c r="AH168" s="8">
        <v>31.475647722220387</v>
      </c>
      <c r="AI168" s="8">
        <v>30.412834172235616</v>
      </c>
      <c r="AJ168" s="8">
        <v>29.406778310122323</v>
      </c>
      <c r="AK168" s="8">
        <v>28.453051812584185</v>
      </c>
      <c r="AL168" s="8">
        <v>27.547675352124248</v>
      </c>
      <c r="AM168" s="8">
        <v>26.560493962328131</v>
      </c>
      <c r="AN168" s="8">
        <v>25.623128405091375</v>
      </c>
      <c r="AO168" s="8">
        <v>24.731900718658981</v>
      </c>
      <c r="AP168" s="8">
        <v>23.883486309101837</v>
      </c>
      <c r="AQ168" s="8">
        <v>23.074872507555462</v>
      </c>
      <c r="AR168" s="8">
        <v>22.111934325696954</v>
      </c>
      <c r="AS168" s="8">
        <v>21.194040129943726</v>
      </c>
      <c r="AT168" s="8">
        <v>20.318101575272944</v>
      </c>
      <c r="AU168" s="8">
        <v>19.481306336168302</v>
      </c>
      <c r="AV168" s="8">
        <v>18.681087944153745</v>
      </c>
      <c r="AW168" s="8">
        <v>17.712197717023731</v>
      </c>
      <c r="AX168" s="8">
        <v>16.785593855732113</v>
      </c>
      <c r="AY168" s="8">
        <v>15.898567153623334</v>
      </c>
      <c r="AZ168" s="8">
        <v>15.048634996517508</v>
      </c>
      <c r="BA168" s="8">
        <v>14.233518158242804</v>
      </c>
      <c r="BB168" s="10" t="s">
        <v>20</v>
      </c>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row>
    <row r="169" spans="2:80" x14ac:dyDescent="0.2">
      <c r="B169" s="101" t="s">
        <v>137</v>
      </c>
      <c r="C169" s="8">
        <v>72.636395589344019</v>
      </c>
      <c r="D169" s="8">
        <v>72.259321917644797</v>
      </c>
      <c r="E169" s="8">
        <v>71.921244856679351</v>
      </c>
      <c r="F169" s="8">
        <v>71.616412352331437</v>
      </c>
      <c r="G169" s="8">
        <v>71.340150584738751</v>
      </c>
      <c r="H169" s="8">
        <v>71.088622631551431</v>
      </c>
      <c r="I169" s="8">
        <v>69.566159243589127</v>
      </c>
      <c r="J169" s="8">
        <v>68.157686754535632</v>
      </c>
      <c r="K169" s="8">
        <v>66.850864932984308</v>
      </c>
      <c r="L169" s="8">
        <v>65.635072720599254</v>
      </c>
      <c r="M169" s="8">
        <v>64.501118926091834</v>
      </c>
      <c r="N169" s="8">
        <v>62.929650959375657</v>
      </c>
      <c r="O169" s="8">
        <v>61.47088340530415</v>
      </c>
      <c r="P169" s="8">
        <v>60.113112208208832</v>
      </c>
      <c r="Q169" s="8">
        <v>58.846199725755696</v>
      </c>
      <c r="R169" s="8">
        <v>57.661321161659778</v>
      </c>
      <c r="S169" s="8">
        <v>56.030965560064679</v>
      </c>
      <c r="T169" s="8">
        <v>54.519472488787876</v>
      </c>
      <c r="U169" s="8">
        <v>53.114300453936018</v>
      </c>
      <c r="V169" s="8">
        <v>51.804612395923741</v>
      </c>
      <c r="W169" s="8">
        <v>50.580995655412245</v>
      </c>
      <c r="X169" s="8">
        <v>48.986390059024245</v>
      </c>
      <c r="Y169" s="8">
        <v>47.488873293637511</v>
      </c>
      <c r="Z169" s="8">
        <v>46.07984032528956</v>
      </c>
      <c r="AA169" s="8">
        <v>44.751673831125274</v>
      </c>
      <c r="AB169" s="8">
        <v>43.497606437104807</v>
      </c>
      <c r="AC169" s="8">
        <v>42.076286132197993</v>
      </c>
      <c r="AD169" s="8">
        <v>40.726108372708978</v>
      </c>
      <c r="AE169" s="8">
        <v>39.441862137605433</v>
      </c>
      <c r="AF169" s="8">
        <v>38.218833202542982</v>
      </c>
      <c r="AG169" s="8">
        <v>37.052746314944244</v>
      </c>
      <c r="AH169" s="8">
        <v>35.854144317923712</v>
      </c>
      <c r="AI169" s="8">
        <v>34.709091573995245</v>
      </c>
      <c r="AJ169" s="8">
        <v>33.614077910304744</v>
      </c>
      <c r="AK169" s="8">
        <v>32.565893384716311</v>
      </c>
      <c r="AL169" s="8">
        <v>31.561596858794111</v>
      </c>
      <c r="AM169" s="8">
        <v>30.521689672605138</v>
      </c>
      <c r="AN169" s="8">
        <v>29.526905052212271</v>
      </c>
      <c r="AO169" s="8">
        <v>28.574368494507944</v>
      </c>
      <c r="AP169" s="8">
        <v>27.661444577304557</v>
      </c>
      <c r="AQ169" s="8">
        <v>26.78571260931658</v>
      </c>
      <c r="AR169" s="8">
        <v>25.775860178959395</v>
      </c>
      <c r="AS169" s="8">
        <v>24.807841828703037</v>
      </c>
      <c r="AT169" s="8">
        <v>23.879110786003114</v>
      </c>
      <c r="AU169" s="8">
        <v>22.987322889807487</v>
      </c>
      <c r="AV169" s="8">
        <v>22.13031683473546</v>
      </c>
      <c r="AW169" s="8">
        <v>21.114209811617542</v>
      </c>
      <c r="AX169" s="8">
        <v>20.13760144853503</v>
      </c>
      <c r="AY169" s="8">
        <v>19.198232536274393</v>
      </c>
      <c r="AZ169" s="8">
        <v>18.294012935831002</v>
      </c>
      <c r="BA169" s="8">
        <v>17.423006053195049</v>
      </c>
      <c r="BB169" s="10" t="s">
        <v>20</v>
      </c>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row>
    <row r="170" spans="2:80" x14ac:dyDescent="0.2">
      <c r="B170" s="101" t="s">
        <v>173</v>
      </c>
      <c r="C170" s="8">
        <v>7.5870485226626565</v>
      </c>
      <c r="D170" s="8">
        <v>7.4624226391967987</v>
      </c>
      <c r="E170" s="8">
        <v>7.3445103718553799</v>
      </c>
      <c r="F170" s="8">
        <v>7.2327834541877438</v>
      </c>
      <c r="G170" s="8">
        <v>7.1267676260120503</v>
      </c>
      <c r="H170" s="8">
        <v>7.0260359038812119</v>
      </c>
      <c r="I170" s="8">
        <v>6.7000537674672529</v>
      </c>
      <c r="J170" s="8">
        <v>6.4035089187936327</v>
      </c>
      <c r="K170" s="8">
        <v>6.1325861894208229</v>
      </c>
      <c r="L170" s="8">
        <v>5.8841023865611666</v>
      </c>
      <c r="M170" s="8">
        <v>5.6553806396354833</v>
      </c>
      <c r="N170" s="8">
        <v>5.4516370727233268</v>
      </c>
      <c r="O170" s="8">
        <v>5.2592653510158804</v>
      </c>
      <c r="P170" s="8">
        <v>5.0773392520623819</v>
      </c>
      <c r="Q170" s="8">
        <v>4.9050304809220693</v>
      </c>
      <c r="R170" s="8">
        <v>4.7415960613580888</v>
      </c>
      <c r="S170" s="8">
        <v>4.5663022140057326</v>
      </c>
      <c r="T170" s="8">
        <v>4.4002607594958381</v>
      </c>
      <c r="U170" s="8">
        <v>4.242757991021354</v>
      </c>
      <c r="V170" s="8">
        <v>4.0931517664491617</v>
      </c>
      <c r="W170" s="8">
        <v>3.9508627577789328</v>
      </c>
      <c r="X170" s="8">
        <v>3.8060503717770864</v>
      </c>
      <c r="Y170" s="8">
        <v>3.667938067235069</v>
      </c>
      <c r="Z170" s="8">
        <v>3.5360713656535885</v>
      </c>
      <c r="AA170" s="8">
        <v>3.4100359838125662</v>
      </c>
      <c r="AB170" s="8">
        <v>3.2894534861784224</v>
      </c>
      <c r="AC170" s="8">
        <v>3.1810943939887051</v>
      </c>
      <c r="AD170" s="8">
        <v>3.076939176764566</v>
      </c>
      <c r="AE170" s="8">
        <v>2.9767478508016367</v>
      </c>
      <c r="AF170" s="8">
        <v>2.8802983576779435</v>
      </c>
      <c r="AG170" s="8">
        <v>2.7873849213003421</v>
      </c>
      <c r="AH170" s="8">
        <v>2.6910676891349357</v>
      </c>
      <c r="AI170" s="8">
        <v>2.5979221476159675</v>
      </c>
      <c r="AJ170" s="8">
        <v>2.5077941705124545</v>
      </c>
      <c r="AK170" s="8">
        <v>2.4205394586316658</v>
      </c>
      <c r="AL170" s="8">
        <v>2.3360227688966235</v>
      </c>
      <c r="AM170" s="8">
        <v>2.2494076397131986</v>
      </c>
      <c r="AN170" s="8">
        <v>2.165174521764945</v>
      </c>
      <c r="AO170" s="8">
        <v>2.0832264859898322</v>
      </c>
      <c r="AP170" s="8">
        <v>2.0034717919445586</v>
      </c>
      <c r="AQ170" s="8">
        <v>1.9258235452055337</v>
      </c>
      <c r="AR170" s="8">
        <v>1.8868308513925789</v>
      </c>
      <c r="AS170" s="8">
        <v>1.8487443267379893</v>
      </c>
      <c r="AT170" s="8">
        <v>1.8115327457503292</v>
      </c>
      <c r="AU170" s="8">
        <v>1.7751663013032581</v>
      </c>
      <c r="AV170" s="8">
        <v>1.7396165250062456</v>
      </c>
      <c r="AW170" s="8">
        <v>1.7039422012447605</v>
      </c>
      <c r="AX170" s="8">
        <v>1.6689777367332734</v>
      </c>
      <c r="AY170" s="8">
        <v>1.6347021526792438</v>
      </c>
      <c r="AZ170" s="8">
        <v>1.6010952888870422</v>
      </c>
      <c r="BA170" s="8">
        <v>1.5681377642164023</v>
      </c>
      <c r="BB170" s="10" t="s">
        <v>20</v>
      </c>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row>
    <row r="171" spans="2:80" x14ac:dyDescent="0.2">
      <c r="B171" s="101" t="s">
        <v>174</v>
      </c>
      <c r="C171" s="8">
        <v>9.5576786035487604</v>
      </c>
      <c r="D171" s="8">
        <v>9.1783062694271838</v>
      </c>
      <c r="E171" s="8">
        <v>8.8281802960183438</v>
      </c>
      <c r="F171" s="8">
        <v>8.504044239085534</v>
      </c>
      <c r="G171" s="8">
        <v>8.2031078060585916</v>
      </c>
      <c r="H171" s="8">
        <v>7.9229663273776589</v>
      </c>
      <c r="I171" s="8">
        <v>7.7338544327040788</v>
      </c>
      <c r="J171" s="8">
        <v>7.5580907082201616</v>
      </c>
      <c r="K171" s="8">
        <v>7.3943100895253098</v>
      </c>
      <c r="L171" s="8">
        <v>7.2413275093156466</v>
      </c>
      <c r="M171" s="8">
        <v>7.0981091762033701</v>
      </c>
      <c r="N171" s="8">
        <v>6.9069693901657958</v>
      </c>
      <c r="O171" s="8">
        <v>6.7281567977186256</v>
      </c>
      <c r="P171" s="8">
        <v>6.5605161244339705</v>
      </c>
      <c r="Q171" s="8">
        <v>6.4030320821514737</v>
      </c>
      <c r="R171" s="8">
        <v>6.2548087894682958</v>
      </c>
      <c r="S171" s="8">
        <v>6.0775870842628139</v>
      </c>
      <c r="T171" s="8">
        <v>5.9114305982297868</v>
      </c>
      <c r="U171" s="8">
        <v>5.7553343832058266</v>
      </c>
      <c r="V171" s="8">
        <v>5.6084116083287974</v>
      </c>
      <c r="W171" s="8">
        <v>5.4698767016515761</v>
      </c>
      <c r="X171" s="8">
        <v>5.3345179322094243</v>
      </c>
      <c r="Y171" s="8">
        <v>5.2074677750236242</v>
      </c>
      <c r="Z171" s="8">
        <v>5.0879840089366519</v>
      </c>
      <c r="AA171" s="8">
        <v>4.9754102614747042</v>
      </c>
      <c r="AB171" s="8">
        <v>4.8691639456072497</v>
      </c>
      <c r="AC171" s="8">
        <v>4.7260465669263709</v>
      </c>
      <c r="AD171" s="8">
        <v>4.5916626723107434</v>
      </c>
      <c r="AE171" s="8">
        <v>4.4652365130538367</v>
      </c>
      <c r="AF171" s="8">
        <v>4.3460815725923556</v>
      </c>
      <c r="AG171" s="8">
        <v>4.2335880950005036</v>
      </c>
      <c r="AH171" s="8">
        <v>4.125519425675618</v>
      </c>
      <c r="AI171" s="8">
        <v>4.0240989679025478</v>
      </c>
      <c r="AJ171" s="8">
        <v>3.9287315477555436</v>
      </c>
      <c r="AK171" s="8">
        <v>3.8388909757885346</v>
      </c>
      <c r="AL171" s="8">
        <v>3.7541103338111861</v>
      </c>
      <c r="AM171" s="8">
        <v>3.6596007431861817</v>
      </c>
      <c r="AN171" s="8">
        <v>3.5713921215462219</v>
      </c>
      <c r="AO171" s="8">
        <v>3.4888746668288557</v>
      </c>
      <c r="AP171" s="8">
        <v>3.4115148059678293</v>
      </c>
      <c r="AQ171" s="8">
        <v>3.3388436444958915</v>
      </c>
      <c r="AR171" s="8">
        <v>3.2919109984593136</v>
      </c>
      <c r="AS171" s="8">
        <v>3.2465970104810129</v>
      </c>
      <c r="AT171" s="8">
        <v>3.2028193613678897</v>
      </c>
      <c r="AU171" s="8">
        <v>3.1605012208267893</v>
      </c>
      <c r="AV171" s="8">
        <v>3.1195707974777696</v>
      </c>
      <c r="AW171" s="8">
        <v>3.0969208163476893</v>
      </c>
      <c r="AX171" s="8">
        <v>3.074974303182219</v>
      </c>
      <c r="AY171" s="8">
        <v>3.0536989864415092</v>
      </c>
      <c r="AZ171" s="8">
        <v>3.0330645387948385</v>
      </c>
      <c r="BA171" s="8">
        <v>3.0130424328811864</v>
      </c>
      <c r="BB171" s="10" t="s">
        <v>20</v>
      </c>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row>
    <row r="172" spans="2:80" x14ac:dyDescent="0.2">
      <c r="B172" s="101" t="s">
        <v>175</v>
      </c>
      <c r="C172" s="8">
        <v>184.91672276046094</v>
      </c>
      <c r="D172" s="8">
        <v>183.09249290293948</v>
      </c>
      <c r="E172" s="8">
        <v>181.26826304541805</v>
      </c>
      <c r="F172" s="8">
        <v>179.44403318789659</v>
      </c>
      <c r="G172" s="8">
        <v>177.61980333037516</v>
      </c>
      <c r="H172" s="8">
        <v>175.7955734728537</v>
      </c>
      <c r="I172" s="8">
        <v>164.86744869192992</v>
      </c>
      <c r="J172" s="8">
        <v>153.93932391100614</v>
      </c>
      <c r="K172" s="8">
        <v>143.01119913008239</v>
      </c>
      <c r="L172" s="8">
        <v>132.08307434915861</v>
      </c>
      <c r="M172" s="8">
        <v>121.15494956823481</v>
      </c>
      <c r="N172" s="8">
        <v>119.45381416040711</v>
      </c>
      <c r="O172" s="8">
        <v>117.7526787525794</v>
      </c>
      <c r="P172" s="8">
        <v>116.05154334475168</v>
      </c>
      <c r="Q172" s="8">
        <v>114.35040793692397</v>
      </c>
      <c r="R172" s="8">
        <v>112.64927252909627</v>
      </c>
      <c r="S172" s="8">
        <v>111.10312672608077</v>
      </c>
      <c r="T172" s="8">
        <v>109.55698092306528</v>
      </c>
      <c r="U172" s="8">
        <v>108.0108351200498</v>
      </c>
      <c r="V172" s="8">
        <v>106.46468931703431</v>
      </c>
      <c r="W172" s="8">
        <v>104.91854351401882</v>
      </c>
      <c r="X172" s="8">
        <v>103.14147194911426</v>
      </c>
      <c r="Y172" s="8">
        <v>101.3644003842097</v>
      </c>
      <c r="Z172" s="8">
        <v>99.587328819305142</v>
      </c>
      <c r="AA172" s="8">
        <v>97.810257254400582</v>
      </c>
      <c r="AB172" s="8">
        <v>96.033185689496023</v>
      </c>
      <c r="AC172" s="8">
        <v>94.471224419292199</v>
      </c>
      <c r="AD172" s="8">
        <v>92.909263149088375</v>
      </c>
      <c r="AE172" s="8">
        <v>91.347301878884537</v>
      </c>
      <c r="AF172" s="8">
        <v>89.785340608680713</v>
      </c>
      <c r="AG172" s="8">
        <v>88.223379338476889</v>
      </c>
      <c r="AH172" s="8">
        <v>87.096883493725642</v>
      </c>
      <c r="AI172" s="8">
        <v>85.970387648974409</v>
      </c>
      <c r="AJ172" s="8">
        <v>84.843891804223162</v>
      </c>
      <c r="AK172" s="8">
        <v>83.717395959471929</v>
      </c>
      <c r="AL172" s="8">
        <v>82.590900114720682</v>
      </c>
      <c r="AM172" s="8">
        <v>81.125443600091828</v>
      </c>
      <c r="AN172" s="8">
        <v>79.659987085462973</v>
      </c>
      <c r="AO172" s="8">
        <v>78.194530570834132</v>
      </c>
      <c r="AP172" s="8">
        <v>76.729074056205278</v>
      </c>
      <c r="AQ172" s="8">
        <v>75.263617541576423</v>
      </c>
      <c r="AR172" s="8">
        <v>73.750572511140732</v>
      </c>
      <c r="AS172" s="8">
        <v>72.23752748070504</v>
      </c>
      <c r="AT172" s="8">
        <v>70.724482450269335</v>
      </c>
      <c r="AU172" s="8">
        <v>69.211437419833644</v>
      </c>
      <c r="AV172" s="8">
        <v>67.698392389397952</v>
      </c>
      <c r="AW172" s="8">
        <v>66.787979795882833</v>
      </c>
      <c r="AX172" s="8">
        <v>65.877567202367715</v>
      </c>
      <c r="AY172" s="8">
        <v>64.967154608852596</v>
      </c>
      <c r="AZ172" s="8">
        <v>64.056742015337477</v>
      </c>
      <c r="BA172" s="8">
        <v>63.146329421822351</v>
      </c>
      <c r="BB172" s="10" t="s">
        <v>21</v>
      </c>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row>
    <row r="173" spans="2:80" x14ac:dyDescent="0.2">
      <c r="B173" s="101" t="s">
        <v>176</v>
      </c>
      <c r="C173" s="8">
        <v>223.5715263770347</v>
      </c>
      <c r="D173" s="8">
        <v>220.50236675641429</v>
      </c>
      <c r="E173" s="8">
        <v>217.43320713579385</v>
      </c>
      <c r="F173" s="8">
        <v>214.36404751517344</v>
      </c>
      <c r="G173" s="8">
        <v>211.294887894553</v>
      </c>
      <c r="H173" s="8">
        <v>208.22572827393259</v>
      </c>
      <c r="I173" s="8">
        <v>202.14304734548224</v>
      </c>
      <c r="J173" s="8">
        <v>196.06036641703187</v>
      </c>
      <c r="K173" s="8">
        <v>189.97768548858153</v>
      </c>
      <c r="L173" s="8">
        <v>183.89500456013116</v>
      </c>
      <c r="M173" s="8">
        <v>177.81232363168081</v>
      </c>
      <c r="N173" s="8">
        <v>175.34060440445074</v>
      </c>
      <c r="O173" s="8">
        <v>172.86888517722068</v>
      </c>
      <c r="P173" s="8">
        <v>170.39716594999064</v>
      </c>
      <c r="Q173" s="8">
        <v>167.92544672276057</v>
      </c>
      <c r="R173" s="8">
        <v>165.4537274955305</v>
      </c>
      <c r="S173" s="8">
        <v>161.58839749966529</v>
      </c>
      <c r="T173" s="8">
        <v>157.72306750380008</v>
      </c>
      <c r="U173" s="8">
        <v>153.8577375079349</v>
      </c>
      <c r="V173" s="8">
        <v>149.99240751206969</v>
      </c>
      <c r="W173" s="8">
        <v>146.12707751620448</v>
      </c>
      <c r="X173" s="8">
        <v>143.47919051091827</v>
      </c>
      <c r="Y173" s="8">
        <v>140.83130350563209</v>
      </c>
      <c r="Z173" s="8">
        <v>138.18341650034588</v>
      </c>
      <c r="AA173" s="8">
        <v>135.53552949505971</v>
      </c>
      <c r="AB173" s="8">
        <v>132.8876424897735</v>
      </c>
      <c r="AC173" s="8">
        <v>130.80066285168894</v>
      </c>
      <c r="AD173" s="8">
        <v>128.71368321360436</v>
      </c>
      <c r="AE173" s="8">
        <v>126.6267035755198</v>
      </c>
      <c r="AF173" s="8">
        <v>124.53972393743524</v>
      </c>
      <c r="AG173" s="8">
        <v>122.45274429935067</v>
      </c>
      <c r="AH173" s="8">
        <v>120.83363601739137</v>
      </c>
      <c r="AI173" s="8">
        <v>119.21452773543209</v>
      </c>
      <c r="AJ173" s="8">
        <v>117.59541945347279</v>
      </c>
      <c r="AK173" s="8">
        <v>115.9763111715135</v>
      </c>
      <c r="AL173" s="8">
        <v>114.3572028895542</v>
      </c>
      <c r="AM173" s="8">
        <v>112.65378840693715</v>
      </c>
      <c r="AN173" s="8">
        <v>110.95037392432012</v>
      </c>
      <c r="AO173" s="8">
        <v>109.24695944170307</v>
      </c>
      <c r="AP173" s="8">
        <v>107.54354495908603</v>
      </c>
      <c r="AQ173" s="8">
        <v>105.84013047646899</v>
      </c>
      <c r="AR173" s="8">
        <v>104.13382657127352</v>
      </c>
      <c r="AS173" s="8">
        <v>102.42752266607805</v>
      </c>
      <c r="AT173" s="8">
        <v>100.72121876088256</v>
      </c>
      <c r="AU173" s="8">
        <v>99.014914855687095</v>
      </c>
      <c r="AV173" s="8">
        <v>97.308610950491627</v>
      </c>
      <c r="AW173" s="8">
        <v>96.278210079500099</v>
      </c>
      <c r="AX173" s="8">
        <v>95.247809208508571</v>
      </c>
      <c r="AY173" s="8">
        <v>94.217408337517057</v>
      </c>
      <c r="AZ173" s="8">
        <v>93.187007466525529</v>
      </c>
      <c r="BA173" s="8">
        <v>92.156606595534001</v>
      </c>
      <c r="BB173" s="10" t="s">
        <v>21</v>
      </c>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row>
    <row r="174" spans="2:80" x14ac:dyDescent="0.2">
      <c r="B174" s="101" t="s">
        <v>177</v>
      </c>
      <c r="C174" s="8">
        <v>638.60797408262567</v>
      </c>
      <c r="D174" s="8">
        <v>638.07315029369511</v>
      </c>
      <c r="E174" s="8">
        <v>637.53832650476454</v>
      </c>
      <c r="F174" s="8">
        <v>637.00350271583397</v>
      </c>
      <c r="G174" s="8">
        <v>636.46867892690341</v>
      </c>
      <c r="H174" s="8">
        <v>635.93385513797284</v>
      </c>
      <c r="I174" s="8">
        <v>624.90478035041963</v>
      </c>
      <c r="J174" s="8">
        <v>613.87570556286653</v>
      </c>
      <c r="K174" s="8">
        <v>602.84663077531332</v>
      </c>
      <c r="L174" s="8">
        <v>591.81755598776022</v>
      </c>
      <c r="M174" s="8">
        <v>580.788481200207</v>
      </c>
      <c r="N174" s="8">
        <v>574.67201689553553</v>
      </c>
      <c r="O174" s="8">
        <v>568.55555259086395</v>
      </c>
      <c r="P174" s="8">
        <v>562.43908828619249</v>
      </c>
      <c r="Q174" s="8">
        <v>556.32262398152091</v>
      </c>
      <c r="R174" s="8">
        <v>550.20615967684944</v>
      </c>
      <c r="S174" s="8">
        <v>539.1238823504101</v>
      </c>
      <c r="T174" s="8">
        <v>528.04160502397076</v>
      </c>
      <c r="U174" s="8">
        <v>516.95932769753131</v>
      </c>
      <c r="V174" s="8">
        <v>505.87705037109197</v>
      </c>
      <c r="W174" s="8">
        <v>494.79477304465263</v>
      </c>
      <c r="X174" s="8">
        <v>486.36178220704068</v>
      </c>
      <c r="Y174" s="8">
        <v>477.92879136942867</v>
      </c>
      <c r="Z174" s="8">
        <v>469.49580053181671</v>
      </c>
      <c r="AA174" s="8">
        <v>461.0628096942047</v>
      </c>
      <c r="AB174" s="8">
        <v>452.62981885659275</v>
      </c>
      <c r="AC174" s="8">
        <v>447.14818927623685</v>
      </c>
      <c r="AD174" s="8">
        <v>441.66655969588095</v>
      </c>
      <c r="AE174" s="8">
        <v>436.18493011552499</v>
      </c>
      <c r="AF174" s="8">
        <v>430.70330053516909</v>
      </c>
      <c r="AG174" s="8">
        <v>425.22167095481319</v>
      </c>
      <c r="AH174" s="8">
        <v>421.77482492736209</v>
      </c>
      <c r="AI174" s="8">
        <v>418.32797889991099</v>
      </c>
      <c r="AJ174" s="8">
        <v>414.88113287245989</v>
      </c>
      <c r="AK174" s="8">
        <v>411.43428684500878</v>
      </c>
      <c r="AL174" s="8">
        <v>407.98744081755768</v>
      </c>
      <c r="AM174" s="8">
        <v>404.33705293619175</v>
      </c>
      <c r="AN174" s="8">
        <v>400.68666505482577</v>
      </c>
      <c r="AO174" s="8">
        <v>397.03627717345984</v>
      </c>
      <c r="AP174" s="8">
        <v>393.38588929209385</v>
      </c>
      <c r="AQ174" s="8">
        <v>389.73550141072792</v>
      </c>
      <c r="AR174" s="8">
        <v>386.33425866056564</v>
      </c>
      <c r="AS174" s="8">
        <v>382.93301591040336</v>
      </c>
      <c r="AT174" s="8">
        <v>379.53177316024113</v>
      </c>
      <c r="AU174" s="8">
        <v>376.13053041007885</v>
      </c>
      <c r="AV174" s="8">
        <v>372.72928765991657</v>
      </c>
      <c r="AW174" s="8">
        <v>369.66124379088302</v>
      </c>
      <c r="AX174" s="8">
        <v>366.59319992184948</v>
      </c>
      <c r="AY174" s="8">
        <v>363.52515605281587</v>
      </c>
      <c r="AZ174" s="8">
        <v>360.45711218378233</v>
      </c>
      <c r="BA174" s="8">
        <v>357.38906831474878</v>
      </c>
      <c r="BB174" s="10" t="s">
        <v>21</v>
      </c>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row>
    <row r="175" spans="2:80" x14ac:dyDescent="0.2">
      <c r="B175" s="101" t="s">
        <v>178</v>
      </c>
      <c r="C175" s="8">
        <v>1036.5336564469048</v>
      </c>
      <c r="D175" s="8">
        <v>1030.2359106771635</v>
      </c>
      <c r="E175" s="8">
        <v>1023.9381649074222</v>
      </c>
      <c r="F175" s="8">
        <v>1017.640419137681</v>
      </c>
      <c r="G175" s="8">
        <v>1011.3426733679396</v>
      </c>
      <c r="H175" s="8">
        <v>1005.0449275981983</v>
      </c>
      <c r="I175" s="8">
        <v>995.45101917885393</v>
      </c>
      <c r="J175" s="8">
        <v>985.85711075950951</v>
      </c>
      <c r="K175" s="8">
        <v>976.26320234016498</v>
      </c>
      <c r="L175" s="8">
        <v>966.66929392082056</v>
      </c>
      <c r="M175" s="8">
        <v>957.07538550147615</v>
      </c>
      <c r="N175" s="8">
        <v>940.80824476890871</v>
      </c>
      <c r="O175" s="8">
        <v>924.54110403634115</v>
      </c>
      <c r="P175" s="8">
        <v>908.27396330377371</v>
      </c>
      <c r="Q175" s="8">
        <v>892.00682257120616</v>
      </c>
      <c r="R175" s="8">
        <v>875.73968183863872</v>
      </c>
      <c r="S175" s="8">
        <v>858.35000576640414</v>
      </c>
      <c r="T175" s="8">
        <v>840.96032969416945</v>
      </c>
      <c r="U175" s="8">
        <v>823.57065362193487</v>
      </c>
      <c r="V175" s="8">
        <v>806.18097754970017</v>
      </c>
      <c r="W175" s="8">
        <v>788.79130147746559</v>
      </c>
      <c r="X175" s="8">
        <v>775.22111526007302</v>
      </c>
      <c r="Y175" s="8">
        <v>761.65092904268045</v>
      </c>
      <c r="Z175" s="8">
        <v>748.08074282528776</v>
      </c>
      <c r="AA175" s="8">
        <v>734.51055660789518</v>
      </c>
      <c r="AB175" s="8">
        <v>720.94037039050261</v>
      </c>
      <c r="AC175" s="8">
        <v>708.55642885881934</v>
      </c>
      <c r="AD175" s="8">
        <v>696.17248732713597</v>
      </c>
      <c r="AE175" s="8">
        <v>683.78854579545271</v>
      </c>
      <c r="AF175" s="8">
        <v>671.40460426376933</v>
      </c>
      <c r="AG175" s="8">
        <v>659.02066273208607</v>
      </c>
      <c r="AH175" s="8">
        <v>650.72363751383443</v>
      </c>
      <c r="AI175" s="8">
        <v>642.4266122955828</v>
      </c>
      <c r="AJ175" s="8">
        <v>634.12958707733117</v>
      </c>
      <c r="AK175" s="8">
        <v>625.83256185907953</v>
      </c>
      <c r="AL175" s="8">
        <v>617.5355366408279</v>
      </c>
      <c r="AM175" s="8">
        <v>611.33617219875578</v>
      </c>
      <c r="AN175" s="8">
        <v>605.13680775668377</v>
      </c>
      <c r="AO175" s="8">
        <v>598.93744331461164</v>
      </c>
      <c r="AP175" s="8">
        <v>592.73807887253963</v>
      </c>
      <c r="AQ175" s="8">
        <v>586.53871443046751</v>
      </c>
      <c r="AR175" s="8">
        <v>581.40904064064034</v>
      </c>
      <c r="AS175" s="8">
        <v>576.27936685081329</v>
      </c>
      <c r="AT175" s="8">
        <v>571.14969306098612</v>
      </c>
      <c r="AU175" s="8">
        <v>566.02001927115907</v>
      </c>
      <c r="AV175" s="8">
        <v>560.89034548133191</v>
      </c>
      <c r="AW175" s="8">
        <v>558.68857678674203</v>
      </c>
      <c r="AX175" s="8">
        <v>556.48680809215216</v>
      </c>
      <c r="AY175" s="8">
        <v>554.2850393975624</v>
      </c>
      <c r="AZ175" s="8">
        <v>552.08327070297253</v>
      </c>
      <c r="BA175" s="8">
        <v>549.88150200838265</v>
      </c>
      <c r="BB175" s="10" t="s">
        <v>21</v>
      </c>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row>
    <row r="176" spans="2:80" x14ac:dyDescent="0.2">
      <c r="B176" s="101" t="s">
        <v>183</v>
      </c>
      <c r="C176" s="8">
        <v>7.9170599285242984</v>
      </c>
      <c r="D176" s="8">
        <v>7.8432213469977698</v>
      </c>
      <c r="E176" s="8">
        <v>7.7693827654712404</v>
      </c>
      <c r="F176" s="8">
        <v>7.6955441839447118</v>
      </c>
      <c r="G176" s="8">
        <v>7.6217056024181824</v>
      </c>
      <c r="H176" s="8">
        <v>7.5478670208916538</v>
      </c>
      <c r="I176" s="8">
        <v>7.0761154776727127</v>
      </c>
      <c r="J176" s="8">
        <v>6.6043639344537715</v>
      </c>
      <c r="K176" s="8">
        <v>6.1326123912348303</v>
      </c>
      <c r="L176" s="8">
        <v>5.6608608480158891</v>
      </c>
      <c r="M176" s="8">
        <v>5.1891093047969479</v>
      </c>
      <c r="N176" s="8">
        <v>5.0866378727672927</v>
      </c>
      <c r="O176" s="8">
        <v>4.9841664407376376</v>
      </c>
      <c r="P176" s="8">
        <v>4.8816950087079816</v>
      </c>
      <c r="Q176" s="8">
        <v>4.7792235766783264</v>
      </c>
      <c r="R176" s="8">
        <v>4.6767521446486713</v>
      </c>
      <c r="S176" s="8">
        <v>4.6204666969450141</v>
      </c>
      <c r="T176" s="8">
        <v>4.564181249241356</v>
      </c>
      <c r="U176" s="8">
        <v>4.5078958015376989</v>
      </c>
      <c r="V176" s="8">
        <v>4.4516103538340408</v>
      </c>
      <c r="W176" s="8">
        <v>4.3953249061303836</v>
      </c>
      <c r="X176" s="8">
        <v>4.3112236297235391</v>
      </c>
      <c r="Y176" s="8">
        <v>4.2271223533166955</v>
      </c>
      <c r="Z176" s="8">
        <v>4.143021076909851</v>
      </c>
      <c r="AA176" s="8">
        <v>4.0589198005030065</v>
      </c>
      <c r="AB176" s="8">
        <v>3.9748185240961624</v>
      </c>
      <c r="AC176" s="8">
        <v>3.8999154814271102</v>
      </c>
      <c r="AD176" s="8">
        <v>3.825012438758058</v>
      </c>
      <c r="AE176" s="8">
        <v>3.7501093960890057</v>
      </c>
      <c r="AF176" s="8">
        <v>3.6752063534199535</v>
      </c>
      <c r="AG176" s="8">
        <v>3.6003033107509013</v>
      </c>
      <c r="AH176" s="8">
        <v>3.5571143761605297</v>
      </c>
      <c r="AI176" s="8">
        <v>3.5139254415701582</v>
      </c>
      <c r="AJ176" s="8">
        <v>3.4707365069797871</v>
      </c>
      <c r="AK176" s="8">
        <v>3.4275475723894155</v>
      </c>
      <c r="AL176" s="8">
        <v>3.384358637799044</v>
      </c>
      <c r="AM176" s="8">
        <v>3.3149234438254114</v>
      </c>
      <c r="AN176" s="8">
        <v>3.2454882498517792</v>
      </c>
      <c r="AO176" s="8">
        <v>3.1760530558781466</v>
      </c>
      <c r="AP176" s="8">
        <v>3.1066178619045144</v>
      </c>
      <c r="AQ176" s="8">
        <v>3.0371826679308818</v>
      </c>
      <c r="AR176" s="8">
        <v>2.9703162936966159</v>
      </c>
      <c r="AS176" s="8">
        <v>2.9034499194623495</v>
      </c>
      <c r="AT176" s="8">
        <v>2.8365835452280836</v>
      </c>
      <c r="AU176" s="8">
        <v>2.7697171709938173</v>
      </c>
      <c r="AV176" s="8">
        <v>2.7028507967595514</v>
      </c>
      <c r="AW176" s="8">
        <v>2.6672274599634207</v>
      </c>
      <c r="AX176" s="8">
        <v>2.63160412316729</v>
      </c>
      <c r="AY176" s="8">
        <v>2.5959807863711593</v>
      </c>
      <c r="AZ176" s="8">
        <v>2.5603574495750285</v>
      </c>
      <c r="BA176" s="8">
        <v>2.5247341127788978</v>
      </c>
      <c r="BB176" s="4" t="s">
        <v>132</v>
      </c>
      <c r="BC176" s="102" t="s">
        <v>133</v>
      </c>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row>
    <row r="177" spans="2:80" x14ac:dyDescent="0.2">
      <c r="B177" s="101" t="s">
        <v>184</v>
      </c>
      <c r="C177" s="8">
        <v>10.045800371579228</v>
      </c>
      <c r="D177" s="8">
        <v>9.9087816219765461</v>
      </c>
      <c r="E177" s="8">
        <v>9.7717628723738645</v>
      </c>
      <c r="F177" s="8">
        <v>9.634744122771183</v>
      </c>
      <c r="G177" s="8">
        <v>9.4977253731685014</v>
      </c>
      <c r="H177" s="8">
        <v>9.3607066235658198</v>
      </c>
      <c r="I177" s="8">
        <v>9.2134344595948274</v>
      </c>
      <c r="J177" s="8">
        <v>9.066162295623835</v>
      </c>
      <c r="K177" s="8">
        <v>8.9188901316528426</v>
      </c>
      <c r="L177" s="8">
        <v>8.7716179676818502</v>
      </c>
      <c r="M177" s="8">
        <v>8.6243458037108578</v>
      </c>
      <c r="N177" s="8">
        <v>8.4858879886787548</v>
      </c>
      <c r="O177" s="8">
        <v>8.3474301736466501</v>
      </c>
      <c r="P177" s="8">
        <v>8.2089723586145471</v>
      </c>
      <c r="Q177" s="8">
        <v>8.0705145435824441</v>
      </c>
      <c r="R177" s="8">
        <v>7.9320567285503403</v>
      </c>
      <c r="S177" s="8">
        <v>7.7645808026024801</v>
      </c>
      <c r="T177" s="8">
        <v>7.5971048766546199</v>
      </c>
      <c r="U177" s="8">
        <v>7.4296289507067588</v>
      </c>
      <c r="V177" s="8">
        <v>7.2621530247588986</v>
      </c>
      <c r="W177" s="8">
        <v>7.0946770988110384</v>
      </c>
      <c r="X177" s="8">
        <v>6.96699907150765</v>
      </c>
      <c r="Y177" s="8">
        <v>6.8393210442042616</v>
      </c>
      <c r="Z177" s="8">
        <v>6.7116430169008741</v>
      </c>
      <c r="AA177" s="8">
        <v>6.5839649895974857</v>
      </c>
      <c r="AB177" s="8">
        <v>6.4562869622940973</v>
      </c>
      <c r="AC177" s="8">
        <v>6.3951830406084618</v>
      </c>
      <c r="AD177" s="8">
        <v>6.3340791189228263</v>
      </c>
      <c r="AE177" s="8">
        <v>6.2729751972371917</v>
      </c>
      <c r="AF177" s="8">
        <v>6.2118712755515562</v>
      </c>
      <c r="AG177" s="8">
        <v>6.1507673538659207</v>
      </c>
      <c r="AH177" s="8">
        <v>6.1075646142789202</v>
      </c>
      <c r="AI177" s="8">
        <v>6.0643618746919188</v>
      </c>
      <c r="AJ177" s="8">
        <v>6.0211591351049183</v>
      </c>
      <c r="AK177" s="8">
        <v>5.9779563955179169</v>
      </c>
      <c r="AL177" s="8">
        <v>5.9347536559309164</v>
      </c>
      <c r="AM177" s="8">
        <v>5.8719392614437966</v>
      </c>
      <c r="AN177" s="8">
        <v>5.8091248669566777</v>
      </c>
      <c r="AO177" s="8">
        <v>5.746310472469558</v>
      </c>
      <c r="AP177" s="8">
        <v>5.6834960779824391</v>
      </c>
      <c r="AQ177" s="8">
        <v>5.6206816834953193</v>
      </c>
      <c r="AR177" s="8">
        <v>5.5657257664863478</v>
      </c>
      <c r="AS177" s="8">
        <v>5.5107698494773762</v>
      </c>
      <c r="AT177" s="8">
        <v>5.4558139324684038</v>
      </c>
      <c r="AU177" s="8">
        <v>5.4008580154594323</v>
      </c>
      <c r="AV177" s="8">
        <v>5.3459020984504608</v>
      </c>
      <c r="AW177" s="8">
        <v>5.2761147153696788</v>
      </c>
      <c r="AX177" s="8">
        <v>5.2063273322888968</v>
      </c>
      <c r="AY177" s="8">
        <v>5.1365399492081156</v>
      </c>
      <c r="AZ177" s="8">
        <v>5.0667525661273336</v>
      </c>
      <c r="BA177" s="8">
        <v>4.9969651830465516</v>
      </c>
      <c r="BB177" s="4" t="s">
        <v>132</v>
      </c>
      <c r="BC177" s="102" t="s">
        <v>134</v>
      </c>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row>
    <row r="178" spans="2:80" x14ac:dyDescent="0.2">
      <c r="B178" s="101" t="s">
        <v>185</v>
      </c>
      <c r="C178" s="8">
        <v>26.000089408160061</v>
      </c>
      <c r="D178" s="8">
        <v>25.894057219698055</v>
      </c>
      <c r="E178" s="8">
        <v>25.78802503123605</v>
      </c>
      <c r="F178" s="8">
        <v>25.681992842774044</v>
      </c>
      <c r="G178" s="8">
        <v>25.575960654312038</v>
      </c>
      <c r="H178" s="8">
        <v>25.469928465850032</v>
      </c>
      <c r="I178" s="8">
        <v>24.951643992266447</v>
      </c>
      <c r="J178" s="8">
        <v>24.433359518682863</v>
      </c>
      <c r="K178" s="8">
        <v>23.915075045099275</v>
      </c>
      <c r="L178" s="8">
        <v>23.396790571515691</v>
      </c>
      <c r="M178" s="8">
        <v>22.878506097932107</v>
      </c>
      <c r="N178" s="8">
        <v>22.621072590419001</v>
      </c>
      <c r="O178" s="8">
        <v>22.363639082905891</v>
      </c>
      <c r="P178" s="8">
        <v>22.106205575392785</v>
      </c>
      <c r="Q178" s="8">
        <v>21.848772067879676</v>
      </c>
      <c r="R178" s="8">
        <v>21.59133856036657</v>
      </c>
      <c r="S178" s="8">
        <v>21.12282167759879</v>
      </c>
      <c r="T178" s="8">
        <v>20.65430479483101</v>
      </c>
      <c r="U178" s="8">
        <v>20.185787912063226</v>
      </c>
      <c r="V178" s="8">
        <v>19.717271029295446</v>
      </c>
      <c r="W178" s="8">
        <v>19.248754146527666</v>
      </c>
      <c r="X178" s="8">
        <v>18.836706674556449</v>
      </c>
      <c r="Y178" s="8">
        <v>18.424659202585232</v>
      </c>
      <c r="Z178" s="8">
        <v>18.012611730614019</v>
      </c>
      <c r="AA178" s="8">
        <v>17.600564258642802</v>
      </c>
      <c r="AB178" s="8">
        <v>17.188516786671585</v>
      </c>
      <c r="AC178" s="8">
        <v>17.017959097297176</v>
      </c>
      <c r="AD178" s="8">
        <v>16.847401407922767</v>
      </c>
      <c r="AE178" s="8">
        <v>16.676843718548355</v>
      </c>
      <c r="AF178" s="8">
        <v>16.506286029173946</v>
      </c>
      <c r="AG178" s="8">
        <v>16.335728339799537</v>
      </c>
      <c r="AH178" s="8">
        <v>16.190757712283681</v>
      </c>
      <c r="AI178" s="8">
        <v>16.04578708476782</v>
      </c>
      <c r="AJ178" s="8">
        <v>15.900816457251963</v>
      </c>
      <c r="AK178" s="8">
        <v>15.755845829736105</v>
      </c>
      <c r="AL178" s="8">
        <v>15.610875202220246</v>
      </c>
      <c r="AM178" s="8">
        <v>15.466108690460565</v>
      </c>
      <c r="AN178" s="8">
        <v>15.321342178700883</v>
      </c>
      <c r="AO178" s="8">
        <v>15.176575666941202</v>
      </c>
      <c r="AP178" s="8">
        <v>15.03180915518152</v>
      </c>
      <c r="AQ178" s="8">
        <v>14.887042643421839</v>
      </c>
      <c r="AR178" s="8">
        <v>14.733122856354969</v>
      </c>
      <c r="AS178" s="8">
        <v>14.579203069288099</v>
      </c>
      <c r="AT178" s="8">
        <v>14.42528328222123</v>
      </c>
      <c r="AU178" s="8">
        <v>14.271363495154359</v>
      </c>
      <c r="AV178" s="8">
        <v>14.117443708087489</v>
      </c>
      <c r="AW178" s="8">
        <v>13.987450503374699</v>
      </c>
      <c r="AX178" s="8">
        <v>13.857457298661908</v>
      </c>
      <c r="AY178" s="8">
        <v>13.727464093949118</v>
      </c>
      <c r="AZ178" s="8">
        <v>13.597470889236327</v>
      </c>
      <c r="BA178" s="8">
        <v>13.467477684523537</v>
      </c>
      <c r="BB178" s="4" t="s">
        <v>132</v>
      </c>
      <c r="BC178" s="102" t="s">
        <v>135</v>
      </c>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row>
    <row r="179" spans="2:80" x14ac:dyDescent="0.2">
      <c r="B179" s="101" t="s">
        <v>186</v>
      </c>
      <c r="C179" s="8">
        <v>44.218441191482945</v>
      </c>
      <c r="D179" s="8">
        <v>44.00539920378511</v>
      </c>
      <c r="E179" s="8">
        <v>43.792357216087275</v>
      </c>
      <c r="F179" s="8">
        <v>43.579315228389447</v>
      </c>
      <c r="G179" s="8">
        <v>43.366273240691612</v>
      </c>
      <c r="H179" s="8">
        <v>43.153231252993777</v>
      </c>
      <c r="I179" s="8">
        <v>42.359677206991172</v>
      </c>
      <c r="J179" s="8">
        <v>41.566123160988568</v>
      </c>
      <c r="K179" s="8">
        <v>40.772569114985963</v>
      </c>
      <c r="L179" s="8">
        <v>39.979015068983358</v>
      </c>
      <c r="M179" s="8">
        <v>39.185461022980753</v>
      </c>
      <c r="N179" s="8">
        <v>38.476403744106747</v>
      </c>
      <c r="O179" s="8">
        <v>37.767346465232734</v>
      </c>
      <c r="P179" s="8">
        <v>37.058289186358728</v>
      </c>
      <c r="Q179" s="8">
        <v>36.349231907484715</v>
      </c>
      <c r="R179" s="8">
        <v>35.640174628610708</v>
      </c>
      <c r="S179" s="8">
        <v>34.735139986401236</v>
      </c>
      <c r="T179" s="8">
        <v>33.830105344191772</v>
      </c>
      <c r="U179" s="8">
        <v>32.925070701982307</v>
      </c>
      <c r="V179" s="8">
        <v>32.020036059772835</v>
      </c>
      <c r="W179" s="8">
        <v>31.115001417563366</v>
      </c>
      <c r="X179" s="8">
        <v>30.52110878473772</v>
      </c>
      <c r="Y179" s="8">
        <v>29.92721615191207</v>
      </c>
      <c r="Z179" s="8">
        <v>29.333323519086424</v>
      </c>
      <c r="AA179" s="8">
        <v>28.739430886260774</v>
      </c>
      <c r="AB179" s="8">
        <v>28.145538253435127</v>
      </c>
      <c r="AC179" s="8">
        <v>27.636010968515201</v>
      </c>
      <c r="AD179" s="8">
        <v>27.126483683595275</v>
      </c>
      <c r="AE179" s="8">
        <v>26.616956398675349</v>
      </c>
      <c r="AF179" s="8">
        <v>26.107429113755423</v>
      </c>
      <c r="AG179" s="8">
        <v>25.597901828835496</v>
      </c>
      <c r="AH179" s="8">
        <v>25.224085973039159</v>
      </c>
      <c r="AI179" s="8">
        <v>24.850270117242822</v>
      </c>
      <c r="AJ179" s="8">
        <v>24.476454261446484</v>
      </c>
      <c r="AK179" s="8">
        <v>24.102638405650147</v>
      </c>
      <c r="AL179" s="8">
        <v>23.72882254985381</v>
      </c>
      <c r="AM179" s="8">
        <v>23.424234934312754</v>
      </c>
      <c r="AN179" s="8">
        <v>23.119647318771694</v>
      </c>
      <c r="AO179" s="8">
        <v>22.815059703230638</v>
      </c>
      <c r="AP179" s="8">
        <v>22.510472087689578</v>
      </c>
      <c r="AQ179" s="8">
        <v>22.205884472148522</v>
      </c>
      <c r="AR179" s="8">
        <v>21.910439546525097</v>
      </c>
      <c r="AS179" s="8">
        <v>21.614994620901676</v>
      </c>
      <c r="AT179" s="8">
        <v>21.319549695278251</v>
      </c>
      <c r="AU179" s="8">
        <v>21.02410476965483</v>
      </c>
      <c r="AV179" s="8">
        <v>20.728659844031405</v>
      </c>
      <c r="AW179" s="8">
        <v>20.530538140060564</v>
      </c>
      <c r="AX179" s="8">
        <v>20.332416436089723</v>
      </c>
      <c r="AY179" s="8">
        <v>20.134294732118882</v>
      </c>
      <c r="AZ179" s="8">
        <v>19.93617302814804</v>
      </c>
      <c r="BA179" s="8">
        <v>19.738051324177199</v>
      </c>
      <c r="BB179" s="4" t="s">
        <v>132</v>
      </c>
      <c r="BC179" s="102" t="s">
        <v>136</v>
      </c>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row>
    <row r="180" spans="2:80" x14ac:dyDescent="0.2">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10"/>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row>
    <row r="181" spans="2:80" x14ac:dyDescent="0.2">
      <c r="B181" s="1" t="s">
        <v>193</v>
      </c>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10"/>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row>
    <row r="182" spans="2:80" x14ac:dyDescent="0.2">
      <c r="B182" s="5" t="s">
        <v>1</v>
      </c>
      <c r="C182" s="6">
        <v>2010</v>
      </c>
      <c r="D182" s="3">
        <v>2011</v>
      </c>
      <c r="E182" s="3">
        <v>2012</v>
      </c>
      <c r="F182" s="3">
        <v>2013</v>
      </c>
      <c r="G182" s="3">
        <v>2014</v>
      </c>
      <c r="H182" s="6">
        <v>2015</v>
      </c>
      <c r="I182" s="3">
        <v>2016</v>
      </c>
      <c r="J182" s="3">
        <v>2017</v>
      </c>
      <c r="K182" s="3">
        <v>2018</v>
      </c>
      <c r="L182" s="3">
        <v>2019</v>
      </c>
      <c r="M182" s="6">
        <v>2020</v>
      </c>
      <c r="N182" s="3">
        <v>2021</v>
      </c>
      <c r="O182" s="3">
        <v>2022</v>
      </c>
      <c r="P182" s="3">
        <v>2023</v>
      </c>
      <c r="Q182" s="3">
        <v>2024</v>
      </c>
      <c r="R182" s="6">
        <v>2025</v>
      </c>
      <c r="S182" s="3">
        <v>2026</v>
      </c>
      <c r="T182" s="3">
        <v>2027</v>
      </c>
      <c r="U182" s="3">
        <v>2028</v>
      </c>
      <c r="V182" s="3">
        <v>2029</v>
      </c>
      <c r="W182" s="6">
        <v>2030</v>
      </c>
      <c r="X182" s="3">
        <v>2031</v>
      </c>
      <c r="Y182" s="3">
        <v>2032</v>
      </c>
      <c r="Z182" s="3">
        <v>2033</v>
      </c>
      <c r="AA182" s="3">
        <v>2034</v>
      </c>
      <c r="AB182" s="6">
        <v>2035</v>
      </c>
      <c r="AC182" s="3">
        <v>2036</v>
      </c>
      <c r="AD182" s="3">
        <v>2037</v>
      </c>
      <c r="AE182" s="3">
        <v>2038</v>
      </c>
      <c r="AF182" s="3">
        <v>2039</v>
      </c>
      <c r="AG182" s="6">
        <v>2040</v>
      </c>
      <c r="AH182" s="3">
        <v>2041</v>
      </c>
      <c r="AI182" s="3">
        <v>2042</v>
      </c>
      <c r="AJ182" s="3">
        <v>2043</v>
      </c>
      <c r="AK182" s="3">
        <v>2044</v>
      </c>
      <c r="AL182" s="6">
        <v>2045</v>
      </c>
      <c r="AM182" s="3">
        <v>2046</v>
      </c>
      <c r="AN182" s="3">
        <v>2047</v>
      </c>
      <c r="AO182" s="3">
        <v>2048</v>
      </c>
      <c r="AP182" s="3">
        <v>2049</v>
      </c>
      <c r="AQ182" s="6">
        <v>2050</v>
      </c>
      <c r="AR182" s="3">
        <v>2051</v>
      </c>
      <c r="AS182" s="3">
        <v>2052</v>
      </c>
      <c r="AT182" s="3">
        <v>2053</v>
      </c>
      <c r="AU182" s="3">
        <v>2054</v>
      </c>
      <c r="AV182" s="6">
        <v>2055</v>
      </c>
      <c r="AW182" s="3">
        <v>2056</v>
      </c>
      <c r="AX182" s="3">
        <v>2057</v>
      </c>
      <c r="AY182" s="3">
        <v>2058</v>
      </c>
      <c r="AZ182" s="3">
        <v>2059</v>
      </c>
      <c r="BA182" s="6">
        <v>2060</v>
      </c>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row>
    <row r="183" spans="2:80" x14ac:dyDescent="0.2">
      <c r="B183" s="101" t="s">
        <v>175</v>
      </c>
      <c r="C183" s="8">
        <v>1.5538991516332601</v>
      </c>
      <c r="D183" s="8">
        <v>1.5650947170306049</v>
      </c>
      <c r="E183" s="8">
        <v>1.5762902824279497</v>
      </c>
      <c r="F183" s="8">
        <v>1.5874858478252947</v>
      </c>
      <c r="G183" s="8">
        <v>1.5986814132226395</v>
      </c>
      <c r="H183" s="8">
        <v>1.6098769786199842</v>
      </c>
      <c r="I183" s="8">
        <v>1.6149475762563161</v>
      </c>
      <c r="J183" s="8">
        <v>1.6200181738926478</v>
      </c>
      <c r="K183" s="8">
        <v>1.6250887715289797</v>
      </c>
      <c r="L183" s="8">
        <v>1.6301593691653113</v>
      </c>
      <c r="M183" s="8">
        <v>1.6352299668016432</v>
      </c>
      <c r="N183" s="8">
        <v>1.6342967284493062</v>
      </c>
      <c r="O183" s="8">
        <v>1.6333634900969694</v>
      </c>
      <c r="P183" s="8">
        <v>1.6324302517446323</v>
      </c>
      <c r="Q183" s="8">
        <v>1.6314970133922955</v>
      </c>
      <c r="R183" s="8">
        <v>1.6305637750399584</v>
      </c>
      <c r="S183" s="8">
        <v>1.6258370601204826</v>
      </c>
      <c r="T183" s="8">
        <v>1.6211103452010067</v>
      </c>
      <c r="U183" s="8">
        <v>1.6163836302815309</v>
      </c>
      <c r="V183" s="8">
        <v>1.611656915362055</v>
      </c>
      <c r="W183" s="8">
        <v>1.6069302004425792</v>
      </c>
      <c r="X183" s="8">
        <v>1.6010456192447406</v>
      </c>
      <c r="Y183" s="8">
        <v>1.5951610380469021</v>
      </c>
      <c r="Z183" s="8">
        <v>1.5892764568490634</v>
      </c>
      <c r="AA183" s="8">
        <v>1.5833918756512249</v>
      </c>
      <c r="AB183" s="8">
        <v>1.5775072944533863</v>
      </c>
      <c r="AC183" s="8">
        <v>1.5704134877444886</v>
      </c>
      <c r="AD183" s="8">
        <v>1.5633196810355907</v>
      </c>
      <c r="AE183" s="8">
        <v>1.556225874326693</v>
      </c>
      <c r="AF183" s="8">
        <v>1.5491320676177951</v>
      </c>
      <c r="AG183" s="8">
        <v>1.5420382609088974</v>
      </c>
      <c r="AH183" s="8">
        <v>1.5394790408491452</v>
      </c>
      <c r="AI183" s="8">
        <v>1.536919820789393</v>
      </c>
      <c r="AJ183" s="8">
        <v>1.5343606007296411</v>
      </c>
      <c r="AK183" s="8">
        <v>1.5318013806698889</v>
      </c>
      <c r="AL183" s="8">
        <v>1.5292421606101367</v>
      </c>
      <c r="AM183" s="8">
        <v>1.5270057591528254</v>
      </c>
      <c r="AN183" s="8">
        <v>1.5247693576955144</v>
      </c>
      <c r="AO183" s="8">
        <v>1.5225329562382031</v>
      </c>
      <c r="AP183" s="8">
        <v>1.520296554780892</v>
      </c>
      <c r="AQ183" s="8">
        <v>1.5180601533235807</v>
      </c>
      <c r="AR183" s="8">
        <v>1.5149713923341142</v>
      </c>
      <c r="AS183" s="8">
        <v>1.5118826313446476</v>
      </c>
      <c r="AT183" s="8">
        <v>1.5087938703551813</v>
      </c>
      <c r="AU183" s="8">
        <v>1.5057051093657148</v>
      </c>
      <c r="AV183" s="8">
        <v>1.5026163483762482</v>
      </c>
      <c r="AW183" s="8">
        <v>1.4993027848426241</v>
      </c>
      <c r="AX183" s="8">
        <v>1.4959892213089998</v>
      </c>
      <c r="AY183" s="8">
        <v>1.4926756577753757</v>
      </c>
      <c r="AZ183" s="8">
        <v>1.4893620942417514</v>
      </c>
      <c r="BA183" s="8">
        <v>1.4860485307081273</v>
      </c>
      <c r="BB183" s="10" t="s">
        <v>202</v>
      </c>
      <c r="BC183" s="8" t="s">
        <v>194</v>
      </c>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row>
    <row r="184" spans="2:80" x14ac:dyDescent="0.2">
      <c r="B184" s="101" t="s">
        <v>176</v>
      </c>
      <c r="C184" s="8">
        <v>0.67671205527708367</v>
      </c>
      <c r="D184" s="8">
        <v>0.67674122469936315</v>
      </c>
      <c r="E184" s="8">
        <v>0.67677039412164264</v>
      </c>
      <c r="F184" s="8">
        <v>0.67679956354392223</v>
      </c>
      <c r="G184" s="8">
        <v>0.67682873296620172</v>
      </c>
      <c r="H184" s="8">
        <v>0.6768579023884812</v>
      </c>
      <c r="I184" s="8">
        <v>0.68250892029098931</v>
      </c>
      <c r="J184" s="8">
        <v>0.68815993819349741</v>
      </c>
      <c r="K184" s="8">
        <v>0.6938109560960054</v>
      </c>
      <c r="L184" s="8">
        <v>0.69946197399851351</v>
      </c>
      <c r="M184" s="8">
        <v>0.70511299190102161</v>
      </c>
      <c r="N184" s="8">
        <v>0.71088116570179838</v>
      </c>
      <c r="O184" s="8">
        <v>0.71664933950257514</v>
      </c>
      <c r="P184" s="8">
        <v>0.72241751330335191</v>
      </c>
      <c r="Q184" s="8">
        <v>0.72818568710412868</v>
      </c>
      <c r="R184" s="8">
        <v>0.73395386090490544</v>
      </c>
      <c r="S184" s="8">
        <v>0.73936178226430882</v>
      </c>
      <c r="T184" s="8">
        <v>0.7447697036237122</v>
      </c>
      <c r="U184" s="8">
        <v>0.75017762498311547</v>
      </c>
      <c r="V184" s="8">
        <v>0.75558554634251884</v>
      </c>
      <c r="W184" s="8">
        <v>0.76099346770192222</v>
      </c>
      <c r="X184" s="8">
        <v>0.76611745923926455</v>
      </c>
      <c r="Y184" s="8">
        <v>0.77124145077660688</v>
      </c>
      <c r="Z184" s="8">
        <v>0.77636544231394911</v>
      </c>
      <c r="AA184" s="8">
        <v>0.78148943385129144</v>
      </c>
      <c r="AB184" s="8">
        <v>0.78661342538863377</v>
      </c>
      <c r="AC184" s="8">
        <v>0.791465861358706</v>
      </c>
      <c r="AD184" s="8">
        <v>0.79631829732877835</v>
      </c>
      <c r="AE184" s="8">
        <v>0.80117073329885058</v>
      </c>
      <c r="AF184" s="8">
        <v>0.80602316926892292</v>
      </c>
      <c r="AG184" s="8">
        <v>0.81087560523899516</v>
      </c>
      <c r="AH184" s="8">
        <v>0.81556273805690338</v>
      </c>
      <c r="AI184" s="8">
        <v>0.82024987087481172</v>
      </c>
      <c r="AJ184" s="8">
        <v>0.82493700369271994</v>
      </c>
      <c r="AK184" s="8">
        <v>0.82962413651062827</v>
      </c>
      <c r="AL184" s="8">
        <v>0.8343112693285365</v>
      </c>
      <c r="AM184" s="8">
        <v>0.83882801836872689</v>
      </c>
      <c r="AN184" s="8">
        <v>0.84334476740891728</v>
      </c>
      <c r="AO184" s="8">
        <v>0.84786151644910779</v>
      </c>
      <c r="AP184" s="8">
        <v>0.85237826548929818</v>
      </c>
      <c r="AQ184" s="8">
        <v>0.85689501452948857</v>
      </c>
      <c r="AR184" s="8">
        <v>0.86130443884444319</v>
      </c>
      <c r="AS184" s="8">
        <v>0.8657138631593978</v>
      </c>
      <c r="AT184" s="8">
        <v>0.8701232874743523</v>
      </c>
      <c r="AU184" s="8">
        <v>0.87453271178930692</v>
      </c>
      <c r="AV184" s="8">
        <v>0.87894213610426153</v>
      </c>
      <c r="AW184" s="8">
        <v>0.88327036110159785</v>
      </c>
      <c r="AX184" s="8">
        <v>0.88759858609893416</v>
      </c>
      <c r="AY184" s="8">
        <v>0.89192681109627037</v>
      </c>
      <c r="AZ184" s="8">
        <v>0.89625503609360668</v>
      </c>
      <c r="BA184" s="8">
        <v>0.900583261090943</v>
      </c>
      <c r="BB184" s="10" t="s">
        <v>201</v>
      </c>
      <c r="BC184" s="8" t="s">
        <v>195</v>
      </c>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row>
    <row r="185" spans="2:80" x14ac:dyDescent="0.2">
      <c r="B185" s="101" t="s">
        <v>177</v>
      </c>
      <c r="C185" s="8">
        <v>7.9239009722022162</v>
      </c>
      <c r="D185" s="8">
        <v>7.9191210615018655</v>
      </c>
      <c r="E185" s="8">
        <v>7.9143411508015147</v>
      </c>
      <c r="F185" s="8">
        <v>7.909561240101163</v>
      </c>
      <c r="G185" s="8">
        <v>7.9047813294008122</v>
      </c>
      <c r="H185" s="8">
        <v>7.9000014187004615</v>
      </c>
      <c r="I185" s="8">
        <v>7.9133426879786803</v>
      </c>
      <c r="J185" s="8">
        <v>7.9266839572568992</v>
      </c>
      <c r="K185" s="8">
        <v>7.940025226535119</v>
      </c>
      <c r="L185" s="8">
        <v>7.9533664958133379</v>
      </c>
      <c r="M185" s="8">
        <v>7.9667077650915568</v>
      </c>
      <c r="N185" s="8">
        <v>7.9771398472742501</v>
      </c>
      <c r="O185" s="8">
        <v>7.9875719294569425</v>
      </c>
      <c r="P185" s="8">
        <v>7.9980040116396358</v>
      </c>
      <c r="Q185" s="8">
        <v>8.0084360938223291</v>
      </c>
      <c r="R185" s="8">
        <v>8.0188681760050216</v>
      </c>
      <c r="S185" s="8">
        <v>8.025960647012031</v>
      </c>
      <c r="T185" s="8">
        <v>8.0330531180190423</v>
      </c>
      <c r="U185" s="8">
        <v>8.0401455890260518</v>
      </c>
      <c r="V185" s="8">
        <v>8.0472380600330631</v>
      </c>
      <c r="W185" s="8">
        <v>8.0543305310400726</v>
      </c>
      <c r="X185" s="8">
        <v>8.0594846170026564</v>
      </c>
      <c r="Y185" s="8">
        <v>8.0646387029652402</v>
      </c>
      <c r="Z185" s="8">
        <v>8.0697927889278223</v>
      </c>
      <c r="AA185" s="8">
        <v>8.0749468748904061</v>
      </c>
      <c r="AB185" s="8">
        <v>8.0801009608529899</v>
      </c>
      <c r="AC185" s="8">
        <v>8.0868661091149097</v>
      </c>
      <c r="AD185" s="8">
        <v>8.0936312573768294</v>
      </c>
      <c r="AE185" s="8">
        <v>8.100396405638751</v>
      </c>
      <c r="AF185" s="8">
        <v>8.1071615539006707</v>
      </c>
      <c r="AG185" s="8">
        <v>8.1139267021625905</v>
      </c>
      <c r="AH185" s="8">
        <v>8.1204542276715088</v>
      </c>
      <c r="AI185" s="8">
        <v>8.1269817531804289</v>
      </c>
      <c r="AJ185" s="8">
        <v>8.1335092786893473</v>
      </c>
      <c r="AK185" s="8">
        <v>8.1400368041982674</v>
      </c>
      <c r="AL185" s="8">
        <v>8.1465643297071857</v>
      </c>
      <c r="AM185" s="8">
        <v>8.1517519350892123</v>
      </c>
      <c r="AN185" s="8">
        <v>8.1569395404712388</v>
      </c>
      <c r="AO185" s="8">
        <v>8.1621271458532672</v>
      </c>
      <c r="AP185" s="8">
        <v>8.1673147512352937</v>
      </c>
      <c r="AQ185" s="8">
        <v>8.1725023566173203</v>
      </c>
      <c r="AR185" s="8">
        <v>8.1775762420714031</v>
      </c>
      <c r="AS185" s="8">
        <v>8.1826501275254859</v>
      </c>
      <c r="AT185" s="8">
        <v>8.1877240129795705</v>
      </c>
      <c r="AU185" s="8">
        <v>8.1927978984336534</v>
      </c>
      <c r="AV185" s="8">
        <v>8.1978717838877362</v>
      </c>
      <c r="AW185" s="8">
        <v>8.2033061529796889</v>
      </c>
      <c r="AX185" s="8">
        <v>8.2087405220716434</v>
      </c>
      <c r="AY185" s="8">
        <v>8.2141748911635961</v>
      </c>
      <c r="AZ185" s="8">
        <v>8.2196092602555506</v>
      </c>
      <c r="BA185" s="8">
        <v>8.2250436293475033</v>
      </c>
      <c r="BB185" s="10" t="s">
        <v>201</v>
      </c>
      <c r="BC185" s="8" t="s">
        <v>196</v>
      </c>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row>
    <row r="186" spans="2:80" x14ac:dyDescent="0.2">
      <c r="B186" s="101" t="s">
        <v>178</v>
      </c>
      <c r="C186" s="8">
        <v>17.031940861401448</v>
      </c>
      <c r="D186" s="8">
        <v>17.033649926949941</v>
      </c>
      <c r="E186" s="8">
        <v>17.035358992498438</v>
      </c>
      <c r="F186" s="8">
        <v>17.03706805804693</v>
      </c>
      <c r="G186" s="8">
        <v>17.038777123595427</v>
      </c>
      <c r="H186" s="8">
        <v>17.04048618914392</v>
      </c>
      <c r="I186" s="8">
        <v>17.156358472404602</v>
      </c>
      <c r="J186" s="8">
        <v>17.272230755665284</v>
      </c>
      <c r="K186" s="8">
        <v>17.388103038925962</v>
      </c>
      <c r="L186" s="8">
        <v>17.503975322186644</v>
      </c>
      <c r="M186" s="8">
        <v>17.619847605447326</v>
      </c>
      <c r="N186" s="8">
        <v>17.739437410680075</v>
      </c>
      <c r="O186" s="8">
        <v>17.859027215912828</v>
      </c>
      <c r="P186" s="8">
        <v>17.978617021145578</v>
      </c>
      <c r="Q186" s="8">
        <v>18.09820682637833</v>
      </c>
      <c r="R186" s="8">
        <v>18.21779663161108</v>
      </c>
      <c r="S186" s="8">
        <v>18.339519239216099</v>
      </c>
      <c r="T186" s="8">
        <v>18.461241846821114</v>
      </c>
      <c r="U186" s="8">
        <v>18.582964454426133</v>
      </c>
      <c r="V186" s="8">
        <v>18.704687062031148</v>
      </c>
      <c r="W186" s="8">
        <v>18.826409669636167</v>
      </c>
      <c r="X186" s="8">
        <v>18.949469016656966</v>
      </c>
      <c r="Y186" s="8">
        <v>19.072528363677765</v>
      </c>
      <c r="Z186" s="8">
        <v>19.195587710698568</v>
      </c>
      <c r="AA186" s="8">
        <v>19.318647057719367</v>
      </c>
      <c r="AB186" s="8">
        <v>19.441706404740167</v>
      </c>
      <c r="AC186" s="8">
        <v>19.565658763402272</v>
      </c>
      <c r="AD186" s="8">
        <v>19.689611122064381</v>
      </c>
      <c r="AE186" s="8">
        <v>19.813563480726486</v>
      </c>
      <c r="AF186" s="8">
        <v>19.937515839388595</v>
      </c>
      <c r="AG186" s="8">
        <v>20.061468198050701</v>
      </c>
      <c r="AH186" s="8">
        <v>20.186046667453496</v>
      </c>
      <c r="AI186" s="8">
        <v>20.310625136856292</v>
      </c>
      <c r="AJ186" s="8">
        <v>20.435203606259087</v>
      </c>
      <c r="AK186" s="8">
        <v>20.559782075661882</v>
      </c>
      <c r="AL186" s="8">
        <v>20.684360545064678</v>
      </c>
      <c r="AM186" s="8">
        <v>20.809394948873173</v>
      </c>
      <c r="AN186" s="8">
        <v>20.934429352681668</v>
      </c>
      <c r="AO186" s="8">
        <v>21.05946375649016</v>
      </c>
      <c r="AP186" s="8">
        <v>21.184498160298656</v>
      </c>
      <c r="AQ186" s="8">
        <v>21.309532564107151</v>
      </c>
      <c r="AR186" s="8">
        <v>21.434909274415002</v>
      </c>
      <c r="AS186" s="8">
        <v>21.560285984722853</v>
      </c>
      <c r="AT186" s="8">
        <v>21.6856626950307</v>
      </c>
      <c r="AU186" s="8">
        <v>21.811039405338551</v>
      </c>
      <c r="AV186" s="8">
        <v>21.936416115646402</v>
      </c>
      <c r="AW186" s="8">
        <v>22.062056366245237</v>
      </c>
      <c r="AX186" s="8">
        <v>22.187696616844075</v>
      </c>
      <c r="AY186" s="8">
        <v>22.31333686744291</v>
      </c>
      <c r="AZ186" s="8">
        <v>22.438977118041748</v>
      </c>
      <c r="BA186" s="8">
        <v>22.564617368640583</v>
      </c>
      <c r="BB186" s="10" t="s">
        <v>201</v>
      </c>
      <c r="BC186" s="8" t="s">
        <v>197</v>
      </c>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row>
    <row r="187" spans="2:80" x14ac:dyDescent="0.2">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10"/>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row>
    <row r="188" spans="2:80" x14ac:dyDescent="0.2">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10"/>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row>
    <row r="189" spans="2:80" x14ac:dyDescent="0.2">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10"/>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row>
    <row r="190" spans="2:80" x14ac:dyDescent="0.2">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10"/>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row>
    <row r="191" spans="2:80" x14ac:dyDescent="0.2">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10"/>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row>
    <row r="192" spans="2:80" x14ac:dyDescent="0.2">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10"/>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row>
    <row r="193" spans="3:80" x14ac:dyDescent="0.2">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10"/>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row>
    <row r="194" spans="3:80" x14ac:dyDescent="0.2">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10"/>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row>
    <row r="195" spans="3:80" x14ac:dyDescent="0.2">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10"/>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row>
    <row r="196" spans="3:80" x14ac:dyDescent="0.2">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10"/>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row>
    <row r="197" spans="3:80" x14ac:dyDescent="0.2">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10"/>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row>
    <row r="198" spans="3:80" x14ac:dyDescent="0.2">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10"/>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row>
    <row r="199" spans="3:80" x14ac:dyDescent="0.2">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10"/>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row>
    <row r="200" spans="3:80" x14ac:dyDescent="0.2">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10"/>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row>
    <row r="201" spans="3:80" x14ac:dyDescent="0.2">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10"/>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row>
    <row r="202" spans="3:80" x14ac:dyDescent="0.2">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10"/>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row>
    <row r="203" spans="3:80" x14ac:dyDescent="0.2">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10"/>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row>
    <row r="204" spans="3:80" x14ac:dyDescent="0.2">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10"/>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row>
    <row r="205" spans="3:80" x14ac:dyDescent="0.2">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10"/>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row>
    <row r="206" spans="3:80" x14ac:dyDescent="0.2">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10"/>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row>
    <row r="207" spans="3:80" x14ac:dyDescent="0.2">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10"/>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row>
    <row r="208" spans="3:80" x14ac:dyDescent="0.2">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10"/>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row>
    <row r="209" spans="3:80" x14ac:dyDescent="0.2">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10"/>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row>
    <row r="210" spans="3:80" x14ac:dyDescent="0.2">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10"/>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row>
    <row r="211" spans="3:80" x14ac:dyDescent="0.2">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10"/>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row>
    <row r="212" spans="3:80" x14ac:dyDescent="0.2">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10"/>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row>
    <row r="213" spans="3:80" x14ac:dyDescent="0.2">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10"/>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row>
    <row r="214" spans="3:80" x14ac:dyDescent="0.2">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10"/>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row>
    <row r="215" spans="3:80" x14ac:dyDescent="0.2">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10"/>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row>
    <row r="216" spans="3:80" x14ac:dyDescent="0.2">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10"/>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row>
    <row r="217" spans="3:80" x14ac:dyDescent="0.2">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10"/>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row>
    <row r="218" spans="3:80" x14ac:dyDescent="0.2">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10"/>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row>
    <row r="219" spans="3:80" x14ac:dyDescent="0.2">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10"/>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row>
    <row r="220" spans="3:80" x14ac:dyDescent="0.2">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10"/>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row>
    <row r="221" spans="3:80" x14ac:dyDescent="0.2">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10"/>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row>
    <row r="222" spans="3:80" x14ac:dyDescent="0.2">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10"/>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row>
    <row r="223" spans="3:80" x14ac:dyDescent="0.2">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10"/>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row>
    <row r="224" spans="3:80" x14ac:dyDescent="0.2">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10"/>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row>
    <row r="225" spans="3:80" x14ac:dyDescent="0.2">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10"/>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row>
    <row r="226" spans="3:80" x14ac:dyDescent="0.2">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10"/>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row>
    <row r="227" spans="3:80" x14ac:dyDescent="0.2">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10"/>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row>
    <row r="228" spans="3:80" x14ac:dyDescent="0.2">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10"/>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row>
    <row r="229" spans="3:80" x14ac:dyDescent="0.2">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10"/>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row>
    <row r="230" spans="3:80" x14ac:dyDescent="0.2">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10"/>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row>
    <row r="231" spans="3:80" x14ac:dyDescent="0.2">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10"/>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row>
    <row r="232" spans="3:80" x14ac:dyDescent="0.2">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10"/>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row>
    <row r="233" spans="3:80" x14ac:dyDescent="0.2">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10"/>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row>
    <row r="234" spans="3:80" x14ac:dyDescent="0.2">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10"/>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row>
    <row r="235" spans="3:80" x14ac:dyDescent="0.2">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10"/>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row>
    <row r="236" spans="3:80" x14ac:dyDescent="0.2">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10"/>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row>
    <row r="237" spans="3:80" x14ac:dyDescent="0.2">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10"/>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row>
    <row r="238" spans="3:80" x14ac:dyDescent="0.2">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10"/>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row>
    <row r="239" spans="3:80" x14ac:dyDescent="0.2">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10"/>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row>
    <row r="240" spans="3:80" x14ac:dyDescent="0.2">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10"/>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row>
    <row r="241" spans="3:80" x14ac:dyDescent="0.2">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10"/>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row>
    <row r="242" spans="3:80" x14ac:dyDescent="0.2">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10"/>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row>
    <row r="243" spans="3:80" x14ac:dyDescent="0.2">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10"/>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row>
    <row r="244" spans="3:80" x14ac:dyDescent="0.2">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10"/>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row>
    <row r="245" spans="3:80" x14ac:dyDescent="0.2">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10"/>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row>
    <row r="246" spans="3:80" x14ac:dyDescent="0.2">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10"/>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row>
    <row r="247" spans="3:80" x14ac:dyDescent="0.2">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10"/>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row>
    <row r="248" spans="3:80" x14ac:dyDescent="0.2">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10"/>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row>
    <row r="249" spans="3:80" x14ac:dyDescent="0.2">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10"/>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row>
    <row r="250" spans="3:80" x14ac:dyDescent="0.2">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10"/>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row>
    <row r="251" spans="3:80" x14ac:dyDescent="0.2">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10"/>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row>
    <row r="252" spans="3:80" x14ac:dyDescent="0.2">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10"/>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row>
    <row r="253" spans="3:80" x14ac:dyDescent="0.2">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10"/>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row>
    <row r="254" spans="3:80" x14ac:dyDescent="0.2">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10"/>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row>
    <row r="255" spans="3:80" x14ac:dyDescent="0.2">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10"/>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row>
    <row r="256" spans="3:80" x14ac:dyDescent="0.2">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10"/>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row>
    <row r="257" spans="3:80" x14ac:dyDescent="0.2">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10"/>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row>
    <row r="258" spans="3:80" x14ac:dyDescent="0.2">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10"/>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row>
    <row r="259" spans="3:80" x14ac:dyDescent="0.2">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10"/>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row>
    <row r="260" spans="3:80" x14ac:dyDescent="0.2">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10"/>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row>
    <row r="261" spans="3:80" x14ac:dyDescent="0.2">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10"/>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row>
    <row r="262" spans="3:80" x14ac:dyDescent="0.2">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10"/>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row>
    <row r="263" spans="3:80" x14ac:dyDescent="0.2">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10"/>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row>
    <row r="264" spans="3:80" x14ac:dyDescent="0.2">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10"/>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row>
    <row r="265" spans="3:80" x14ac:dyDescent="0.2">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10"/>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row>
    <row r="266" spans="3:80" x14ac:dyDescent="0.2">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10"/>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row>
    <row r="267" spans="3:80" x14ac:dyDescent="0.2">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10"/>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row>
    <row r="268" spans="3:80" x14ac:dyDescent="0.2">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10"/>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row>
    <row r="269" spans="3:80" x14ac:dyDescent="0.2">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10"/>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row>
    <row r="270" spans="3:80" x14ac:dyDescent="0.2">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10"/>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row>
    <row r="271" spans="3:80" x14ac:dyDescent="0.2">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10"/>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row>
    <row r="272" spans="3:80" x14ac:dyDescent="0.2">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10"/>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row>
    <row r="273" spans="3:80" x14ac:dyDescent="0.2">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10"/>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row>
    <row r="274" spans="3:80" x14ac:dyDescent="0.2">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10"/>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row>
    <row r="275" spans="3:80" x14ac:dyDescent="0.2">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10"/>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row>
    <row r="276" spans="3:80" x14ac:dyDescent="0.2">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10"/>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row>
    <row r="277" spans="3:80" x14ac:dyDescent="0.2">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10"/>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row>
    <row r="278" spans="3:80" x14ac:dyDescent="0.2">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10"/>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row>
    <row r="279" spans="3:80" x14ac:dyDescent="0.2">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10"/>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row>
    <row r="280" spans="3:80" x14ac:dyDescent="0.2">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10"/>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row>
    <row r="281" spans="3:80" x14ac:dyDescent="0.2">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10"/>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row>
    <row r="282" spans="3:80" x14ac:dyDescent="0.2">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10"/>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row>
    <row r="283" spans="3:80" x14ac:dyDescent="0.2">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10"/>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row>
    <row r="284" spans="3:80" x14ac:dyDescent="0.2">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10"/>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row>
    <row r="285" spans="3:80" x14ac:dyDescent="0.2">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10"/>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row>
    <row r="286" spans="3:80" x14ac:dyDescent="0.2">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10"/>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row>
    <row r="287" spans="3:80" x14ac:dyDescent="0.2">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10"/>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row>
    <row r="288" spans="3:80" x14ac:dyDescent="0.2">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10"/>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row>
    <row r="289" spans="3:80" x14ac:dyDescent="0.2">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10"/>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row>
    <row r="290" spans="3:80" x14ac:dyDescent="0.2">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10"/>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row>
    <row r="291" spans="3:80" x14ac:dyDescent="0.2">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10"/>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row>
    <row r="292" spans="3:80" x14ac:dyDescent="0.2">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10"/>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row>
    <row r="293" spans="3:80" x14ac:dyDescent="0.2">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10"/>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row>
    <row r="294" spans="3:80" x14ac:dyDescent="0.2">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10"/>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row>
    <row r="295" spans="3:80" x14ac:dyDescent="0.2">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10"/>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row>
    <row r="296" spans="3:80" x14ac:dyDescent="0.2">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10"/>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row>
    <row r="297" spans="3:80" x14ac:dyDescent="0.2">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10"/>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row>
    <row r="298" spans="3:80" x14ac:dyDescent="0.2">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10"/>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row>
    <row r="299" spans="3:80" x14ac:dyDescent="0.2">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10"/>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row>
    <row r="300" spans="3:80" x14ac:dyDescent="0.2">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10"/>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row>
    <row r="301" spans="3:80" x14ac:dyDescent="0.2">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10"/>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row>
    <row r="302" spans="3:80" x14ac:dyDescent="0.2">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10"/>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row>
    <row r="303" spans="3:80" x14ac:dyDescent="0.2">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10"/>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row>
    <row r="304" spans="3:80" x14ac:dyDescent="0.2">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10"/>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row>
    <row r="305" spans="3:80" x14ac:dyDescent="0.2">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10"/>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row>
    <row r="306" spans="3:80" x14ac:dyDescent="0.2">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10"/>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row>
    <row r="307" spans="3:80" x14ac:dyDescent="0.2">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10"/>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row>
    <row r="308" spans="3:80" x14ac:dyDescent="0.2">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10"/>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row>
    <row r="309" spans="3:80" x14ac:dyDescent="0.2">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10"/>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row>
    <row r="310" spans="3:80" x14ac:dyDescent="0.2">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10"/>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row>
    <row r="311" spans="3:80" x14ac:dyDescent="0.2">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10"/>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row>
    <row r="312" spans="3:80" x14ac:dyDescent="0.2">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10"/>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row>
    <row r="313" spans="3:80" x14ac:dyDescent="0.2">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10"/>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row>
    <row r="314" spans="3:80" x14ac:dyDescent="0.2">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10"/>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row>
    <row r="315" spans="3:80" x14ac:dyDescent="0.2">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10"/>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row>
  </sheetData>
  <conditionalFormatting sqref="C108:BA108">
    <cfRule type="expression" dxfId="34" priority="1">
      <formula>C108&gt;B108</formula>
    </cfRule>
  </conditionalFormatting>
  <conditionalFormatting sqref="C54:BA56 C69:BA71 C59:BA66">
    <cfRule type="expression" dxfId="33" priority="10">
      <formula>C54&gt;B54</formula>
    </cfRule>
  </conditionalFormatting>
  <conditionalFormatting sqref="C104:BA106 C119:BA121 C109:BA116">
    <cfRule type="expression" dxfId="32" priority="9">
      <formula>C104&gt;B104</formula>
    </cfRule>
  </conditionalFormatting>
  <conditionalFormatting sqref="C67:BA67">
    <cfRule type="expression" dxfId="31" priority="8">
      <formula>C67&gt;B67</formula>
    </cfRule>
  </conditionalFormatting>
  <conditionalFormatting sqref="C68:BA68">
    <cfRule type="expression" dxfId="30" priority="7">
      <formula>C68&gt;B68</formula>
    </cfRule>
  </conditionalFormatting>
  <conditionalFormatting sqref="C117:BA117">
    <cfRule type="expression" dxfId="29" priority="6">
      <formula>C117&gt;B117</formula>
    </cfRule>
  </conditionalFormatting>
  <conditionalFormatting sqref="C118:BA118">
    <cfRule type="expression" dxfId="28" priority="5">
      <formula>C118&gt;B118</formula>
    </cfRule>
  </conditionalFormatting>
  <conditionalFormatting sqref="C57:BA57">
    <cfRule type="expression" dxfId="27" priority="4">
      <formula>C57&gt;B57</formula>
    </cfRule>
  </conditionalFormatting>
  <conditionalFormatting sqref="C58:BA58">
    <cfRule type="expression" dxfId="26" priority="3">
      <formula>C58&gt;B58</formula>
    </cfRule>
  </conditionalFormatting>
  <conditionalFormatting sqref="C107:BA107">
    <cfRule type="expression" dxfId="25" priority="2">
      <formula>C107&gt;B107</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I52"/>
  <sheetViews>
    <sheetView workbookViewId="0">
      <selection activeCell="D38" sqref="D38"/>
    </sheetView>
  </sheetViews>
  <sheetFormatPr defaultColWidth="11.42578125" defaultRowHeight="15" x14ac:dyDescent="0.25"/>
  <cols>
    <col min="1" max="1" width="5" customWidth="1"/>
    <col min="2" max="2" width="22.42578125" bestFit="1" customWidth="1"/>
    <col min="3" max="3" width="39.28515625" bestFit="1" customWidth="1"/>
    <col min="4" max="4" width="17.85546875" bestFit="1" customWidth="1"/>
    <col min="5" max="5" width="29.7109375" bestFit="1" customWidth="1"/>
    <col min="6" max="6" width="19.140625" bestFit="1" customWidth="1"/>
  </cols>
  <sheetData>
    <row r="1" spans="2:9" ht="21" thickBot="1" x14ac:dyDescent="0.3">
      <c r="B1" s="23" t="s">
        <v>91</v>
      </c>
      <c r="C1" s="24"/>
      <c r="D1" s="25"/>
      <c r="E1" s="26"/>
      <c r="F1" s="25"/>
      <c r="G1" s="25"/>
      <c r="H1" s="25"/>
      <c r="I1" s="25"/>
    </row>
    <row r="2" spans="2:9" x14ac:dyDescent="0.25">
      <c r="B2" s="57" t="s">
        <v>42</v>
      </c>
      <c r="C2" s="12" t="s">
        <v>41</v>
      </c>
      <c r="D2" s="12" t="s">
        <v>26</v>
      </c>
      <c r="E2" s="12" t="s">
        <v>27</v>
      </c>
      <c r="F2" s="12" t="s">
        <v>28</v>
      </c>
      <c r="H2" s="108" t="s">
        <v>24</v>
      </c>
      <c r="I2" s="108" t="s">
        <v>25</v>
      </c>
    </row>
    <row r="3" spans="2:9" x14ac:dyDescent="0.25">
      <c r="B3" s="2"/>
      <c r="C3" s="101"/>
      <c r="D3" s="2"/>
      <c r="E3" s="2"/>
      <c r="F3" s="10"/>
    </row>
    <row r="4" spans="2:9" x14ac:dyDescent="0.25">
      <c r="B4" s="2" t="s">
        <v>143</v>
      </c>
      <c r="C4" s="101" t="s">
        <v>182</v>
      </c>
      <c r="D4" s="2" t="s">
        <v>100</v>
      </c>
      <c r="E4" s="2" t="s">
        <v>29</v>
      </c>
      <c r="F4" s="10" t="s">
        <v>213</v>
      </c>
      <c r="H4">
        <v>2010</v>
      </c>
      <c r="I4">
        <v>2022</v>
      </c>
    </row>
    <row r="5" spans="2:9" x14ac:dyDescent="0.25">
      <c r="B5" s="2" t="s">
        <v>143</v>
      </c>
      <c r="C5" s="101" t="s">
        <v>165</v>
      </c>
      <c r="D5" s="2" t="s">
        <v>100</v>
      </c>
      <c r="E5" s="2" t="s">
        <v>29</v>
      </c>
      <c r="F5" s="10" t="s">
        <v>213</v>
      </c>
      <c r="H5">
        <v>2011</v>
      </c>
      <c r="I5">
        <v>2023</v>
      </c>
    </row>
    <row r="6" spans="2:9" x14ac:dyDescent="0.25">
      <c r="B6" s="2" t="s">
        <v>143</v>
      </c>
      <c r="C6" s="101" t="s">
        <v>167</v>
      </c>
      <c r="D6" s="2" t="s">
        <v>100</v>
      </c>
      <c r="E6" s="2" t="s">
        <v>29</v>
      </c>
      <c r="F6" s="10" t="s">
        <v>213</v>
      </c>
      <c r="H6">
        <v>2012</v>
      </c>
      <c r="I6">
        <v>2024</v>
      </c>
    </row>
    <row r="7" spans="2:9" x14ac:dyDescent="0.25">
      <c r="B7" s="2" t="s">
        <v>143</v>
      </c>
      <c r="C7" s="101" t="s">
        <v>166</v>
      </c>
      <c r="D7" s="2" t="s">
        <v>100</v>
      </c>
      <c r="E7" s="2" t="s">
        <v>29</v>
      </c>
      <c r="F7" s="10" t="s">
        <v>213</v>
      </c>
      <c r="H7">
        <v>2013</v>
      </c>
      <c r="I7">
        <v>2025</v>
      </c>
    </row>
    <row r="8" spans="2:9" x14ac:dyDescent="0.25">
      <c r="B8" s="2" t="s">
        <v>143</v>
      </c>
      <c r="C8" s="101" t="s">
        <v>168</v>
      </c>
      <c r="D8" s="2" t="s">
        <v>100</v>
      </c>
      <c r="E8" s="2" t="s">
        <v>29</v>
      </c>
      <c r="F8" s="10" t="s">
        <v>213</v>
      </c>
      <c r="H8">
        <v>2014</v>
      </c>
      <c r="I8">
        <v>2026</v>
      </c>
    </row>
    <row r="9" spans="2:9" x14ac:dyDescent="0.25">
      <c r="B9" s="2" t="s">
        <v>143</v>
      </c>
      <c r="C9" s="101" t="s">
        <v>169</v>
      </c>
      <c r="D9" s="2" t="s">
        <v>100</v>
      </c>
      <c r="E9" s="2" t="s">
        <v>29</v>
      </c>
      <c r="F9" s="10" t="s">
        <v>213</v>
      </c>
      <c r="H9">
        <v>2015</v>
      </c>
      <c r="I9">
        <v>2027</v>
      </c>
    </row>
    <row r="10" spans="2:9" x14ac:dyDescent="0.25">
      <c r="B10" s="2" t="s">
        <v>143</v>
      </c>
      <c r="C10" s="101" t="s">
        <v>170</v>
      </c>
      <c r="D10" s="2" t="s">
        <v>100</v>
      </c>
      <c r="E10" s="2" t="s">
        <v>29</v>
      </c>
      <c r="F10" s="10" t="s">
        <v>213</v>
      </c>
      <c r="H10">
        <v>2016</v>
      </c>
      <c r="I10">
        <v>2028</v>
      </c>
    </row>
    <row r="11" spans="2:9" x14ac:dyDescent="0.25">
      <c r="B11" s="2" t="s">
        <v>143</v>
      </c>
      <c r="C11" s="101" t="s">
        <v>171</v>
      </c>
      <c r="D11" s="2" t="s">
        <v>100</v>
      </c>
      <c r="E11" s="2" t="s">
        <v>29</v>
      </c>
      <c r="F11" s="10" t="s">
        <v>213</v>
      </c>
      <c r="H11">
        <v>2017</v>
      </c>
      <c r="I11">
        <v>2029</v>
      </c>
    </row>
    <row r="12" spans="2:9" x14ac:dyDescent="0.25">
      <c r="B12" s="2" t="s">
        <v>145</v>
      </c>
      <c r="C12" s="2" t="s">
        <v>107</v>
      </c>
      <c r="D12" s="2" t="s">
        <v>48</v>
      </c>
      <c r="E12" s="2" t="s">
        <v>30</v>
      </c>
      <c r="F12" s="10" t="s">
        <v>164</v>
      </c>
      <c r="H12">
        <v>2018</v>
      </c>
      <c r="I12">
        <v>2030</v>
      </c>
    </row>
    <row r="13" spans="2:9" x14ac:dyDescent="0.25">
      <c r="B13" s="2" t="s">
        <v>142</v>
      </c>
      <c r="C13" s="101" t="s">
        <v>175</v>
      </c>
      <c r="D13" s="2" t="s">
        <v>101</v>
      </c>
      <c r="E13" s="2" t="s">
        <v>151</v>
      </c>
      <c r="F13" s="10" t="s">
        <v>214</v>
      </c>
      <c r="I13">
        <v>2031</v>
      </c>
    </row>
    <row r="14" spans="2:9" x14ac:dyDescent="0.25">
      <c r="B14" s="2" t="s">
        <v>142</v>
      </c>
      <c r="C14" s="101" t="s">
        <v>176</v>
      </c>
      <c r="D14" s="2" t="s">
        <v>101</v>
      </c>
      <c r="E14" s="2" t="s">
        <v>151</v>
      </c>
      <c r="F14" s="10" t="s">
        <v>214</v>
      </c>
      <c r="I14">
        <v>2032</v>
      </c>
    </row>
    <row r="15" spans="2:9" x14ac:dyDescent="0.25">
      <c r="B15" s="2" t="s">
        <v>142</v>
      </c>
      <c r="C15" s="101" t="s">
        <v>177</v>
      </c>
      <c r="D15" s="2" t="s">
        <v>101</v>
      </c>
      <c r="E15" s="2" t="s">
        <v>151</v>
      </c>
      <c r="F15" s="10" t="s">
        <v>214</v>
      </c>
      <c r="I15">
        <v>2033</v>
      </c>
    </row>
    <row r="16" spans="2:9" x14ac:dyDescent="0.25">
      <c r="B16" s="2" t="s">
        <v>142</v>
      </c>
      <c r="C16" s="101" t="s">
        <v>178</v>
      </c>
      <c r="D16" s="2" t="s">
        <v>101</v>
      </c>
      <c r="E16" s="2" t="s">
        <v>151</v>
      </c>
      <c r="F16" s="10" t="s">
        <v>214</v>
      </c>
      <c r="I16">
        <v>2034</v>
      </c>
    </row>
    <row r="17" spans="2:9" x14ac:dyDescent="0.25">
      <c r="B17" s="2" t="s">
        <v>142</v>
      </c>
      <c r="C17" s="101" t="s">
        <v>183</v>
      </c>
      <c r="D17" s="2" t="s">
        <v>132</v>
      </c>
      <c r="E17" s="2" t="s">
        <v>151</v>
      </c>
      <c r="F17" s="10" t="s">
        <v>132</v>
      </c>
      <c r="I17">
        <v>2035</v>
      </c>
    </row>
    <row r="18" spans="2:9" x14ac:dyDescent="0.25">
      <c r="B18" s="2" t="s">
        <v>142</v>
      </c>
      <c r="C18" s="101" t="s">
        <v>184</v>
      </c>
      <c r="D18" s="2" t="s">
        <v>132</v>
      </c>
      <c r="E18" s="2" t="s">
        <v>151</v>
      </c>
      <c r="F18" s="10" t="s">
        <v>132</v>
      </c>
      <c r="I18">
        <v>2036</v>
      </c>
    </row>
    <row r="19" spans="2:9" x14ac:dyDescent="0.25">
      <c r="B19" s="2" t="s">
        <v>142</v>
      </c>
      <c r="C19" s="101" t="s">
        <v>185</v>
      </c>
      <c r="D19" s="2" t="s">
        <v>132</v>
      </c>
      <c r="E19" s="2" t="s">
        <v>151</v>
      </c>
      <c r="F19" s="10" t="s">
        <v>132</v>
      </c>
      <c r="I19">
        <v>2037</v>
      </c>
    </row>
    <row r="20" spans="2:9" x14ac:dyDescent="0.25">
      <c r="B20" s="2" t="s">
        <v>142</v>
      </c>
      <c r="C20" s="101" t="s">
        <v>186</v>
      </c>
      <c r="D20" s="2" t="s">
        <v>132</v>
      </c>
      <c r="E20" s="2" t="s">
        <v>151</v>
      </c>
      <c r="F20" s="10" t="s">
        <v>132</v>
      </c>
      <c r="I20">
        <v>2038</v>
      </c>
    </row>
    <row r="21" spans="2:9" x14ac:dyDescent="0.25">
      <c r="B21" s="2"/>
      <c r="C21" s="101"/>
      <c r="D21" s="2"/>
      <c r="E21" s="2"/>
      <c r="F21" s="10"/>
      <c r="I21">
        <v>2039</v>
      </c>
    </row>
    <row r="22" spans="2:9" x14ac:dyDescent="0.25">
      <c r="B22" s="2" t="s">
        <v>144</v>
      </c>
      <c r="C22" s="101" t="s">
        <v>181</v>
      </c>
      <c r="D22" s="2" t="s">
        <v>102</v>
      </c>
      <c r="E22" s="2" t="s">
        <v>29</v>
      </c>
      <c r="F22" s="10" t="s">
        <v>215</v>
      </c>
      <c r="I22">
        <v>2040</v>
      </c>
    </row>
    <row r="23" spans="2:9" x14ac:dyDescent="0.25">
      <c r="B23" s="2" t="s">
        <v>144</v>
      </c>
      <c r="C23" s="101" t="s">
        <v>172</v>
      </c>
      <c r="D23" s="2" t="s">
        <v>102</v>
      </c>
      <c r="E23" s="2" t="s">
        <v>29</v>
      </c>
      <c r="F23" s="10" t="s">
        <v>215</v>
      </c>
      <c r="I23">
        <v>2041</v>
      </c>
    </row>
    <row r="24" spans="2:9" x14ac:dyDescent="0.25">
      <c r="B24" s="2" t="s">
        <v>144</v>
      </c>
      <c r="C24" s="101" t="s">
        <v>180</v>
      </c>
      <c r="D24" s="2" t="s">
        <v>102</v>
      </c>
      <c r="E24" s="2" t="s">
        <v>29</v>
      </c>
      <c r="F24" s="10" t="s">
        <v>215</v>
      </c>
      <c r="I24">
        <v>2042</v>
      </c>
    </row>
    <row r="25" spans="2:9" x14ac:dyDescent="0.25">
      <c r="B25" s="2" t="s">
        <v>144</v>
      </c>
      <c r="C25" s="101" t="s">
        <v>179</v>
      </c>
      <c r="D25" s="2" t="s">
        <v>102</v>
      </c>
      <c r="E25" s="2" t="s">
        <v>29</v>
      </c>
      <c r="F25" s="10" t="s">
        <v>215</v>
      </c>
      <c r="I25">
        <v>2043</v>
      </c>
    </row>
    <row r="26" spans="2:9" x14ac:dyDescent="0.25">
      <c r="B26" s="2" t="s">
        <v>144</v>
      </c>
      <c r="C26" s="101" t="s">
        <v>137</v>
      </c>
      <c r="D26" s="2" t="s">
        <v>102</v>
      </c>
      <c r="E26" s="2" t="s">
        <v>29</v>
      </c>
      <c r="F26" s="10" t="s">
        <v>215</v>
      </c>
      <c r="I26">
        <v>2044</v>
      </c>
    </row>
    <row r="27" spans="2:9" x14ac:dyDescent="0.25">
      <c r="B27" s="2" t="s">
        <v>144</v>
      </c>
      <c r="C27" s="101" t="s">
        <v>173</v>
      </c>
      <c r="D27" s="2" t="s">
        <v>102</v>
      </c>
      <c r="E27" s="2" t="s">
        <v>29</v>
      </c>
      <c r="F27" s="10" t="s">
        <v>215</v>
      </c>
      <c r="I27">
        <v>2045</v>
      </c>
    </row>
    <row r="28" spans="2:9" x14ac:dyDescent="0.25">
      <c r="B28" s="2" t="s">
        <v>144</v>
      </c>
      <c r="C28" s="101" t="s">
        <v>174</v>
      </c>
      <c r="D28" s="2" t="s">
        <v>48</v>
      </c>
      <c r="E28" s="2" t="s">
        <v>30</v>
      </c>
      <c r="F28" s="10" t="s">
        <v>215</v>
      </c>
      <c r="I28">
        <v>2046</v>
      </c>
    </row>
    <row r="29" spans="2:9" x14ac:dyDescent="0.25">
      <c r="B29" s="2"/>
      <c r="C29" s="2"/>
      <c r="D29" s="2"/>
      <c r="E29" s="2"/>
      <c r="F29" s="10"/>
      <c r="I29">
        <v>2047</v>
      </c>
    </row>
    <row r="30" spans="2:9" x14ac:dyDescent="0.25">
      <c r="B30" s="12" t="s">
        <v>31</v>
      </c>
      <c r="I30">
        <v>2048</v>
      </c>
    </row>
    <row r="31" spans="2:9" x14ac:dyDescent="0.25">
      <c r="B31" s="13" t="s">
        <v>49</v>
      </c>
      <c r="I31">
        <v>2049</v>
      </c>
    </row>
    <row r="32" spans="2:9" x14ac:dyDescent="0.25">
      <c r="B32" s="13" t="s">
        <v>32</v>
      </c>
      <c r="I32">
        <v>2050</v>
      </c>
    </row>
    <row r="34" spans="2:4" x14ac:dyDescent="0.25">
      <c r="B34" s="12"/>
      <c r="C34" s="12" t="s">
        <v>44</v>
      </c>
    </row>
    <row r="35" spans="2:4" x14ac:dyDescent="0.25">
      <c r="C35" s="2" t="s">
        <v>138</v>
      </c>
      <c r="D35" s="2" t="s">
        <v>143</v>
      </c>
    </row>
    <row r="36" spans="2:4" x14ac:dyDescent="0.25">
      <c r="C36" s="2" t="s">
        <v>139</v>
      </c>
      <c r="D36" s="2" t="s">
        <v>144</v>
      </c>
    </row>
    <row r="37" spans="2:4" x14ac:dyDescent="0.25">
      <c r="C37" s="2" t="s">
        <v>140</v>
      </c>
      <c r="D37" s="2" t="s">
        <v>142</v>
      </c>
    </row>
    <row r="38" spans="2:4" x14ac:dyDescent="0.25">
      <c r="C38" s="2" t="s">
        <v>108</v>
      </c>
      <c r="D38" s="2" t="s">
        <v>145</v>
      </c>
    </row>
    <row r="40" spans="2:4" x14ac:dyDescent="0.25">
      <c r="C40" s="2"/>
    </row>
    <row r="41" spans="2:4" x14ac:dyDescent="0.25">
      <c r="C41" s="2"/>
    </row>
    <row r="42" spans="2:4" x14ac:dyDescent="0.25">
      <c r="C42" s="2"/>
    </row>
    <row r="43" spans="2:4" x14ac:dyDescent="0.25">
      <c r="C43" s="2"/>
    </row>
    <row r="44" spans="2:4" x14ac:dyDescent="0.25">
      <c r="C44" s="2"/>
    </row>
    <row r="45" spans="2:4" x14ac:dyDescent="0.25">
      <c r="C45" s="2"/>
    </row>
    <row r="46" spans="2:4" x14ac:dyDescent="0.25">
      <c r="C46" s="2"/>
    </row>
    <row r="47" spans="2:4" x14ac:dyDescent="0.25">
      <c r="C47" s="2"/>
    </row>
    <row r="48" spans="2:4" x14ac:dyDescent="0.25">
      <c r="C48" s="2"/>
    </row>
    <row r="49" spans="3:3" x14ac:dyDescent="0.25">
      <c r="C49" s="2"/>
    </row>
    <row r="50" spans="3:3" x14ac:dyDescent="0.25">
      <c r="C50" s="2"/>
    </row>
    <row r="51" spans="3:3" x14ac:dyDescent="0.25">
      <c r="C51" s="2"/>
    </row>
    <row r="52" spans="3:3" x14ac:dyDescent="0.25">
      <c r="C52"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J150"/>
  <sheetViews>
    <sheetView topLeftCell="A4" zoomScale="115" zoomScaleNormal="115" workbookViewId="0">
      <selection activeCell="E24" sqref="E24"/>
    </sheetView>
  </sheetViews>
  <sheetFormatPr defaultColWidth="12.42578125" defaultRowHeight="11.25" x14ac:dyDescent="0.2"/>
  <cols>
    <col min="1" max="1" width="4.28515625" style="41" customWidth="1"/>
    <col min="2" max="2" width="26.7109375" style="41" customWidth="1"/>
    <col min="3" max="4" width="22.85546875" style="42" customWidth="1"/>
    <col min="5" max="9" width="20.7109375" style="41" customWidth="1"/>
    <col min="10" max="16384" width="12.42578125" style="41"/>
  </cols>
  <sheetData>
    <row r="2" spans="2:10" ht="21" thickBot="1" x14ac:dyDescent="0.25">
      <c r="B2" s="23" t="s">
        <v>71</v>
      </c>
      <c r="C2" s="24"/>
      <c r="D2" s="25"/>
      <c r="E2" s="26"/>
      <c r="F2" s="25"/>
      <c r="G2" s="25"/>
      <c r="H2" s="25"/>
      <c r="I2" s="25"/>
    </row>
    <row r="3" spans="2:10" x14ac:dyDescent="0.2">
      <c r="C3" s="41"/>
    </row>
    <row r="4" spans="2:10" ht="12" x14ac:dyDescent="0.2">
      <c r="B4" s="40" t="s">
        <v>59</v>
      </c>
      <c r="C4" s="150">
        <f>modes</f>
        <v>0</v>
      </c>
      <c r="D4" s="150"/>
    </row>
    <row r="5" spans="2:10" x14ac:dyDescent="0.2">
      <c r="B5" s="40" t="s">
        <v>72</v>
      </c>
      <c r="C5" s="58" t="e">
        <f>+VLOOKUP(modes,Catalogues!C3:E28,3,FALSE)</f>
        <v>#N/A</v>
      </c>
      <c r="D5" s="43"/>
      <c r="F5" s="44"/>
      <c r="G5" s="44"/>
      <c r="H5" s="44"/>
      <c r="I5" s="44"/>
    </row>
    <row r="6" spans="2:10" x14ac:dyDescent="0.2">
      <c r="B6" s="40" t="s">
        <v>60</v>
      </c>
      <c r="C6" s="49">
        <f>by</f>
        <v>0</v>
      </c>
      <c r="D6" s="43"/>
      <c r="F6" s="41" t="s">
        <v>199</v>
      </c>
      <c r="G6" s="44" t="str">
        <f>IF(transport_type="Emissions from new vehicles",VLOOKUP(modes,Load_2DS,by-2010+2,FALSE),"")</f>
        <v/>
      </c>
      <c r="H6" s="44"/>
      <c r="I6" s="44"/>
    </row>
    <row r="7" spans="2:10" x14ac:dyDescent="0.2">
      <c r="B7" s="40" t="s">
        <v>61</v>
      </c>
      <c r="C7" s="49">
        <f>ty</f>
        <v>0</v>
      </c>
      <c r="D7" s="43"/>
      <c r="F7" s="41" t="s">
        <v>200</v>
      </c>
      <c r="G7" s="44" t="str">
        <f>IF(transport_type="Emissions from new vehicles",VLOOKUP(modes,Load_2DS,ty-2010+2,FALSE),"")</f>
        <v/>
      </c>
      <c r="H7" s="44"/>
      <c r="I7" s="44"/>
    </row>
    <row r="8" spans="2:10" x14ac:dyDescent="0.2">
      <c r="B8" s="40" t="s">
        <v>62</v>
      </c>
      <c r="C8" s="50">
        <f>activity_by</f>
        <v>0</v>
      </c>
      <c r="D8" s="43" t="str">
        <f>unit</f>
        <v>Select a transport mode / category</v>
      </c>
      <c r="E8" s="45"/>
      <c r="G8" s="128"/>
      <c r="H8" s="128"/>
      <c r="I8" s="128"/>
      <c r="J8" s="128"/>
    </row>
    <row r="9" spans="2:10" x14ac:dyDescent="0.2">
      <c r="B9" s="40" t="s">
        <v>63</v>
      </c>
      <c r="C9" s="50">
        <f>activity_ty</f>
        <v>0</v>
      </c>
      <c r="D9" s="43" t="str">
        <f>unit</f>
        <v>Select a transport mode / category</v>
      </c>
      <c r="E9" s="45"/>
      <c r="F9" s="41" t="s">
        <v>205</v>
      </c>
      <c r="G9" s="44" t="str">
        <f>IF(transport_type="Emissions from new vehicles",VLOOKUP(modes,Load_B2DS,by-2010+2,FALSE),"")</f>
        <v/>
      </c>
      <c r="H9" s="44"/>
    </row>
    <row r="10" spans="2:10" x14ac:dyDescent="0.2">
      <c r="B10" s="40" t="s">
        <v>64</v>
      </c>
      <c r="C10" s="50">
        <f>wtw_by</f>
        <v>0</v>
      </c>
      <c r="D10" s="43" t="s">
        <v>109</v>
      </c>
      <c r="F10" s="41" t="s">
        <v>206</v>
      </c>
      <c r="G10" s="44" t="str">
        <f>IF(transport_type="Emissions from new vehicles",VLOOKUP(modes,Load_B2DS,ty-2010+2,FALSE),"")</f>
        <v/>
      </c>
      <c r="H10" s="46"/>
    </row>
    <row r="11" spans="2:10" x14ac:dyDescent="0.2">
      <c r="B11" s="40" t="s">
        <v>65</v>
      </c>
      <c r="C11" s="50">
        <f>wtt_by</f>
        <v>0</v>
      </c>
      <c r="D11" s="43" t="s">
        <v>109</v>
      </c>
      <c r="F11" s="44"/>
      <c r="G11" s="44"/>
      <c r="H11" s="44"/>
    </row>
    <row r="12" spans="2:10" x14ac:dyDescent="0.2">
      <c r="B12" s="40" t="s">
        <v>150</v>
      </c>
      <c r="C12" s="50">
        <f>wtt_by</f>
        <v>0</v>
      </c>
      <c r="D12" s="43" t="s">
        <v>109</v>
      </c>
      <c r="F12" s="44"/>
      <c r="G12" s="44"/>
      <c r="H12" s="44"/>
    </row>
    <row r="13" spans="2:10" x14ac:dyDescent="0.2">
      <c r="B13" s="40"/>
      <c r="C13" s="47"/>
      <c r="D13" s="41"/>
    </row>
    <row r="14" spans="2:10" x14ac:dyDescent="0.2">
      <c r="B14" s="51"/>
      <c r="C14" s="52" t="s">
        <v>24</v>
      </c>
      <c r="D14" s="52" t="s">
        <v>25</v>
      </c>
      <c r="E14" s="149" t="s">
        <v>50</v>
      </c>
      <c r="F14" s="149"/>
      <c r="G14" s="149"/>
      <c r="H14" s="149"/>
      <c r="I14" s="149"/>
    </row>
    <row r="15" spans="2:10" x14ac:dyDescent="0.2">
      <c r="B15" s="52" t="s">
        <v>67</v>
      </c>
      <c r="C15" s="53">
        <f>+by</f>
        <v>0</v>
      </c>
      <c r="D15" s="53">
        <f>+ty</f>
        <v>0</v>
      </c>
      <c r="E15" s="53">
        <v>2020</v>
      </c>
      <c r="F15" s="53">
        <v>2030</v>
      </c>
      <c r="G15" s="53">
        <v>2040</v>
      </c>
      <c r="H15" s="53">
        <v>2050</v>
      </c>
      <c r="I15" s="119">
        <v>2060</v>
      </c>
    </row>
    <row r="16" spans="2:10" x14ac:dyDescent="0.2">
      <c r="B16" s="53" t="s">
        <v>51</v>
      </c>
      <c r="C16" s="54" t="e">
        <f>VLOOKUP(modes,WTWEmissions_2DS,by-2010+2,FALSE)</f>
        <v>#N/A</v>
      </c>
      <c r="D16" s="54" t="e">
        <f>VLOOKUP(modes,WTWEmissions_2DS,ty-2010+2,FALSE)</f>
        <v>#N/A</v>
      </c>
      <c r="E16" s="54" t="e">
        <f>VLOOKUP(modes,WTWEmissions_2DS,E15-2010+2,FALSE)</f>
        <v>#N/A</v>
      </c>
      <c r="F16" s="54" t="e">
        <f>VLOOKUP(modes,WTWEmissions_2DS,F15-2010+2,FALSE)</f>
        <v>#N/A</v>
      </c>
      <c r="G16" s="54" t="e">
        <f>VLOOKUP(modes,WTWEmissions_2DS,G15-2010+2,FALSE)</f>
        <v>#N/A</v>
      </c>
      <c r="H16" s="54" t="e">
        <f>VLOOKUP(modes,WTWEmissions_2DS,H15-2010+2,FALSE)</f>
        <v>#N/A</v>
      </c>
      <c r="I16" s="112" t="e">
        <f>VLOOKUP(modes,WTWEmissions_2DS,I15-2010+2,FALSE)</f>
        <v>#N/A</v>
      </c>
    </row>
    <row r="17" spans="2:9" x14ac:dyDescent="0.2">
      <c r="B17" s="53" t="s">
        <v>52</v>
      </c>
      <c r="C17" s="54" t="e">
        <f>VLOOKUP(modes,ACTIVITY_2DS,by-2010+2,FALSE)*10^9</f>
        <v>#N/A</v>
      </c>
      <c r="D17" s="54" t="e">
        <f>VLOOKUP(modes,ACTIVITY_2DS,ty-2010+2,FALSE)*10^9</f>
        <v>#N/A</v>
      </c>
      <c r="E17" s="54" t="e">
        <f>VLOOKUP(modes,ACTIVITY_2DS,E15-2010+2,FALSE)*10^9</f>
        <v>#N/A</v>
      </c>
      <c r="F17" s="54" t="e">
        <f>VLOOKUP(modes,ACTIVITY_2DS,F15-2010+2,FALSE)*10^9</f>
        <v>#N/A</v>
      </c>
      <c r="G17" s="54" t="e">
        <f>VLOOKUP(modes,ACTIVITY_2DS,G15-2010+2,FALSE)*10^9</f>
        <v>#N/A</v>
      </c>
      <c r="H17" s="54" t="e">
        <f>VLOOKUP(modes,ACTIVITY_2DS,H15-2010+2,FALSE)*10^9</f>
        <v>#N/A</v>
      </c>
      <c r="I17" s="112" t="e">
        <f>VLOOKUP(modes,ACTIVITY_2DS,I15-2010+2,FALSE)*10^9</f>
        <v>#N/A</v>
      </c>
    </row>
    <row r="18" spans="2:9" x14ac:dyDescent="0.2">
      <c r="B18" s="53" t="s">
        <v>53</v>
      </c>
      <c r="C18" s="54" t="e">
        <f>IF($C$5="Homogeneous",VLOOKUP(modes,WTWIntensity_2DS,by-2010+2,FALSE),0)</f>
        <v>#N/A</v>
      </c>
      <c r="D18" s="54" t="e">
        <f>IF($C$5="Homogeneous",VLOOKUP(modes,WTWIntensity_2DS,ty-2010+2,FALSE),0)</f>
        <v>#N/A</v>
      </c>
      <c r="E18" s="54" t="e">
        <f>IF($C$5="Homogeneous",VLOOKUP(modes,WTWIntensity_2DS,E15-2010+2,FALSE),0)</f>
        <v>#N/A</v>
      </c>
      <c r="F18" s="54" t="e">
        <f>IF($C$5="Homogeneous",VLOOKUP(modes,WTWIntensity_2DS,F15-2010+2,FALSE),0)</f>
        <v>#N/A</v>
      </c>
      <c r="G18" s="54" t="e">
        <f>IF($C$5="Homogeneous",VLOOKUP(modes,WTWIntensity_2DS,G15-2010+2,FALSE),0)</f>
        <v>#N/A</v>
      </c>
      <c r="H18" s="54" t="e">
        <f>IF($C$5="Homogeneous",VLOOKUP(modes,WTWIntensity_2DS,H15-2010+2,FALSE),0)</f>
        <v>#N/A</v>
      </c>
      <c r="I18" s="112" t="e">
        <f>IF($C$5="Homogeneous",VLOOKUP(modes,WTWIntensity_2DS,I15-2010+2,FALSE),0)</f>
        <v>#N/A</v>
      </c>
    </row>
    <row r="19" spans="2:9" x14ac:dyDescent="0.2">
      <c r="B19" s="53" t="s">
        <v>54</v>
      </c>
      <c r="C19" s="55">
        <f>wtw_by</f>
        <v>0</v>
      </c>
      <c r="D19" s="55" t="e">
        <f>IF($C$5="Heterogeneous",wtw_by*(1-(ty-2010)*1.225%),D24*D23/1000/1000)</f>
        <v>#N/A</v>
      </c>
      <c r="E19" s="54" t="e">
        <f>IF($C$5="Heterogeneous",wtw_by*(1-(E15-2010)*1.225%),E24*E23/1000/1000)</f>
        <v>#N/A</v>
      </c>
      <c r="F19" s="54" t="e">
        <f>IF($C$5="Heterogeneous",wtw_by*(1-(F15-2010)*1.225%),F24*F23/1000/1000)</f>
        <v>#N/A</v>
      </c>
      <c r="G19" s="54" t="e">
        <f>IF($C$5="Heterogeneous",wtw_by*(1-(G15-2010)*1.225%),G24*G23/1000/1000)</f>
        <v>#N/A</v>
      </c>
      <c r="H19" s="54" t="e">
        <f>IF($C$5="Heterogeneous",wtw_by*(1-(H15-2010)*1.225%),H24*H23/1000/1000)</f>
        <v>#N/A</v>
      </c>
      <c r="I19" s="112" t="e">
        <f t="shared" ref="I19" si="0">IF($C$5="Heterogeneous",wtw_by*I16/$C16,I24*I23/1000/1000)</f>
        <v>#N/A</v>
      </c>
    </row>
    <row r="20" spans="2:9" x14ac:dyDescent="0.2">
      <c r="B20" s="53" t="s">
        <v>45</v>
      </c>
      <c r="C20" s="54" t="e">
        <f t="shared" ref="C20:I20" si="1">$C24-$H18</f>
        <v>#N/A</v>
      </c>
      <c r="D20" s="54" t="e">
        <f t="shared" si="1"/>
        <v>#N/A</v>
      </c>
      <c r="E20" s="54" t="e">
        <f t="shared" si="1"/>
        <v>#N/A</v>
      </c>
      <c r="F20" s="54" t="e">
        <f t="shared" si="1"/>
        <v>#N/A</v>
      </c>
      <c r="G20" s="54" t="e">
        <f t="shared" si="1"/>
        <v>#N/A</v>
      </c>
      <c r="H20" s="54" t="e">
        <f t="shared" si="1"/>
        <v>#N/A</v>
      </c>
      <c r="I20" s="112" t="e">
        <f t="shared" si="1"/>
        <v>#N/A</v>
      </c>
    </row>
    <row r="21" spans="2:9" x14ac:dyDescent="0.2">
      <c r="B21" s="53" t="s">
        <v>55</v>
      </c>
      <c r="C21" s="54" t="e">
        <f>IF((C23/$C17)/(C23/C17)&lt;=1,(C23/$C17)/(C23/C17),1)</f>
        <v>#N/A</v>
      </c>
      <c r="D21" s="54" t="e">
        <f t="shared" ref="D21:H21" si="2">IF(($C23/$C17)/(D23/D17)&lt;=1,($C23/$C17)/(D23/D17),1)</f>
        <v>#N/A</v>
      </c>
      <c r="E21" s="54" t="e">
        <f t="shared" si="2"/>
        <v>#N/A</v>
      </c>
      <c r="F21" s="54" t="e">
        <f t="shared" si="2"/>
        <v>#N/A</v>
      </c>
      <c r="G21" s="54" t="e">
        <f t="shared" si="2"/>
        <v>#N/A</v>
      </c>
      <c r="H21" s="54" t="e">
        <f t="shared" si="2"/>
        <v>#N/A</v>
      </c>
      <c r="I21" s="112" t="e">
        <f t="shared" ref="I21" si="3">IF(($C23/$C17)/(I23/I17)&lt;=1,($C23/$C17)/(I23/I17),1)</f>
        <v>#N/A</v>
      </c>
    </row>
    <row r="22" spans="2:9" x14ac:dyDescent="0.2">
      <c r="B22" s="53" t="s">
        <v>56</v>
      </c>
      <c r="C22" s="54" t="e">
        <f>(C18-$H18)/($C18-$H18)</f>
        <v>#N/A</v>
      </c>
      <c r="D22" s="54" t="e">
        <f>(D18-$H18)/($C18-$H18)</f>
        <v>#N/A</v>
      </c>
      <c r="E22" s="54" t="e">
        <f>(E18-$H18)/($C18-$H18)</f>
        <v>#N/A</v>
      </c>
      <c r="F22" s="54" t="e">
        <f t="shared" ref="F22:H22" si="4">(F18-$H18)/($C18-$H18)</f>
        <v>#N/A</v>
      </c>
      <c r="G22" s="54" t="e">
        <f t="shared" si="4"/>
        <v>#N/A</v>
      </c>
      <c r="H22" s="54" t="e">
        <f t="shared" si="4"/>
        <v>#N/A</v>
      </c>
      <c r="I22" s="112" t="e">
        <f t="shared" ref="I22" si="5">(I18-$H18)/($C18-$H18)</f>
        <v>#N/A</v>
      </c>
    </row>
    <row r="23" spans="2:9" x14ac:dyDescent="0.2">
      <c r="B23" s="53" t="s">
        <v>57</v>
      </c>
      <c r="C23" s="54" t="e">
        <f>IF($C$5="Homogeneous",activity_by,0)</f>
        <v>#N/A</v>
      </c>
      <c r="D23" s="54" t="e">
        <f>IF($C$5="Homogeneous",activity_ty,activity_ty/activity_by)</f>
        <v>#N/A</v>
      </c>
      <c r="E23" s="54" t="e">
        <f>IF($C$5="Homogeneous",(activity_ty-activity_by)/(ty-by)*(E15-by)+activity_by,((activity_ty-activity_by)/(ty-by)*(E15-by)+activity_by)/activity_by)</f>
        <v>#N/A</v>
      </c>
      <c r="F23" s="54" t="e">
        <f>IF($C$5="Homogeneous",(activity_ty-activity_by)/(ty-by)*(F15-by)+activity_by,((activity_ty-activity_by)/(ty-by)*(F15-by)+activity_by)/activity_by)</f>
        <v>#N/A</v>
      </c>
      <c r="G23" s="54" t="e">
        <f>IF($C$5="Homogeneous",(activity_ty-activity_by)/(ty-by)*(G15-by)+activity_by,((activity_ty-activity_by)/(ty-by)*(G15-by)+activity_by)/activity_by)</f>
        <v>#N/A</v>
      </c>
      <c r="H23" s="54" t="e">
        <f>IF($C$5="Homogeneous",(activity_ty-activity_by)/(ty-by)*(H15-by)+activity_by,((activity_ty-activity_by)/(ty-by)*(H15-by)+activity_by)/activity_by)</f>
        <v>#N/A</v>
      </c>
      <c r="I23" s="112" t="e">
        <f>IF($C$5="Homogeneous",(activity_ty-activity_by)/(ty-by)*(I15-by)+activity_by,((activity_ty-activity_by)/(ty-by)*(I15-by)+activity_by)/activity_by)</f>
        <v>#N/A</v>
      </c>
    </row>
    <row r="24" spans="2:9" x14ac:dyDescent="0.2">
      <c r="B24" s="53" t="s">
        <v>58</v>
      </c>
      <c r="C24" s="55" t="e">
        <f>IF($C$5="Homogeneous",C19/C23*1000000,IF($C$5="Fuel Economy",C23,1))</f>
        <v>#N/A</v>
      </c>
      <c r="D24" s="55" t="e">
        <f t="shared" ref="D24:I24" si="6">(D20*D21*D22)+$H18</f>
        <v>#N/A</v>
      </c>
      <c r="E24" s="54" t="e">
        <f t="shared" si="6"/>
        <v>#N/A</v>
      </c>
      <c r="F24" s="54" t="e">
        <f t="shared" si="6"/>
        <v>#N/A</v>
      </c>
      <c r="G24" s="54" t="e">
        <f t="shared" si="6"/>
        <v>#N/A</v>
      </c>
      <c r="H24" s="54" t="e">
        <f t="shared" si="6"/>
        <v>#N/A</v>
      </c>
      <c r="I24" s="112" t="e">
        <f t="shared" si="6"/>
        <v>#N/A</v>
      </c>
    </row>
    <row r="25" spans="2:9" x14ac:dyDescent="0.2">
      <c r="B25" s="48"/>
      <c r="C25" s="48"/>
      <c r="D25" s="48"/>
      <c r="E25" s="48"/>
      <c r="F25" s="48"/>
      <c r="G25" s="48"/>
      <c r="H25" s="48"/>
      <c r="I25" s="48"/>
    </row>
    <row r="26" spans="2:9" x14ac:dyDescent="0.2">
      <c r="B26" s="51"/>
      <c r="C26" s="52" t="s">
        <v>24</v>
      </c>
      <c r="D26" s="52" t="s">
        <v>25</v>
      </c>
      <c r="E26" s="149" t="s">
        <v>50</v>
      </c>
      <c r="F26" s="149"/>
      <c r="G26" s="149"/>
      <c r="H26" s="149"/>
      <c r="I26" s="149"/>
    </row>
    <row r="27" spans="2:9" x14ac:dyDescent="0.2">
      <c r="B27" s="52" t="s">
        <v>68</v>
      </c>
      <c r="C27" s="53">
        <f>+by</f>
        <v>0</v>
      </c>
      <c r="D27" s="53">
        <f>+ty</f>
        <v>0</v>
      </c>
      <c r="E27" s="53">
        <v>2020</v>
      </c>
      <c r="F27" s="53">
        <v>2030</v>
      </c>
      <c r="G27" s="53">
        <v>2040</v>
      </c>
      <c r="H27" s="53">
        <v>2050</v>
      </c>
      <c r="I27" s="119">
        <v>2060</v>
      </c>
    </row>
    <row r="28" spans="2:9" x14ac:dyDescent="0.2">
      <c r="B28" s="53" t="s">
        <v>51</v>
      </c>
      <c r="C28" s="54" t="e">
        <f>VLOOKUP(modes,WTWEmissions_B2DS,by-2010+2,FALSE)</f>
        <v>#N/A</v>
      </c>
      <c r="D28" s="54" t="e">
        <f>VLOOKUP(modes,WTWEmissions_B2DS,ty-2010+2,FALSE)</f>
        <v>#N/A</v>
      </c>
      <c r="E28" s="54" t="e">
        <f>VLOOKUP(modes,WTWEmissions_B2DS,E27-2010+2,FALSE)</f>
        <v>#N/A</v>
      </c>
      <c r="F28" s="54" t="e">
        <f>VLOOKUP(modes,WTWEmissions_B2DS,F27-2010+2,FALSE)</f>
        <v>#N/A</v>
      </c>
      <c r="G28" s="54" t="e">
        <f>VLOOKUP(modes,WTWEmissions_B2DS,G27-2010+2,FALSE)</f>
        <v>#N/A</v>
      </c>
      <c r="H28" s="54" t="e">
        <f>VLOOKUP(modes,WTWEmissions_B2DS,H27-2010+2,FALSE)</f>
        <v>#N/A</v>
      </c>
      <c r="I28" s="112" t="e">
        <f>VLOOKUP(modes,WTWEmissions_B2DS,I27-2010+2,FALSE)</f>
        <v>#N/A</v>
      </c>
    </row>
    <row r="29" spans="2:9" x14ac:dyDescent="0.2">
      <c r="B29" s="53" t="s">
        <v>52</v>
      </c>
      <c r="C29" s="54" t="e">
        <f>VLOOKUP(modes,ACTIVITY_B2DS,by-2010+2,FALSE)*10^9</f>
        <v>#N/A</v>
      </c>
      <c r="D29" s="54" t="e">
        <f>VLOOKUP(modes,ACTIVITY_B2DS,ty-2010+2,FALSE)*10^9</f>
        <v>#N/A</v>
      </c>
      <c r="E29" s="54" t="e">
        <f>VLOOKUP(modes,ACTIVITY_B2DS,E27-2010+2,FALSE)*10^9</f>
        <v>#N/A</v>
      </c>
      <c r="F29" s="54" t="e">
        <f>VLOOKUP(modes,ACTIVITY_B2DS,F27-2010+2,FALSE)*10^9</f>
        <v>#N/A</v>
      </c>
      <c r="G29" s="54" t="e">
        <f>VLOOKUP(modes,ACTIVITY_B2DS,G27-2010+2,FALSE)*10^9</f>
        <v>#N/A</v>
      </c>
      <c r="H29" s="54" t="e">
        <f>VLOOKUP(modes,ACTIVITY_B2DS,H27-2010+2,FALSE)*10^9</f>
        <v>#N/A</v>
      </c>
      <c r="I29" s="112" t="e">
        <f>VLOOKUP(modes,ACTIVITY_B2DS,I27-2010+2,FALSE)*10^9</f>
        <v>#N/A</v>
      </c>
    </row>
    <row r="30" spans="2:9" x14ac:dyDescent="0.2">
      <c r="B30" s="53" t="s">
        <v>53</v>
      </c>
      <c r="C30" s="54" t="e">
        <f>IF($C$5="Homogeneous",VLOOKUP(modes,WTWIntensity_B2DS,by-2010+2,FALSE),0)</f>
        <v>#N/A</v>
      </c>
      <c r="D30" s="54" t="e">
        <f>IF($C$5="Homogeneous",VLOOKUP(modes,WTWIntensity_B2DS,ty-2010+2,FALSE),0)</f>
        <v>#N/A</v>
      </c>
      <c r="E30" s="54" t="e">
        <f>IF($C$5="Homogeneous",VLOOKUP(modes,WTWIntensity_B2DS,E27-2010+2,FALSE),0)</f>
        <v>#N/A</v>
      </c>
      <c r="F30" s="54" t="e">
        <f>IF($C$5="Homogeneous",VLOOKUP(modes,WTWIntensity_B2DS,F27-2010+2,FALSE),0)</f>
        <v>#N/A</v>
      </c>
      <c r="G30" s="54" t="e">
        <f>IF($C$5="Homogeneous",VLOOKUP(modes,WTWIntensity_B2DS,G27-2010+2,FALSE),0)</f>
        <v>#N/A</v>
      </c>
      <c r="H30" s="54" t="e">
        <f>IF($C$5="Homogeneous",VLOOKUP(modes,WTWIntensity_B2DS,H27-2010+2,FALSE),0)</f>
        <v>#N/A</v>
      </c>
      <c r="I30" s="112" t="e">
        <f>IF($C$5="Homogeneous",VLOOKUP(modes,WTWIntensity_B2DS,I27-2010+2,FALSE),0)</f>
        <v>#N/A</v>
      </c>
    </row>
    <row r="31" spans="2:9" x14ac:dyDescent="0.2">
      <c r="B31" s="53" t="s">
        <v>54</v>
      </c>
      <c r="C31" s="55">
        <f>wtw_by</f>
        <v>0</v>
      </c>
      <c r="D31" s="55" t="e">
        <f>IF($C$5="Heterogeneous",wtw_by*(1-(ty-2010)*1.8%),D36*D35/1000/1000)</f>
        <v>#N/A</v>
      </c>
      <c r="E31" s="54" t="e">
        <f>IF($C$5="Heterogeneous",wtw_by*(1-(E27-2010)*1.8%),E36*E35/1000/1000)</f>
        <v>#N/A</v>
      </c>
      <c r="F31" s="54" t="e">
        <f>IF($C$5="Heterogeneous",wtw_by*(1-(F27-2010)*1.8%),F36*F35/1000/1000)</f>
        <v>#N/A</v>
      </c>
      <c r="G31" s="54" t="e">
        <f>IF($C$5="Heterogeneous",wtw_by*(1-(G27-2010)*1.8%),G36*G35/1000/1000)</f>
        <v>#N/A</v>
      </c>
      <c r="H31" s="54" t="e">
        <f>IF($C$5="Heterogeneous",wtw_by*(1-(H27-2010)*1.8%),H36*H35/1000/1000)</f>
        <v>#N/A</v>
      </c>
      <c r="I31" s="112" t="e">
        <f t="shared" ref="I31" si="7">IF($C$5="Heterogeneous",wtw_by*I28/$C28,I36*I35/1000/1000)</f>
        <v>#N/A</v>
      </c>
    </row>
    <row r="32" spans="2:9" x14ac:dyDescent="0.2">
      <c r="B32" s="53" t="s">
        <v>45</v>
      </c>
      <c r="C32" s="54" t="e">
        <f t="shared" ref="C32:I32" si="8">$C36-$H30</f>
        <v>#N/A</v>
      </c>
      <c r="D32" s="54" t="e">
        <f t="shared" si="8"/>
        <v>#N/A</v>
      </c>
      <c r="E32" s="54" t="e">
        <f t="shared" si="8"/>
        <v>#N/A</v>
      </c>
      <c r="F32" s="54" t="e">
        <f t="shared" si="8"/>
        <v>#N/A</v>
      </c>
      <c r="G32" s="54" t="e">
        <f t="shared" si="8"/>
        <v>#N/A</v>
      </c>
      <c r="H32" s="54" t="e">
        <f t="shared" si="8"/>
        <v>#N/A</v>
      </c>
      <c r="I32" s="112" t="e">
        <f t="shared" si="8"/>
        <v>#N/A</v>
      </c>
    </row>
    <row r="33" spans="2:9" x14ac:dyDescent="0.2">
      <c r="B33" s="53" t="s">
        <v>55</v>
      </c>
      <c r="C33" s="54" t="e">
        <f>IF((C35/$C29)/(C35/C29)&lt;=1,(C35/$C29)/(C35/C29),1)</f>
        <v>#N/A</v>
      </c>
      <c r="D33" s="54" t="e">
        <f t="shared" ref="D33:H33" si="9">IF(($C35/$C29)/(D35/D29)&lt;=1,($C35/$C29)/(D35/D29),1)</f>
        <v>#N/A</v>
      </c>
      <c r="E33" s="54" t="e">
        <f t="shared" si="9"/>
        <v>#N/A</v>
      </c>
      <c r="F33" s="54" t="e">
        <f t="shared" si="9"/>
        <v>#N/A</v>
      </c>
      <c r="G33" s="54" t="e">
        <f t="shared" si="9"/>
        <v>#N/A</v>
      </c>
      <c r="H33" s="54" t="e">
        <f t="shared" si="9"/>
        <v>#N/A</v>
      </c>
      <c r="I33" s="112" t="e">
        <f t="shared" ref="I33" si="10">IF(($C35/$C29)/(I35/I29)&lt;=1,($C35/$C29)/(I35/I29),1)</f>
        <v>#N/A</v>
      </c>
    </row>
    <row r="34" spans="2:9" x14ac:dyDescent="0.2">
      <c r="B34" s="53" t="s">
        <v>56</v>
      </c>
      <c r="C34" s="54" t="e">
        <f>(C30-$H30)/($C30-$H30)</f>
        <v>#N/A</v>
      </c>
      <c r="D34" s="54" t="e">
        <f>(D30-$H30)/($C30-$H30)</f>
        <v>#N/A</v>
      </c>
      <c r="E34" s="54" t="e">
        <f>(E30-$H30)/($C30-$H30)</f>
        <v>#N/A</v>
      </c>
      <c r="F34" s="54" t="e">
        <f t="shared" ref="F34:H34" si="11">(F30-$H30)/($C30-$H30)</f>
        <v>#N/A</v>
      </c>
      <c r="G34" s="54" t="e">
        <f t="shared" si="11"/>
        <v>#N/A</v>
      </c>
      <c r="H34" s="54" t="e">
        <f t="shared" si="11"/>
        <v>#N/A</v>
      </c>
      <c r="I34" s="112" t="e">
        <f t="shared" ref="I34" si="12">(I30-$H30)/($C30-$H30)</f>
        <v>#N/A</v>
      </c>
    </row>
    <row r="35" spans="2:9" x14ac:dyDescent="0.2">
      <c r="B35" s="53" t="s">
        <v>57</v>
      </c>
      <c r="C35" s="54" t="e">
        <f>IF($C$5="Homogeneous",activity_by,0)</f>
        <v>#N/A</v>
      </c>
      <c r="D35" s="54" t="e">
        <f>IF($C$5="Homogeneous",activity_ty,activity_ty/activity_by)</f>
        <v>#N/A</v>
      </c>
      <c r="E35" s="54" t="e">
        <f>IF($C$5="Homogeneous",(activity_ty-activity_by)/(ty-by)*(E27-by)+activity_by,((activity_ty-activity_by)/(ty-by)*(E27-by)+activity_by)/activity_by)</f>
        <v>#N/A</v>
      </c>
      <c r="F35" s="54" t="e">
        <f>IF($C$5="Homogeneous",(activity_ty-activity_by)/(ty-by)*(F27-by)+activity_by,((activity_ty-activity_by)/(ty-by)*(F27-by)+activity_by)/activity_by)</f>
        <v>#N/A</v>
      </c>
      <c r="G35" s="54" t="e">
        <f>IF($C$5="Homogeneous",(activity_ty-activity_by)/(ty-by)*(G27-by)+activity_by,((activity_ty-activity_by)/(ty-by)*(G27-by)+activity_by)/activity_by)</f>
        <v>#N/A</v>
      </c>
      <c r="H35" s="54" t="e">
        <f>IF($C$5="Homogeneous",(activity_ty-activity_by)/(ty-by)*(H27-by)+activity_by,((activity_ty-activity_by)/(ty-by)*(H27-by)+activity_by)/activity_by)</f>
        <v>#N/A</v>
      </c>
      <c r="I35" s="112" t="e">
        <f>IF($C$5="Homogeneous",(activity_ty-activity_by)/(ty-by)*(I27-by)+activity_by,((activity_ty-activity_by)/(ty-by)*(I27-by)+activity_by)/activity_by)</f>
        <v>#N/A</v>
      </c>
    </row>
    <row r="36" spans="2:9" x14ac:dyDescent="0.2">
      <c r="B36" s="53" t="s">
        <v>58</v>
      </c>
      <c r="C36" s="55" t="e">
        <f>IF($C$5="Homogeneous",C31/C35*1000000,IF($C$5="Fuel Economy",C35,1))</f>
        <v>#N/A</v>
      </c>
      <c r="D36" s="55" t="e">
        <f t="shared" ref="D36:I36" si="13">(D32*D33*D34)+$H30</f>
        <v>#N/A</v>
      </c>
      <c r="E36" s="54" t="e">
        <f t="shared" si="13"/>
        <v>#N/A</v>
      </c>
      <c r="F36" s="54" t="e">
        <f t="shared" si="13"/>
        <v>#N/A</v>
      </c>
      <c r="G36" s="54" t="e">
        <f t="shared" si="13"/>
        <v>#N/A</v>
      </c>
      <c r="H36" s="54" t="e">
        <f t="shared" si="13"/>
        <v>#N/A</v>
      </c>
      <c r="I36" s="112" t="e">
        <f t="shared" si="13"/>
        <v>#N/A</v>
      </c>
    </row>
    <row r="37" spans="2:9" x14ac:dyDescent="0.2">
      <c r="C37" s="41"/>
      <c r="D37" s="41"/>
    </row>
    <row r="38" spans="2:9" x14ac:dyDescent="0.2">
      <c r="B38" s="51"/>
      <c r="C38" s="52" t="s">
        <v>24</v>
      </c>
      <c r="D38" s="52" t="s">
        <v>25</v>
      </c>
      <c r="E38" s="149" t="s">
        <v>50</v>
      </c>
      <c r="F38" s="149"/>
      <c r="G38" s="149"/>
      <c r="H38" s="149"/>
      <c r="I38" s="149"/>
    </row>
    <row r="39" spans="2:9" x14ac:dyDescent="0.2">
      <c r="B39" s="52" t="s">
        <v>70</v>
      </c>
      <c r="C39" s="53">
        <f>+by</f>
        <v>0</v>
      </c>
      <c r="D39" s="53">
        <f>+ty</f>
        <v>0</v>
      </c>
      <c r="E39" s="53">
        <v>2020</v>
      </c>
      <c r="F39" s="53">
        <v>2030</v>
      </c>
      <c r="G39" s="53">
        <v>2040</v>
      </c>
      <c r="H39" s="53">
        <v>2050</v>
      </c>
      <c r="I39" s="119">
        <v>2060</v>
      </c>
    </row>
    <row r="40" spans="2:9" x14ac:dyDescent="0.2">
      <c r="B40" s="53" t="s">
        <v>51</v>
      </c>
      <c r="C40" s="54" t="e">
        <f>VLOOKUP(modes,WTTEmissions_2DS,by-2010+2,FALSE)</f>
        <v>#N/A</v>
      </c>
      <c r="D40" s="54" t="e">
        <f>VLOOKUP(modes,WTTEmissions_2DS,ty-2010+2,FALSE)</f>
        <v>#N/A</v>
      </c>
      <c r="E40" s="54" t="e">
        <f>VLOOKUP(modes,WTTEmissions_2DS,E39-2010+2,FALSE)</f>
        <v>#N/A</v>
      </c>
      <c r="F40" s="54" t="e">
        <f>VLOOKUP(modes,WTTEmissions_2DS,F39-2010+2,FALSE)</f>
        <v>#N/A</v>
      </c>
      <c r="G40" s="54" t="e">
        <f>VLOOKUP(modes,WTTEmissions_2DS,G39-2010+2,FALSE)</f>
        <v>#N/A</v>
      </c>
      <c r="H40" s="54" t="e">
        <f>VLOOKUP(modes,WTTEmissions_2DS,H39-2010+2,FALSE)</f>
        <v>#N/A</v>
      </c>
      <c r="I40" s="112" t="e">
        <f>VLOOKUP(modes,WTTEmissions_2DS,I39-2010+2,FALSE)</f>
        <v>#N/A</v>
      </c>
    </row>
    <row r="41" spans="2:9" x14ac:dyDescent="0.2">
      <c r="B41" s="53" t="s">
        <v>52</v>
      </c>
      <c r="C41" s="54" t="e">
        <f>VLOOKUP(modes,ACTIVITY_2DS,by-2010+2,FALSE)*10^9</f>
        <v>#N/A</v>
      </c>
      <c r="D41" s="54" t="e">
        <f>VLOOKUP(modes,ACTIVITY_2DS,ty-2010+2,FALSE)*10^9</f>
        <v>#N/A</v>
      </c>
      <c r="E41" s="54" t="e">
        <f>VLOOKUP(modes,ACTIVITY_2DS,E39-2010+2,FALSE)*10^9</f>
        <v>#N/A</v>
      </c>
      <c r="F41" s="54" t="e">
        <f>VLOOKUP(modes,ACTIVITY_2DS,F39-2010+2,FALSE)*10^9</f>
        <v>#N/A</v>
      </c>
      <c r="G41" s="54" t="e">
        <f>VLOOKUP(modes,ACTIVITY_2DS,G39-2010+2,FALSE)*10^9</f>
        <v>#N/A</v>
      </c>
      <c r="H41" s="54" t="e">
        <f>VLOOKUP(modes,ACTIVITY_2DS,H39-2010+2,FALSE)*10^9</f>
        <v>#N/A</v>
      </c>
      <c r="I41" s="112" t="e">
        <f>VLOOKUP(modes,ACTIVITY_2DS,I39-2010+2,FALSE)*10^9</f>
        <v>#N/A</v>
      </c>
    </row>
    <row r="42" spans="2:9" x14ac:dyDescent="0.2">
      <c r="B42" s="53" t="s">
        <v>53</v>
      </c>
      <c r="C42" s="54" t="e">
        <f>IF($C$5="Homogeneous",VLOOKUP(modes,WTTIntensity_2DS,by-2010+2,FALSE),0)</f>
        <v>#N/A</v>
      </c>
      <c r="D42" s="54" t="e">
        <f>IF($C$5="Homogeneous",VLOOKUP(modes,WTTIntensity_2DS,ty-2010+2,FALSE),0)</f>
        <v>#N/A</v>
      </c>
      <c r="E42" s="54" t="e">
        <f>IF($C$5="Homogeneous",VLOOKUP(modes,WTTIntensity_2DS,E39-2010+2,FALSE),0)</f>
        <v>#N/A</v>
      </c>
      <c r="F42" s="54" t="e">
        <f>IF($C$5="Homogeneous",VLOOKUP(modes,WTTIntensity_2DS,F39-2010+2,FALSE),0)</f>
        <v>#N/A</v>
      </c>
      <c r="G42" s="54" t="e">
        <f>IF($C$5="Homogeneous",VLOOKUP(modes,WTTIntensity_2DS,G39-2010+2,FALSE),0)</f>
        <v>#N/A</v>
      </c>
      <c r="H42" s="54" t="e">
        <f>IF($C$5="Homogeneous",VLOOKUP(modes,WTTIntensity_2DS,H39-2010+2,FALSE),0)</f>
        <v>#N/A</v>
      </c>
      <c r="I42" s="112" t="e">
        <f>IF($C$5="Homogeneous",VLOOKUP(modes,WTTIntensity_2DS,I39-2010+2,FALSE),0)</f>
        <v>#N/A</v>
      </c>
    </row>
    <row r="43" spans="2:9" x14ac:dyDescent="0.2">
      <c r="B43" s="53" t="s">
        <v>54</v>
      </c>
      <c r="C43" s="55">
        <f>wtt_by</f>
        <v>0</v>
      </c>
      <c r="D43" s="55" t="e">
        <f>IF($C$5="Heterogeneous",wtt_by*D40/$C40,IF(ISNUMBER(wtt_by)=TRUE,D48*D47/1000/1000,""))</f>
        <v>#N/A</v>
      </c>
      <c r="E43" s="55" t="e">
        <f>IF($C$5="Heterogeneous",wtt_by*E40/$C40,IF(ISNUMBER(wtt_by)=TRUE,E48*E47/1000/1000,""))</f>
        <v>#N/A</v>
      </c>
      <c r="F43" s="55" t="e">
        <f>IF($C$5="Heterogeneous",wtt_by*F40/$C40,IF(ISNUMBER(wtt_by)=TRUE,F48*F47/1000/1000,""))</f>
        <v>#N/A</v>
      </c>
      <c r="G43" s="55" t="e">
        <f>IF($C$5="Heterogeneous",wtt_by*G40/$C40,IF(ISNUMBER(wtt_by)=TRUE,G48*G47/1000/1000,""))</f>
        <v>#N/A</v>
      </c>
      <c r="H43" s="55" t="e">
        <f>IF($C$5="Heterogeneous",wtt_by*H40/$C40,IF(ISNUMBER(wtt_by)=TRUE,H48*H47/1000/1000,""))</f>
        <v>#N/A</v>
      </c>
      <c r="I43" s="112" t="e">
        <f>IF($C$5="Heterogeneous",wtt_by*I40/$C40,I48*I47/1000/1000)</f>
        <v>#N/A</v>
      </c>
    </row>
    <row r="44" spans="2:9" x14ac:dyDescent="0.2">
      <c r="B44" s="53" t="s">
        <v>45</v>
      </c>
      <c r="C44" s="54" t="e">
        <f t="shared" ref="C44:I44" si="14">$C48-$H42</f>
        <v>#N/A</v>
      </c>
      <c r="D44" s="54" t="e">
        <f t="shared" si="14"/>
        <v>#N/A</v>
      </c>
      <c r="E44" s="54" t="e">
        <f t="shared" si="14"/>
        <v>#N/A</v>
      </c>
      <c r="F44" s="54" t="e">
        <f t="shared" si="14"/>
        <v>#N/A</v>
      </c>
      <c r="G44" s="54" t="e">
        <f t="shared" si="14"/>
        <v>#N/A</v>
      </c>
      <c r="H44" s="54" t="e">
        <f t="shared" si="14"/>
        <v>#N/A</v>
      </c>
      <c r="I44" s="112" t="e">
        <f t="shared" si="14"/>
        <v>#N/A</v>
      </c>
    </row>
    <row r="45" spans="2:9" x14ac:dyDescent="0.2">
      <c r="B45" s="53" t="s">
        <v>55</v>
      </c>
      <c r="C45" s="54" t="e">
        <f>IF((C47/$C41)/(C47/C41)&lt;=1,(C47/$C41)/(C47/C41),1)</f>
        <v>#N/A</v>
      </c>
      <c r="D45" s="54" t="e">
        <f t="shared" ref="D45:H45" si="15">IF(($C47/$C41)/(D47/D41)&lt;=1,($C47/$C41)/(D47/D41),1)</f>
        <v>#N/A</v>
      </c>
      <c r="E45" s="54" t="e">
        <f t="shared" si="15"/>
        <v>#N/A</v>
      </c>
      <c r="F45" s="54" t="e">
        <f t="shared" si="15"/>
        <v>#N/A</v>
      </c>
      <c r="G45" s="54" t="e">
        <f t="shared" si="15"/>
        <v>#N/A</v>
      </c>
      <c r="H45" s="54" t="e">
        <f t="shared" si="15"/>
        <v>#N/A</v>
      </c>
      <c r="I45" s="112" t="e">
        <f t="shared" ref="I45" si="16">IF(($C47/$C41)/(I47/I41)&lt;=1,($C47/$C41)/(I47/I41),1)</f>
        <v>#N/A</v>
      </c>
    </row>
    <row r="46" spans="2:9" x14ac:dyDescent="0.2">
      <c r="B46" s="53" t="s">
        <v>56</v>
      </c>
      <c r="C46" s="54" t="e">
        <f>(C42-$H42)/($C42-$H42)</f>
        <v>#N/A</v>
      </c>
      <c r="D46" s="54" t="e">
        <f>(D42-$H42)/($C42-$H42)</f>
        <v>#N/A</v>
      </c>
      <c r="E46" s="54" t="e">
        <f>(E42-$H42)/($C42-$H42)</f>
        <v>#N/A</v>
      </c>
      <c r="F46" s="54" t="e">
        <f t="shared" ref="F46:H46" si="17">(F42-$H42)/($C42-$H42)</f>
        <v>#N/A</v>
      </c>
      <c r="G46" s="54" t="e">
        <f t="shared" si="17"/>
        <v>#N/A</v>
      </c>
      <c r="H46" s="54" t="e">
        <f t="shared" si="17"/>
        <v>#N/A</v>
      </c>
      <c r="I46" s="112" t="e">
        <f t="shared" ref="I46" si="18">(I42-$H42)/($C42-$H42)</f>
        <v>#N/A</v>
      </c>
    </row>
    <row r="47" spans="2:9" x14ac:dyDescent="0.2">
      <c r="B47" s="53" t="s">
        <v>57</v>
      </c>
      <c r="C47" s="54" t="e">
        <f>IF($C$5="Homogeneous",activity_by,0)</f>
        <v>#N/A</v>
      </c>
      <c r="D47" s="54" t="e">
        <f>IF($C$5="Homogeneous",activity_ty,activity_ty/activity_by)</f>
        <v>#N/A</v>
      </c>
      <c r="E47" s="54" t="e">
        <f>IF($C$5="Homogeneous",(activity_ty-activity_by)/(ty-by)*(E39-by)+activity_by,((activity_ty-activity_by)/(ty-by)*(E39-by)+activity_by)/activity_by)</f>
        <v>#N/A</v>
      </c>
      <c r="F47" s="54" t="e">
        <f>IF($C$5="Homogeneous",(activity_ty-activity_by)/(ty-by)*(F39-by)+activity_by,((activity_ty-activity_by)/(ty-by)*(F39-by)+activity_by)/activity_by)</f>
        <v>#N/A</v>
      </c>
      <c r="G47" s="54" t="e">
        <f>IF($C$5="Homogeneous",(activity_ty-activity_by)/(ty-by)*(G39-by)+activity_by,((activity_ty-activity_by)/(ty-by)*(G39-by)+activity_by)/activity_by)</f>
        <v>#N/A</v>
      </c>
      <c r="H47" s="54" t="e">
        <f>IF($C$5="Homogeneous",(activity_ty-activity_by)/(ty-by)*(H39-by)+activity_by,((activity_ty-activity_by)/(ty-by)*(H39-by)+activity_by)/activity_by)</f>
        <v>#N/A</v>
      </c>
      <c r="I47" s="112" t="e">
        <f>IF($C$5="Homogeneous",(activity_ty-activity_by)/(ty-by)*(I39-by)+activity_by,((activity_ty-activity_by)/(ty-by)*(I39-by)+activity_by)/activity_by)</f>
        <v>#N/A</v>
      </c>
    </row>
    <row r="48" spans="2:9" x14ac:dyDescent="0.2">
      <c r="B48" s="53" t="s">
        <v>58</v>
      </c>
      <c r="C48" s="55" t="e">
        <f>IF($C$5="Homogeneous",C43/C47*1000000,IF($C$5="Fuel Economy",C47,1))</f>
        <v>#N/A</v>
      </c>
      <c r="D48" s="55" t="e">
        <f t="shared" ref="D48:I48" si="19">(D44*D45*D46)+$H42</f>
        <v>#N/A</v>
      </c>
      <c r="E48" s="54" t="e">
        <f t="shared" si="19"/>
        <v>#N/A</v>
      </c>
      <c r="F48" s="54" t="e">
        <f t="shared" si="19"/>
        <v>#N/A</v>
      </c>
      <c r="G48" s="54" t="e">
        <f t="shared" si="19"/>
        <v>#N/A</v>
      </c>
      <c r="H48" s="54" t="e">
        <f t="shared" si="19"/>
        <v>#N/A</v>
      </c>
      <c r="I48" s="112" t="e">
        <f t="shared" si="19"/>
        <v>#N/A</v>
      </c>
    </row>
    <row r="49" spans="1:9" x14ac:dyDescent="0.2">
      <c r="C49" s="41"/>
      <c r="D49" s="41"/>
    </row>
    <row r="50" spans="1:9" x14ac:dyDescent="0.2">
      <c r="B50" s="51"/>
      <c r="C50" s="52" t="s">
        <v>24</v>
      </c>
      <c r="D50" s="52" t="s">
        <v>25</v>
      </c>
      <c r="E50" s="149" t="s">
        <v>50</v>
      </c>
      <c r="F50" s="149"/>
      <c r="G50" s="149"/>
      <c r="H50" s="149"/>
      <c r="I50" s="149"/>
    </row>
    <row r="51" spans="1:9" x14ac:dyDescent="0.2">
      <c r="B51" s="52" t="s">
        <v>69</v>
      </c>
      <c r="C51" s="53">
        <f>+by</f>
        <v>0</v>
      </c>
      <c r="D51" s="53">
        <f>+ty</f>
        <v>0</v>
      </c>
      <c r="E51" s="53">
        <v>2020</v>
      </c>
      <c r="F51" s="53">
        <v>2030</v>
      </c>
      <c r="G51" s="53">
        <v>2040</v>
      </c>
      <c r="H51" s="53">
        <v>2050</v>
      </c>
      <c r="I51" s="119">
        <v>2060</v>
      </c>
    </row>
    <row r="52" spans="1:9" x14ac:dyDescent="0.2">
      <c r="B52" s="53" t="s">
        <v>51</v>
      </c>
      <c r="C52" s="54" t="e">
        <f>VLOOKUP(modes,WTTEmissions_B2DS,by-2010+2,FALSE)</f>
        <v>#N/A</v>
      </c>
      <c r="D52" s="54" t="e">
        <f>VLOOKUP(modes,WTTEmissions_B2DS,ty-2010+2,FALSE)</f>
        <v>#N/A</v>
      </c>
      <c r="E52" s="54" t="e">
        <f>VLOOKUP(modes,WTTEmissions_B2DS,E51-2010+2,FALSE)</f>
        <v>#N/A</v>
      </c>
      <c r="F52" s="54" t="e">
        <f>VLOOKUP(modes,WTTEmissions_B2DS,F51-2010+2,FALSE)</f>
        <v>#N/A</v>
      </c>
      <c r="G52" s="54" t="e">
        <f>VLOOKUP(modes,WTTEmissions_B2DS,G51-2010+2,FALSE)</f>
        <v>#N/A</v>
      </c>
      <c r="H52" s="54" t="e">
        <f>VLOOKUP(modes,WTTEmissions_B2DS,H51-2010+2,FALSE)</f>
        <v>#N/A</v>
      </c>
      <c r="I52" s="112" t="e">
        <f>VLOOKUP(modes,WTTEmissions_B2DS,I51-2010+2,FALSE)</f>
        <v>#N/A</v>
      </c>
    </row>
    <row r="53" spans="1:9" x14ac:dyDescent="0.2">
      <c r="B53" s="53" t="s">
        <v>52</v>
      </c>
      <c r="C53" s="54" t="e">
        <f>VLOOKUP(modes,ACTIVITY_B2DS,by-2010+2,FALSE)*10^9</f>
        <v>#N/A</v>
      </c>
      <c r="D53" s="54" t="e">
        <f>VLOOKUP(modes,ACTIVITY_B2DS,ty-2010+2,FALSE)*10^9</f>
        <v>#N/A</v>
      </c>
      <c r="E53" s="54" t="e">
        <f>VLOOKUP(modes,ACTIVITY_B2DS,E51-2010+2,FALSE)*10^9</f>
        <v>#N/A</v>
      </c>
      <c r="F53" s="54" t="e">
        <f>VLOOKUP(modes,ACTIVITY_B2DS,F51-2010+2,FALSE)*10^9</f>
        <v>#N/A</v>
      </c>
      <c r="G53" s="54" t="e">
        <f>VLOOKUP(modes,ACTIVITY_B2DS,G51-2010+2,FALSE)*10^9</f>
        <v>#N/A</v>
      </c>
      <c r="H53" s="54" t="e">
        <f>VLOOKUP(modes,ACTIVITY_B2DS,H51-2010+2,FALSE)*10^9</f>
        <v>#N/A</v>
      </c>
      <c r="I53" s="112" t="e">
        <f>VLOOKUP(modes,ACTIVITY_B2DS,I51-2010+2,FALSE)*10^9</f>
        <v>#N/A</v>
      </c>
    </row>
    <row r="54" spans="1:9" x14ac:dyDescent="0.2">
      <c r="B54" s="53" t="s">
        <v>53</v>
      </c>
      <c r="C54" s="54" t="e">
        <f>IF($C$5="Homogeneous",VLOOKUP(modes,WTTIntensity_B2DS,by-2010+2,FALSE),0)</f>
        <v>#N/A</v>
      </c>
      <c r="D54" s="54" t="e">
        <f>IF($C$5="Homogeneous",VLOOKUP(modes,WTTIntensity_B2DS,ty-2010+2,FALSE),0)</f>
        <v>#N/A</v>
      </c>
      <c r="E54" s="54" t="e">
        <f>IF($C$5="Homogeneous",VLOOKUP(modes,WTTIntensity_B2DS,E51-2010+2,FALSE),0)</f>
        <v>#N/A</v>
      </c>
      <c r="F54" s="54" t="e">
        <f>IF($C$5="Homogeneous",VLOOKUP(modes,WTTIntensity_B2DS,F51-2010+2,FALSE),0)</f>
        <v>#N/A</v>
      </c>
      <c r="G54" s="54" t="e">
        <f>IF($C$5="Homogeneous",VLOOKUP(modes,WTTIntensity_B2DS,G51-2010+2,FALSE),0)</f>
        <v>#N/A</v>
      </c>
      <c r="H54" s="54" t="e">
        <f>IF($C$5="Homogeneous",VLOOKUP(modes,WTTIntensity_B2DS,H51-2010+2,FALSE),0)</f>
        <v>#N/A</v>
      </c>
      <c r="I54" s="112" t="e">
        <f>IF($C$5="Homogeneous",VLOOKUP(modes,WTTIntensity_B2DS,I51-2010+2,FALSE),0)</f>
        <v>#N/A</v>
      </c>
    </row>
    <row r="55" spans="1:9" x14ac:dyDescent="0.2">
      <c r="B55" s="53" t="s">
        <v>54</v>
      </c>
      <c r="C55" s="55">
        <f>wtt_by</f>
        <v>0</v>
      </c>
      <c r="D55" s="55" t="e">
        <f>IF($C$5="Heterogeneous",wtt_by*D52/$C52,IF(ISNUMBER(wtt_by)=TRUE,D60*D59/1000/1000,""))</f>
        <v>#N/A</v>
      </c>
      <c r="E55" s="55" t="e">
        <f>IF($C$5="Heterogeneous",wtt_by*E52/$C52,IF(ISNUMBER(wtt_by)=TRUE,E60*E59/1000/1000,""))</f>
        <v>#N/A</v>
      </c>
      <c r="F55" s="55" t="e">
        <f>IF($C$5="Heterogeneous",wtt_by*F52/$C52,IF(ISNUMBER(wtt_by)=TRUE,F60*F59/1000/1000,""))</f>
        <v>#N/A</v>
      </c>
      <c r="G55" s="55" t="e">
        <f>IF($C$5="Heterogeneous",wtt_by*G52/$C52,IF(ISNUMBER(wtt_by)=TRUE,G60*G59/1000/1000,""))</f>
        <v>#N/A</v>
      </c>
      <c r="H55" s="55" t="e">
        <f>IF($C$5="Heterogeneous",wtt_by*H52/$C52,IF(ISNUMBER(wtt_by)=TRUE,H60*H59/1000/1000,""))</f>
        <v>#N/A</v>
      </c>
      <c r="I55" s="112" t="e">
        <f>IF($C$5="Heterogeneous",wtt_by*I52/$C52,I60*I59/1000/1000)</f>
        <v>#N/A</v>
      </c>
    </row>
    <row r="56" spans="1:9" x14ac:dyDescent="0.2">
      <c r="B56" s="53" t="s">
        <v>45</v>
      </c>
      <c r="C56" s="54" t="e">
        <f t="shared" ref="C56:I56" si="20">$C60-$H54</f>
        <v>#N/A</v>
      </c>
      <c r="D56" s="54" t="e">
        <f t="shared" si="20"/>
        <v>#N/A</v>
      </c>
      <c r="E56" s="54" t="e">
        <f t="shared" si="20"/>
        <v>#N/A</v>
      </c>
      <c r="F56" s="54" t="e">
        <f t="shared" si="20"/>
        <v>#N/A</v>
      </c>
      <c r="G56" s="54" t="e">
        <f t="shared" si="20"/>
        <v>#N/A</v>
      </c>
      <c r="H56" s="54" t="e">
        <f t="shared" si="20"/>
        <v>#N/A</v>
      </c>
      <c r="I56" s="112" t="e">
        <f t="shared" si="20"/>
        <v>#N/A</v>
      </c>
    </row>
    <row r="57" spans="1:9" x14ac:dyDescent="0.2">
      <c r="B57" s="53" t="s">
        <v>55</v>
      </c>
      <c r="C57" s="54" t="e">
        <f>IF((C59/$C53)/(C59/C53)&lt;=1,(C59/$C53)/(C59/C53),1)</f>
        <v>#N/A</v>
      </c>
      <c r="D57" s="54" t="e">
        <f t="shared" ref="D57:H57" si="21">IF(($C59/$C53)/(D59/D53)&lt;=1,($C59/$C53)/(D59/D53),1)</f>
        <v>#N/A</v>
      </c>
      <c r="E57" s="54" t="e">
        <f t="shared" si="21"/>
        <v>#N/A</v>
      </c>
      <c r="F57" s="54" t="e">
        <f t="shared" si="21"/>
        <v>#N/A</v>
      </c>
      <c r="G57" s="54" t="e">
        <f t="shared" si="21"/>
        <v>#N/A</v>
      </c>
      <c r="H57" s="54" t="e">
        <f t="shared" si="21"/>
        <v>#N/A</v>
      </c>
      <c r="I57" s="112" t="e">
        <f t="shared" ref="I57" si="22">IF(($C59/$C53)/(I59/I53)&lt;=1,($C59/$C53)/(I59/I53),1)</f>
        <v>#N/A</v>
      </c>
    </row>
    <row r="58" spans="1:9" x14ac:dyDescent="0.2">
      <c r="B58" s="53" t="s">
        <v>56</v>
      </c>
      <c r="C58" s="54" t="e">
        <f>(C54-$H54)/($C54-$H54)</f>
        <v>#N/A</v>
      </c>
      <c r="D58" s="54" t="e">
        <f>(D54-$H54)/($C54-$H54)</f>
        <v>#N/A</v>
      </c>
      <c r="E58" s="54" t="e">
        <f>(E54-$H54)/($C54-$H54)</f>
        <v>#N/A</v>
      </c>
      <c r="F58" s="54" t="e">
        <f t="shared" ref="F58:H58" si="23">(F54-$H54)/($C54-$H54)</f>
        <v>#N/A</v>
      </c>
      <c r="G58" s="54" t="e">
        <f t="shared" si="23"/>
        <v>#N/A</v>
      </c>
      <c r="H58" s="54" t="e">
        <f t="shared" si="23"/>
        <v>#N/A</v>
      </c>
      <c r="I58" s="112" t="e">
        <f t="shared" ref="I58" si="24">(I54-$H54)/($C54-$H54)</f>
        <v>#N/A</v>
      </c>
    </row>
    <row r="59" spans="1:9" x14ac:dyDescent="0.2">
      <c r="B59" s="53" t="s">
        <v>57</v>
      </c>
      <c r="C59" s="54" t="e">
        <f>IF($C$5="Homogeneous",activity_by,0)</f>
        <v>#N/A</v>
      </c>
      <c r="D59" s="54" t="e">
        <f>IF($C$5="Homogeneous",activity_ty,activity_ty/activity_by)</f>
        <v>#N/A</v>
      </c>
      <c r="E59" s="54" t="e">
        <f>IF($C$5="Homogeneous",(activity_ty-activity_by)/(ty-by)*(E51-by)+activity_by,((activity_ty-activity_by)/(ty-by)*(E51-by)+activity_by)/activity_by)</f>
        <v>#N/A</v>
      </c>
      <c r="F59" s="54" t="e">
        <f>IF($C$5="Homogeneous",(activity_ty-activity_by)/(ty-by)*(F51-by)+activity_by,((activity_ty-activity_by)/(ty-by)*(F51-by)+activity_by)/activity_by)</f>
        <v>#N/A</v>
      </c>
      <c r="G59" s="54" t="e">
        <f>IF($C$5="Homogeneous",(activity_ty-activity_by)/(ty-by)*(G51-by)+activity_by,((activity_ty-activity_by)/(ty-by)*(G51-by)+activity_by)/activity_by)</f>
        <v>#N/A</v>
      </c>
      <c r="H59" s="54" t="e">
        <f>IF($C$5="Homogeneous",(activity_ty-activity_by)/(ty-by)*(H51-by)+activity_by,((activity_ty-activity_by)/(ty-by)*(H51-by)+activity_by)/activity_by)</f>
        <v>#N/A</v>
      </c>
      <c r="I59" s="112" t="e">
        <f>IF($C$5="Homogeneous",(activity_ty-activity_by)/(ty-by)*(I51-by)+activity_by,((activity_ty-activity_by)/(ty-by)*(I51-by)+activity_by)/activity_by)</f>
        <v>#N/A</v>
      </c>
    </row>
    <row r="60" spans="1:9" ht="15" x14ac:dyDescent="0.25">
      <c r="A60"/>
      <c r="B60" s="53" t="s">
        <v>58</v>
      </c>
      <c r="C60" s="55" t="e">
        <f>IF($C$5="Homogeneous",C55/C59*1000000,IF($C$5="Fuel Economy",C59,1))</f>
        <v>#N/A</v>
      </c>
      <c r="D60" s="55" t="e">
        <f t="shared" ref="D60:I60" si="25">(D56*D57*D58)+$H54</f>
        <v>#N/A</v>
      </c>
      <c r="E60" s="54" t="e">
        <f t="shared" si="25"/>
        <v>#N/A</v>
      </c>
      <c r="F60" s="54" t="e">
        <f t="shared" si="25"/>
        <v>#N/A</v>
      </c>
      <c r="G60" s="54" t="e">
        <f t="shared" si="25"/>
        <v>#N/A</v>
      </c>
      <c r="H60" s="54" t="e">
        <f t="shared" si="25"/>
        <v>#N/A</v>
      </c>
      <c r="I60" s="112" t="e">
        <f t="shared" si="25"/>
        <v>#N/A</v>
      </c>
    </row>
    <row r="61" spans="1:9" customFormat="1" ht="15" x14ac:dyDescent="0.25"/>
    <row r="62" spans="1:9" customFormat="1" ht="15" x14ac:dyDescent="0.25">
      <c r="B62" s="51"/>
      <c r="C62" s="52" t="s">
        <v>24</v>
      </c>
      <c r="D62" s="52" t="s">
        <v>25</v>
      </c>
      <c r="E62" s="149" t="s">
        <v>50</v>
      </c>
      <c r="F62" s="149"/>
      <c r="G62" s="149"/>
      <c r="H62" s="149"/>
      <c r="I62" s="149"/>
    </row>
    <row r="63" spans="1:9" customFormat="1" ht="15" x14ac:dyDescent="0.25">
      <c r="B63" s="52" t="s">
        <v>152</v>
      </c>
      <c r="C63" s="53">
        <f>+by</f>
        <v>0</v>
      </c>
      <c r="D63" s="53">
        <f>+ty</f>
        <v>0</v>
      </c>
      <c r="E63" s="53">
        <v>2020</v>
      </c>
      <c r="F63" s="53">
        <v>2030</v>
      </c>
      <c r="G63" s="53">
        <v>2040</v>
      </c>
      <c r="H63" s="53">
        <v>2050</v>
      </c>
      <c r="I63" s="119">
        <v>2060</v>
      </c>
    </row>
    <row r="64" spans="1:9" customFormat="1" ht="15" x14ac:dyDescent="0.25">
      <c r="B64" s="53" t="s">
        <v>51</v>
      </c>
      <c r="C64" s="54" t="e">
        <f>VLOOKUP(modes,TTWEmissions_2DS,by-2010+2,FALSE)</f>
        <v>#N/A</v>
      </c>
      <c r="D64" s="54" t="e">
        <f>VLOOKUP(modes,TTWEmissions_2DS,ty-2010+2,FALSE)</f>
        <v>#N/A</v>
      </c>
      <c r="E64" s="54" t="e">
        <f>VLOOKUP(modes,TTWEmissions_2DS,E63-2010+2,FALSE)</f>
        <v>#N/A</v>
      </c>
      <c r="F64" s="54" t="e">
        <f>VLOOKUP(modes,TTWEmissions_2DS,F63-2010+2,FALSE)</f>
        <v>#N/A</v>
      </c>
      <c r="G64" s="54" t="e">
        <f>VLOOKUP(modes,TTWEmissions_2DS,G63-2010+2,FALSE)</f>
        <v>#N/A</v>
      </c>
      <c r="H64" s="54" t="e">
        <f>VLOOKUP(modes,TTWEmissions_2DS,H63-2010+2,FALSE)</f>
        <v>#N/A</v>
      </c>
      <c r="I64" s="112" t="e">
        <f>VLOOKUP(modes,TTWEmissions_2DS,I63-2010+2,FALSE)</f>
        <v>#N/A</v>
      </c>
    </row>
    <row r="65" spans="2:9" customFormat="1" ht="15" x14ac:dyDescent="0.25">
      <c r="B65" s="53" t="s">
        <v>52</v>
      </c>
      <c r="C65" s="54" t="e">
        <f>VLOOKUP(modes,ACTIVITY_2DS,by-2010+2,FALSE)*10^9</f>
        <v>#N/A</v>
      </c>
      <c r="D65" s="54" t="e">
        <f>VLOOKUP(modes,ACTIVITY_2DS,ty-2010+2,FALSE)*10^9</f>
        <v>#N/A</v>
      </c>
      <c r="E65" s="54" t="e">
        <f>VLOOKUP(modes,ACTIVITY_2DS,E63-2010+2,FALSE)*10^9</f>
        <v>#N/A</v>
      </c>
      <c r="F65" s="54" t="e">
        <f>VLOOKUP(modes,ACTIVITY_2DS,F63-2010+2,FALSE)*10^9</f>
        <v>#N/A</v>
      </c>
      <c r="G65" s="54" t="e">
        <f>VLOOKUP(modes,ACTIVITY_2DS,G63-2010+2,FALSE)*10^9</f>
        <v>#N/A</v>
      </c>
      <c r="H65" s="54" t="e">
        <f>VLOOKUP(modes,ACTIVITY_2DS,H63-2010+2,FALSE)*10^9</f>
        <v>#N/A</v>
      </c>
      <c r="I65" s="112" t="e">
        <f>VLOOKUP(modes,ACTIVITY_2DS,I63-2010+2,FALSE)*10^9</f>
        <v>#N/A</v>
      </c>
    </row>
    <row r="66" spans="2:9" customFormat="1" ht="15" x14ac:dyDescent="0.25">
      <c r="B66" s="53" t="s">
        <v>53</v>
      </c>
      <c r="C66" s="54" t="e">
        <f>IF($C$5="Homogeneous",VLOOKUP(modes,TTWIntensity_2DS,by-2010+2,FALSE),0)</f>
        <v>#N/A</v>
      </c>
      <c r="D66" s="54" t="e">
        <f>IF($C$5="Homogeneous",VLOOKUP(modes,TTWIntensity_2DS,ty-2010+2,FALSE),0)</f>
        <v>#N/A</v>
      </c>
      <c r="E66" s="54" t="e">
        <f>IF($C$5="Homogeneous",VLOOKUP(modes,TTWIntensity_2DS,E63-2010+2,FALSE),0)</f>
        <v>#N/A</v>
      </c>
      <c r="F66" s="54" t="e">
        <f>IF($C$5="Homogeneous",VLOOKUP(modes,TTWIntensity_2DS,F63-2010+2,FALSE),0)</f>
        <v>#N/A</v>
      </c>
      <c r="G66" s="54" t="e">
        <f>IF($C$5="Homogeneous",VLOOKUP(modes,TTWIntensity_2DS,G63-2010+2,FALSE),0)</f>
        <v>#N/A</v>
      </c>
      <c r="H66" s="54" t="e">
        <f>IF($C$5="Homogeneous",VLOOKUP(modes,TTWIntensity_2DS,H63-2010+2,FALSE),0)</f>
        <v>#N/A</v>
      </c>
      <c r="I66" s="112" t="e">
        <f>IF($C$5="Homogeneous",VLOOKUP(modes,TTWIntensity_2DS,I63-2010+2,FALSE),0)</f>
        <v>#N/A</v>
      </c>
    </row>
    <row r="67" spans="2:9" customFormat="1" ht="15" x14ac:dyDescent="0.25">
      <c r="B67" s="53" t="s">
        <v>54</v>
      </c>
      <c r="C67" s="55">
        <f>ttw_by</f>
        <v>0</v>
      </c>
      <c r="D67" s="55" t="e">
        <f t="shared" ref="D67:I67" si="26">IF($C$5="Heterogeneous",ttw_by*D64/$C64,D72*D71/1000/1000)</f>
        <v>#N/A</v>
      </c>
      <c r="E67" s="54" t="e">
        <f t="shared" si="26"/>
        <v>#N/A</v>
      </c>
      <c r="F67" s="54" t="e">
        <f t="shared" si="26"/>
        <v>#N/A</v>
      </c>
      <c r="G67" s="54" t="e">
        <f t="shared" si="26"/>
        <v>#N/A</v>
      </c>
      <c r="H67" s="54" t="e">
        <f t="shared" si="26"/>
        <v>#N/A</v>
      </c>
      <c r="I67" s="112" t="e">
        <f t="shared" si="26"/>
        <v>#N/A</v>
      </c>
    </row>
    <row r="68" spans="2:9" customFormat="1" ht="15" x14ac:dyDescent="0.25">
      <c r="B68" s="53" t="s">
        <v>45</v>
      </c>
      <c r="C68" s="54" t="e">
        <f t="shared" ref="C68:I68" si="27">$C72-$H66</f>
        <v>#N/A</v>
      </c>
      <c r="D68" s="54" t="e">
        <f t="shared" si="27"/>
        <v>#N/A</v>
      </c>
      <c r="E68" s="54" t="e">
        <f t="shared" si="27"/>
        <v>#N/A</v>
      </c>
      <c r="F68" s="54" t="e">
        <f t="shared" si="27"/>
        <v>#N/A</v>
      </c>
      <c r="G68" s="54" t="e">
        <f t="shared" si="27"/>
        <v>#N/A</v>
      </c>
      <c r="H68" s="54" t="e">
        <f t="shared" si="27"/>
        <v>#N/A</v>
      </c>
      <c r="I68" s="112" t="e">
        <f t="shared" si="27"/>
        <v>#N/A</v>
      </c>
    </row>
    <row r="69" spans="2:9" customFormat="1" ht="15" x14ac:dyDescent="0.25">
      <c r="B69" s="53" t="s">
        <v>55</v>
      </c>
      <c r="C69" s="54" t="e">
        <f>IF((C71/$C65)/(C71/C65)&lt;=1,(C71/$C65)/(C71/C65),1)</f>
        <v>#N/A</v>
      </c>
      <c r="D69" s="54" t="e">
        <f t="shared" ref="D69:H69" si="28">IF(($C71/$C65)/(D71/D65)&lt;=1,($C71/$C65)/(D71/D65),1)</f>
        <v>#N/A</v>
      </c>
      <c r="E69" s="54" t="e">
        <f t="shared" si="28"/>
        <v>#N/A</v>
      </c>
      <c r="F69" s="54" t="e">
        <f t="shared" si="28"/>
        <v>#N/A</v>
      </c>
      <c r="G69" s="54" t="e">
        <f t="shared" si="28"/>
        <v>#N/A</v>
      </c>
      <c r="H69" s="54" t="e">
        <f t="shared" si="28"/>
        <v>#N/A</v>
      </c>
      <c r="I69" s="112" t="e">
        <f t="shared" ref="I69" si="29">IF(($C71/$C65)/(I71/I65)&lt;=1,($C71/$C65)/(I71/I65),1)</f>
        <v>#N/A</v>
      </c>
    </row>
    <row r="70" spans="2:9" customFormat="1" ht="15" x14ac:dyDescent="0.25">
      <c r="B70" s="53" t="s">
        <v>56</v>
      </c>
      <c r="C70" s="54" t="e">
        <f>(C66-$H66)/($C66-$H66)</f>
        <v>#N/A</v>
      </c>
      <c r="D70" s="54" t="e">
        <f>(D66-$H66)/($C66-$H66)</f>
        <v>#N/A</v>
      </c>
      <c r="E70" s="54" t="e">
        <f>(E66-$H66)/($C66-$H66)</f>
        <v>#N/A</v>
      </c>
      <c r="F70" s="54" t="e">
        <f t="shared" ref="F70:H70" si="30">(F66-$H66)/($C66-$H66)</f>
        <v>#N/A</v>
      </c>
      <c r="G70" s="54" t="e">
        <f t="shared" si="30"/>
        <v>#N/A</v>
      </c>
      <c r="H70" s="54" t="e">
        <f t="shared" si="30"/>
        <v>#N/A</v>
      </c>
      <c r="I70" s="112" t="e">
        <f t="shared" ref="I70" si="31">(I66-$H66)/($C66-$H66)</f>
        <v>#N/A</v>
      </c>
    </row>
    <row r="71" spans="2:9" customFormat="1" ht="15" x14ac:dyDescent="0.25">
      <c r="B71" s="53" t="s">
        <v>57</v>
      </c>
      <c r="C71" s="54" t="e">
        <f>IF($C$5="Homogeneous",activity_by,0)</f>
        <v>#N/A</v>
      </c>
      <c r="D71" s="54" t="e">
        <f>IF($C$5="Homogeneous",activity_ty,activity_ty/activity_by)</f>
        <v>#N/A</v>
      </c>
      <c r="E71" s="54" t="e">
        <f>IF($C$5="Homogeneous",(activity_ty-activity_by)/(ty-by)*(E63-by)+activity_by,((activity_ty-activity_by)/(ty-by)*(E63-by)+activity_by)/activity_by)</f>
        <v>#N/A</v>
      </c>
      <c r="F71" s="54" t="e">
        <f>IF($C$5="Homogeneous",(activity_ty-activity_by)/(ty-by)*(F63-by)+activity_by,((activity_ty-activity_by)/(ty-by)*(F63-by)+activity_by)/activity_by)</f>
        <v>#N/A</v>
      </c>
      <c r="G71" s="54" t="e">
        <f>IF($C$5="Homogeneous",(activity_ty-activity_by)/(ty-by)*(G63-by)+activity_by,((activity_ty-activity_by)/(ty-by)*(G63-by)+activity_by)/activity_by)</f>
        <v>#N/A</v>
      </c>
      <c r="H71" s="54" t="e">
        <f>IF($C$5="Homogeneous",(activity_ty-activity_by)/(ty-by)*(H63-by)+activity_by,((activity_ty-activity_by)/(ty-by)*(H63-by)+activity_by)/activity_by)</f>
        <v>#N/A</v>
      </c>
      <c r="I71" s="112" t="e">
        <f>IF($C$5="Homogeneous",(activity_ty-activity_by)/(ty-by)*(I63-by)+activity_by,((activity_ty-activity_by)/(ty-by)*(I63-by)+activity_by)/activity_by)</f>
        <v>#N/A</v>
      </c>
    </row>
    <row r="72" spans="2:9" customFormat="1" ht="15" x14ac:dyDescent="0.25">
      <c r="B72" s="53" t="s">
        <v>58</v>
      </c>
      <c r="C72" s="55" t="e">
        <f>IF($C$5="Homogeneous",C67/C71*1000000,IF($C$5="Fuel Economy",C71,1))</f>
        <v>#N/A</v>
      </c>
      <c r="D72" s="55" t="e">
        <f t="shared" ref="D72:I72" si="32">(D68*D69*D70)+$H66</f>
        <v>#N/A</v>
      </c>
      <c r="E72" s="54" t="e">
        <f t="shared" si="32"/>
        <v>#N/A</v>
      </c>
      <c r="F72" s="54" t="e">
        <f t="shared" si="32"/>
        <v>#N/A</v>
      </c>
      <c r="G72" s="54" t="e">
        <f t="shared" si="32"/>
        <v>#N/A</v>
      </c>
      <c r="H72" s="54" t="e">
        <f t="shared" si="32"/>
        <v>#N/A</v>
      </c>
      <c r="I72" s="112" t="e">
        <f t="shared" si="32"/>
        <v>#N/A</v>
      </c>
    </row>
    <row r="73" spans="2:9" customFormat="1" ht="15" x14ac:dyDescent="0.25"/>
    <row r="74" spans="2:9" customFormat="1" ht="15" x14ac:dyDescent="0.25">
      <c r="B74" s="51"/>
      <c r="C74" s="52" t="s">
        <v>24</v>
      </c>
      <c r="D74" s="52" t="s">
        <v>25</v>
      </c>
      <c r="E74" s="149" t="s">
        <v>50</v>
      </c>
      <c r="F74" s="149"/>
      <c r="G74" s="149"/>
      <c r="H74" s="149"/>
      <c r="I74" s="149"/>
    </row>
    <row r="75" spans="2:9" customFormat="1" ht="15" x14ac:dyDescent="0.25">
      <c r="B75" s="52" t="s">
        <v>153</v>
      </c>
      <c r="C75" s="53">
        <f>+by</f>
        <v>0</v>
      </c>
      <c r="D75" s="53">
        <f>+ty</f>
        <v>0</v>
      </c>
      <c r="E75" s="53">
        <v>2020</v>
      </c>
      <c r="F75" s="53">
        <v>2030</v>
      </c>
      <c r="G75" s="53">
        <v>2040</v>
      </c>
      <c r="H75" s="53">
        <v>2050</v>
      </c>
      <c r="I75" s="119">
        <v>2060</v>
      </c>
    </row>
    <row r="76" spans="2:9" customFormat="1" ht="15" x14ac:dyDescent="0.25">
      <c r="B76" s="53" t="s">
        <v>51</v>
      </c>
      <c r="C76" s="54" t="e">
        <f>VLOOKUP(modes,TTWEmissions_B2DS,by-2010+2,FALSE)</f>
        <v>#N/A</v>
      </c>
      <c r="D76" s="54" t="e">
        <f>VLOOKUP(modes,TTWEmissions_B2DS,ty-2010+2,FALSE)</f>
        <v>#N/A</v>
      </c>
      <c r="E76" s="54" t="e">
        <f>VLOOKUP(modes,TTWEmissions_B2DS,E75-2010+2,FALSE)</f>
        <v>#N/A</v>
      </c>
      <c r="F76" s="54" t="e">
        <f>VLOOKUP(modes,TTWEmissions_B2DS,F75-2010+2,FALSE)</f>
        <v>#N/A</v>
      </c>
      <c r="G76" s="54" t="e">
        <f>VLOOKUP(modes,TTWEmissions_B2DS,G75-2010+2,FALSE)</f>
        <v>#N/A</v>
      </c>
      <c r="H76" s="54" t="e">
        <f>VLOOKUP(modes,TTWEmissions_B2DS,H75-2010+2,FALSE)</f>
        <v>#N/A</v>
      </c>
      <c r="I76" s="112" t="e">
        <f>VLOOKUP(modes,TTWEmissions_B2DS,I75-2010+2,FALSE)</f>
        <v>#N/A</v>
      </c>
    </row>
    <row r="77" spans="2:9" customFormat="1" ht="15" x14ac:dyDescent="0.25">
      <c r="B77" s="53" t="s">
        <v>52</v>
      </c>
      <c r="C77" s="54" t="e">
        <f>VLOOKUP(modes,ACTIVITY_B2DS,by-2010+2,FALSE)*10^9</f>
        <v>#N/A</v>
      </c>
      <c r="D77" s="54" t="e">
        <f>VLOOKUP(modes,ACTIVITY_B2DS,ty-2010+2,FALSE)*10^9</f>
        <v>#N/A</v>
      </c>
      <c r="E77" s="54" t="e">
        <f>VLOOKUP(modes,ACTIVITY_B2DS,E75-2010+2,FALSE)*10^9</f>
        <v>#N/A</v>
      </c>
      <c r="F77" s="54" t="e">
        <f>VLOOKUP(modes,ACTIVITY_B2DS,F75-2010+2,FALSE)*10^9</f>
        <v>#N/A</v>
      </c>
      <c r="G77" s="54" t="e">
        <f>VLOOKUP(modes,ACTIVITY_B2DS,G75-2010+2,FALSE)*10^9</f>
        <v>#N/A</v>
      </c>
      <c r="H77" s="54" t="e">
        <f>VLOOKUP(modes,ACTIVITY_B2DS,H75-2010+2,FALSE)*10^9</f>
        <v>#N/A</v>
      </c>
      <c r="I77" s="112" t="e">
        <f>VLOOKUP(modes,ACTIVITY_B2DS,I75-2010+2,FALSE)*10^9</f>
        <v>#N/A</v>
      </c>
    </row>
    <row r="78" spans="2:9" customFormat="1" ht="15" x14ac:dyDescent="0.25">
      <c r="B78" s="53" t="s">
        <v>53</v>
      </c>
      <c r="C78" s="54" t="e">
        <f>IF($C$5="Homogeneous",VLOOKUP(modes,TTWIntensity_B2DS,by-2010+2,FALSE),0)</f>
        <v>#N/A</v>
      </c>
      <c r="D78" s="54" t="e">
        <f>IF($C$5="Homogeneous",VLOOKUP(modes,TTWIntensity_B2DS,ty-2010+2,FALSE),0)</f>
        <v>#N/A</v>
      </c>
      <c r="E78" s="54" t="e">
        <f>IF($C$5="Homogeneous",VLOOKUP(modes,TTWIntensity_B2DS,E75-2010+2,FALSE),0)</f>
        <v>#N/A</v>
      </c>
      <c r="F78" s="54" t="e">
        <f>IF($C$5="Homogeneous",VLOOKUP(modes,TTWIntensity_B2DS,F75-2010+2,FALSE),0)</f>
        <v>#N/A</v>
      </c>
      <c r="G78" s="54" t="e">
        <f>IF($C$5="Homogeneous",VLOOKUP(modes,TTWIntensity_B2DS,G75-2010+2,FALSE),0)</f>
        <v>#N/A</v>
      </c>
      <c r="H78" s="54" t="e">
        <f>IF($C$5="Homogeneous",VLOOKUP(modes,TTWIntensity_B2DS,H75-2010+2,FALSE),0)</f>
        <v>#N/A</v>
      </c>
      <c r="I78" s="112" t="e">
        <f>IF($C$5="Homogeneous",VLOOKUP(modes,TTWIntensity_B2DS,I75-2010+2,FALSE),0)</f>
        <v>#N/A</v>
      </c>
    </row>
    <row r="79" spans="2:9" customFormat="1" ht="15" x14ac:dyDescent="0.25">
      <c r="B79" s="53" t="s">
        <v>54</v>
      </c>
      <c r="C79" s="55">
        <f>ttw_by</f>
        <v>0</v>
      </c>
      <c r="D79" s="55" t="e">
        <f t="shared" ref="D79:I79" si="33">IF($C$5="Heterogeneous",ttw_by*D76/$C76,D84*D83/1000/1000)</f>
        <v>#N/A</v>
      </c>
      <c r="E79" s="54" t="e">
        <f t="shared" si="33"/>
        <v>#N/A</v>
      </c>
      <c r="F79" s="54" t="e">
        <f t="shared" si="33"/>
        <v>#N/A</v>
      </c>
      <c r="G79" s="54" t="e">
        <f t="shared" si="33"/>
        <v>#N/A</v>
      </c>
      <c r="H79" s="54" t="e">
        <f t="shared" si="33"/>
        <v>#N/A</v>
      </c>
      <c r="I79" s="112" t="e">
        <f t="shared" si="33"/>
        <v>#N/A</v>
      </c>
    </row>
    <row r="80" spans="2:9" customFormat="1" ht="15" x14ac:dyDescent="0.25">
      <c r="B80" s="53" t="s">
        <v>45</v>
      </c>
      <c r="C80" s="54" t="e">
        <f t="shared" ref="C80:I80" si="34">$C84-$H78</f>
        <v>#N/A</v>
      </c>
      <c r="D80" s="54" t="e">
        <f t="shared" si="34"/>
        <v>#N/A</v>
      </c>
      <c r="E80" s="54" t="e">
        <f t="shared" si="34"/>
        <v>#N/A</v>
      </c>
      <c r="F80" s="54" t="e">
        <f t="shared" si="34"/>
        <v>#N/A</v>
      </c>
      <c r="G80" s="54" t="e">
        <f t="shared" si="34"/>
        <v>#N/A</v>
      </c>
      <c r="H80" s="54" t="e">
        <f t="shared" si="34"/>
        <v>#N/A</v>
      </c>
      <c r="I80" s="112" t="e">
        <f t="shared" si="34"/>
        <v>#N/A</v>
      </c>
    </row>
    <row r="81" spans="2:9" customFormat="1" ht="15" x14ac:dyDescent="0.25">
      <c r="B81" s="53" t="s">
        <v>55</v>
      </c>
      <c r="C81" s="54" t="e">
        <f>IF((C83/$C77)/(C83/C77)&lt;=1,(C83/$C77)/(C83/C77),1)</f>
        <v>#N/A</v>
      </c>
      <c r="D81" s="54" t="e">
        <f t="shared" ref="D81:H81" si="35">IF(($C83/$C77)/(D83/D77)&lt;=1,($C83/$C77)/(D83/D77),1)</f>
        <v>#N/A</v>
      </c>
      <c r="E81" s="54" t="e">
        <f t="shared" si="35"/>
        <v>#N/A</v>
      </c>
      <c r="F81" s="54" t="e">
        <f t="shared" si="35"/>
        <v>#N/A</v>
      </c>
      <c r="G81" s="54" t="e">
        <f t="shared" si="35"/>
        <v>#N/A</v>
      </c>
      <c r="H81" s="54" t="e">
        <f t="shared" si="35"/>
        <v>#N/A</v>
      </c>
      <c r="I81" s="112" t="e">
        <f t="shared" ref="I81" si="36">IF(($C83/$C77)/(I83/I77)&lt;=1,($C83/$C77)/(I83/I77),1)</f>
        <v>#N/A</v>
      </c>
    </row>
    <row r="82" spans="2:9" customFormat="1" ht="15" x14ac:dyDescent="0.25">
      <c r="B82" s="53" t="s">
        <v>56</v>
      </c>
      <c r="C82" s="54" t="e">
        <f>(C78-$H78)/($C78-$H78)</f>
        <v>#N/A</v>
      </c>
      <c r="D82" s="54" t="e">
        <f>(D78-$H78)/($C78-$H78)</f>
        <v>#N/A</v>
      </c>
      <c r="E82" s="54" t="e">
        <f>(E78-$H78)/($C78-$H78)</f>
        <v>#N/A</v>
      </c>
      <c r="F82" s="54" t="e">
        <f t="shared" ref="F82:H82" si="37">(F78-$H78)/($C78-$H78)</f>
        <v>#N/A</v>
      </c>
      <c r="G82" s="54" t="e">
        <f t="shared" si="37"/>
        <v>#N/A</v>
      </c>
      <c r="H82" s="54" t="e">
        <f t="shared" si="37"/>
        <v>#N/A</v>
      </c>
      <c r="I82" s="112" t="e">
        <f t="shared" ref="I82" si="38">(I78-$H78)/($C78-$H78)</f>
        <v>#N/A</v>
      </c>
    </row>
    <row r="83" spans="2:9" customFormat="1" ht="15" x14ac:dyDescent="0.25">
      <c r="B83" s="53" t="s">
        <v>57</v>
      </c>
      <c r="C83" s="54" t="e">
        <f>IF($C$5="Homogeneous",activity_by,0)</f>
        <v>#N/A</v>
      </c>
      <c r="D83" s="54" t="e">
        <f>IF($C$5="Homogeneous",activity_ty,activity_ty/activity_by)</f>
        <v>#N/A</v>
      </c>
      <c r="E83" s="54" t="e">
        <f>IF($C$5="Homogeneous",(activity_ty-activity_by)/(ty-by)*(E75-by)+activity_by,((activity_ty-activity_by)/(ty-by)*(E75-by)+activity_by)/activity_by)</f>
        <v>#N/A</v>
      </c>
      <c r="F83" s="54" t="e">
        <f>IF($C$5="Homogeneous",(activity_ty-activity_by)/(ty-by)*(F75-by)+activity_by,((activity_ty-activity_by)/(ty-by)*(F75-by)+activity_by)/activity_by)</f>
        <v>#N/A</v>
      </c>
      <c r="G83" s="54" t="e">
        <f>IF($C$5="Homogeneous",(activity_ty-activity_by)/(ty-by)*(G75-by)+activity_by,((activity_ty-activity_by)/(ty-by)*(G75-by)+activity_by)/activity_by)</f>
        <v>#N/A</v>
      </c>
      <c r="H83" s="54" t="e">
        <f>IF($C$5="Homogeneous",(activity_ty-activity_by)/(ty-by)*(H75-by)+activity_by,((activity_ty-activity_by)/(ty-by)*(H75-by)+activity_by)/activity_by)</f>
        <v>#N/A</v>
      </c>
      <c r="I83" s="112" t="e">
        <f>IF($C$5="Homogeneous",(activity_ty-activity_by)/(ty-by)*(I75-by)+activity_by,((activity_ty-activity_by)/(ty-by)*(I75-by)+activity_by)/activity_by)</f>
        <v>#N/A</v>
      </c>
    </row>
    <row r="84" spans="2:9" customFormat="1" ht="15" x14ac:dyDescent="0.25">
      <c r="B84" s="53" t="s">
        <v>58</v>
      </c>
      <c r="C84" s="55" t="e">
        <f>IF($C$5="Homogeneous",C79/C83*1000000,IF($C$5="Fuel Economy",C83,1))</f>
        <v>#N/A</v>
      </c>
      <c r="D84" s="55" t="e">
        <f t="shared" ref="D84:I84" si="39">(D80*D81*D82)+$H78</f>
        <v>#N/A</v>
      </c>
      <c r="E84" s="54" t="e">
        <f t="shared" si="39"/>
        <v>#N/A</v>
      </c>
      <c r="F84" s="54" t="e">
        <f t="shared" si="39"/>
        <v>#N/A</v>
      </c>
      <c r="G84" s="54" t="e">
        <f t="shared" si="39"/>
        <v>#N/A</v>
      </c>
      <c r="H84" s="54" t="e">
        <f t="shared" si="39"/>
        <v>#N/A</v>
      </c>
      <c r="I84" s="112" t="e">
        <f t="shared" si="39"/>
        <v>#N/A</v>
      </c>
    </row>
    <row r="85" spans="2:9" customFormat="1" ht="15" x14ac:dyDescent="0.25">
      <c r="B85" s="41"/>
      <c r="C85" s="42"/>
      <c r="D85" s="42"/>
    </row>
    <row r="86" spans="2:9" customFormat="1" ht="15" x14ac:dyDescent="0.25">
      <c r="B86" s="51"/>
      <c r="C86" s="52" t="s">
        <v>24</v>
      </c>
      <c r="D86" s="52" t="s">
        <v>25</v>
      </c>
      <c r="E86" s="149" t="s">
        <v>50</v>
      </c>
      <c r="F86" s="149"/>
      <c r="G86" s="149"/>
      <c r="H86" s="149"/>
      <c r="I86" s="149"/>
    </row>
    <row r="87" spans="2:9" customFormat="1" ht="15" x14ac:dyDescent="0.25">
      <c r="B87" s="52" t="s">
        <v>190</v>
      </c>
      <c r="C87" s="53">
        <f>+by</f>
        <v>0</v>
      </c>
      <c r="D87" s="53">
        <f>+ty</f>
        <v>0</v>
      </c>
      <c r="E87" s="53">
        <v>2020</v>
      </c>
      <c r="F87" s="53">
        <v>2030</v>
      </c>
      <c r="G87" s="53">
        <v>2040</v>
      </c>
      <c r="H87" s="53">
        <v>2050</v>
      </c>
      <c r="I87" s="119">
        <v>2060</v>
      </c>
    </row>
    <row r="88" spans="2:9" customFormat="1" ht="15" x14ac:dyDescent="0.25">
      <c r="B88" s="53"/>
      <c r="C88" s="54"/>
      <c r="D88" s="54"/>
      <c r="E88" s="54"/>
      <c r="F88" s="54"/>
      <c r="G88" s="54"/>
      <c r="H88" s="54"/>
      <c r="I88" s="112"/>
    </row>
    <row r="89" spans="2:9" customFormat="1" ht="15" x14ac:dyDescent="0.25">
      <c r="B89" s="53" t="s">
        <v>52</v>
      </c>
      <c r="C89" s="54" t="e">
        <f>IF(ISNUMBER(FIND("economy",modes)),"",VLOOKUP(modes,ACTIVITY_2DS,by-2010+2,FALSE)*10^9)</f>
        <v>#N/A</v>
      </c>
      <c r="D89" s="54" t="e">
        <f>IF(ISNUMBER(FIND("economy",modes)),"",VLOOKUP(modes,ACTIVITY_2DS,ty-2010+2,FALSE)*10^9)</f>
        <v>#N/A</v>
      </c>
      <c r="E89" s="54" t="e">
        <f>IF(ISNUMBER(FIND("economy",modes)),"",VLOOKUP(modes,ACTIVITY_2DS,E75-2010+2,FALSE)*10^9)</f>
        <v>#N/A</v>
      </c>
      <c r="F89" s="54" t="e">
        <f>IF(ISNUMBER(FIND("economy",modes)),"",VLOOKUP(modes,ACTIVITY_2DS,F75-2010+2,FALSE)*10^9)</f>
        <v>#N/A</v>
      </c>
      <c r="G89" s="54" t="e">
        <f>IF(ISNUMBER(FIND("economy",modes)),"",VLOOKUP(modes,ACTIVITY_2DS,G75-2010+2,FALSE)*10^9)</f>
        <v>#N/A</v>
      </c>
      <c r="H89" s="54" t="e">
        <f>IF(ISNUMBER(FIND("economy",modes)),"",VLOOKUP(modes,ACTIVITY_2DS,H75-2010+2,FALSE)*10^9)</f>
        <v>#N/A</v>
      </c>
      <c r="I89" s="112"/>
    </row>
    <row r="90" spans="2:9" customFormat="1" ht="15" x14ac:dyDescent="0.25">
      <c r="B90" s="53" t="s">
        <v>189</v>
      </c>
      <c r="C90" s="54" t="str">
        <f>IF(transport_type="Emissions from new vehicles",IF(ISNUMBER(FIND("economy",modes)),VLOOKUP(modes,TTWIntensity_2DS,by-2010+2,FALSE),VLOOKUP(modes,WTWIntensity_2DS,by-2010+2,FALSE)),"")</f>
        <v/>
      </c>
      <c r="D90" s="54" t="str">
        <f>IF(transport_type="Emissions from new vehicles",IF(ISNUMBER(FIND("economy",modes)),VLOOKUP(modes,TTWIntensity_2DS,ty-2010+2,FALSE),VLOOKUP(modes,WTWIntensity_2DS,ty-2010+2,FALSE)),"")</f>
        <v/>
      </c>
      <c r="E90" s="54" t="str">
        <f>IF(transport_type="Emissions from new vehicles",IF(ISNUMBER(FIND("economy",modes)),VLOOKUP(modes,TTWIntensity_2DS,E87-2010+2,FALSE),VLOOKUP(modes,WTWIntensity_2DS,E87-2010+2,FALSE)),"")</f>
        <v/>
      </c>
      <c r="F90" s="54" t="str">
        <f>IF(transport_type="Emissions from new vehicles",IF(ISNUMBER(FIND("economy",modes)),VLOOKUP(modes,TTWIntensity_2DS,F87-2010+2,FALSE),VLOOKUP(modes,WTWIntensity_2DS,F87-2010+2,FALSE)),"")</f>
        <v/>
      </c>
      <c r="G90" s="54" t="str">
        <f>IF(transport_type="Emissions from new vehicles",IF(ISNUMBER(FIND("economy",modes)),VLOOKUP(modes,TTWIntensity_2DS,G87-2010+2,FALSE),VLOOKUP(modes,WTWIntensity_2DS,G87-2010+2,FALSE)),"")</f>
        <v/>
      </c>
      <c r="H90" s="54" t="str">
        <f>IF(transport_type="Emissions from new vehicles",IF(ISNUMBER(FIND("economy",modes)),VLOOKUP(modes,TTWIntensity_2DS,H87-2010+2,FALSE),VLOOKUP(modes,WTWIntensity_2DS,H87-2010+2,FALSE)),"")</f>
        <v/>
      </c>
      <c r="I90" s="112" t="str">
        <f>IF(transport_type="Emissions from new vehicles",IF(ISNUMBER(FIND("economy",modes)),VLOOKUP(modes,TTWIntensity_2DS,I87-2010+2,FALSE),VLOOKUP(modes,WTWIntensity_2DS,I87-2010+2,FALSE)),"")</f>
        <v/>
      </c>
    </row>
    <row r="91" spans="2:9" customFormat="1" ht="15" x14ac:dyDescent="0.25">
      <c r="B91" s="53"/>
      <c r="C91" s="55"/>
      <c r="D91" s="55"/>
      <c r="E91" s="54"/>
      <c r="F91" s="54"/>
      <c r="G91" s="54"/>
      <c r="H91" s="54"/>
      <c r="I91" s="112"/>
    </row>
    <row r="92" spans="2:9" customFormat="1" ht="15" x14ac:dyDescent="0.25">
      <c r="B92" s="53" t="s">
        <v>45</v>
      </c>
      <c r="C92" s="54" t="e">
        <f t="shared" ref="C92:I92" si="40">$C96-$H90</f>
        <v>#N/A</v>
      </c>
      <c r="D92" s="54" t="e">
        <f t="shared" si="40"/>
        <v>#N/A</v>
      </c>
      <c r="E92" s="54" t="e">
        <f t="shared" si="40"/>
        <v>#N/A</v>
      </c>
      <c r="F92" s="54" t="e">
        <f t="shared" si="40"/>
        <v>#N/A</v>
      </c>
      <c r="G92" s="54" t="e">
        <f t="shared" si="40"/>
        <v>#N/A</v>
      </c>
      <c r="H92" s="54" t="e">
        <f t="shared" si="40"/>
        <v>#N/A</v>
      </c>
      <c r="I92" s="112" t="e">
        <f t="shared" si="40"/>
        <v>#N/A</v>
      </c>
    </row>
    <row r="93" spans="2:9" customFormat="1" ht="15" x14ac:dyDescent="0.25">
      <c r="B93" s="53" t="s">
        <v>55</v>
      </c>
      <c r="C93" s="54" t="e">
        <f>IF(ISNUMBER(FIND("economy",modes)),1,IF((C95/$C89)/(C95/C89)&lt;=1,(C95/$C89)/(C95/C89),1))</f>
        <v>#VALUE!</v>
      </c>
      <c r="D93" s="54" t="e">
        <f>IF(ISNUMBER(FIND("economy",modes)),1,IF(($C95/$C89)/(D95/D89)&lt;=1,($C95/$C89)/(D95/D89),1))</f>
        <v>#VALUE!</v>
      </c>
      <c r="E93" s="54" t="e">
        <f>IF(ISNUMBER(FIND("economy",modes)),1,IF(($C95/$C89)/(E95/E89)&lt;=1,($C95/$C89)/(E95/E89),1))</f>
        <v>#VALUE!</v>
      </c>
      <c r="F93" s="54" t="e">
        <f>IF(ISNUMBER(FIND("economy",modes)),1,IF(($C95/$C89)/(F95/F89)&lt;=1,($C95/$C89)/(F95/F89),1))</f>
        <v>#VALUE!</v>
      </c>
      <c r="G93" s="54" t="e">
        <f>IF(ISNUMBER(FIND("economy",modes)),1,IF(($C95/$C89)/(G95/G89)&lt;=1,($C95/$C89)/(G95/G89),1))</f>
        <v>#VALUE!</v>
      </c>
      <c r="H93" s="54" t="e">
        <f>IF(ISNUMBER(FIND("economy",modes)),1,IF(($C95/$C89)/(H95/H89)&lt;=1,($C95/$C89)/(H95/H89),1))</f>
        <v>#VALUE!</v>
      </c>
      <c r="I93" s="112"/>
    </row>
    <row r="94" spans="2:9" customFormat="1" ht="15" x14ac:dyDescent="0.25">
      <c r="B94" s="53" t="s">
        <v>56</v>
      </c>
      <c r="C94" s="54" t="e">
        <f>(C90-$H90)/($C90-$H90)</f>
        <v>#VALUE!</v>
      </c>
      <c r="D94" s="54" t="e">
        <f>(D90-$H90)/($C90-$H90)</f>
        <v>#VALUE!</v>
      </c>
      <c r="E94" s="54" t="e">
        <f>(E90-$H90)/($C90-$H90)</f>
        <v>#VALUE!</v>
      </c>
      <c r="F94" s="54" t="e">
        <f t="shared" ref="F94:I94" si="41">(F90-$H90)/($C90-$H90)</f>
        <v>#VALUE!</v>
      </c>
      <c r="G94" s="54" t="e">
        <f t="shared" si="41"/>
        <v>#VALUE!</v>
      </c>
      <c r="H94" s="54" t="e">
        <f t="shared" si="41"/>
        <v>#VALUE!</v>
      </c>
      <c r="I94" s="112" t="e">
        <f t="shared" si="41"/>
        <v>#VALUE!</v>
      </c>
    </row>
    <row r="95" spans="2:9" customFormat="1" ht="15" x14ac:dyDescent="0.25">
      <c r="B95" s="53" t="s">
        <v>57</v>
      </c>
      <c r="C95" s="54" t="str">
        <f>IF(ISNUMBER(FIND("New",modes)),activity_by,"")</f>
        <v/>
      </c>
      <c r="D95" s="54" t="e">
        <f>IF(ISNUMBER(FIND("New",modes)),activity_ty,activity_ty/activity_by)</f>
        <v>#DIV/0!</v>
      </c>
      <c r="E95" s="54" t="e">
        <f>IF(ISNUMBER(FIND("New",modes)),(activity_ty-activity_by)/(ty-by)*(E75-by)+activity_by,((activity_ty-activity_by)/(ty-by)*(E75-by)+activity_by)/activity_by)</f>
        <v>#DIV/0!</v>
      </c>
      <c r="F95" s="54" t="e">
        <f>IF(ISNUMBER(FIND("New",modes)),(activity_ty-activity_by)/(ty-by)*(F75-by)+activity_by,((activity_ty-activity_by)/(ty-by)*(F75-by)+activity_by)/activity_by)</f>
        <v>#DIV/0!</v>
      </c>
      <c r="G95" s="54" t="e">
        <f>IF(ISNUMBER(FIND("New",modes)),(activity_ty-activity_by)/(ty-by)*(G75-by)+activity_by,((activity_ty-activity_by)/(ty-by)*(G75-by)+activity_by)/activity_by)</f>
        <v>#DIV/0!</v>
      </c>
      <c r="H95" s="54" t="e">
        <f>IF(ISNUMBER(FIND("New",modes)),(activity_ty-activity_by)/(ty-by)*(H75-by)+activity_by,((activity_ty-activity_by)/(ty-by)*(H75-by)+activity_by)/activity_by)</f>
        <v>#DIV/0!</v>
      </c>
      <c r="I95" s="112"/>
    </row>
    <row r="96" spans="2:9" customFormat="1" ht="15" x14ac:dyDescent="0.25">
      <c r="B96" s="53" t="s">
        <v>191</v>
      </c>
      <c r="C96" s="55" t="e">
        <f>IF($C$5="Fuel economy",Fuel_economy,0)</f>
        <v>#N/A</v>
      </c>
      <c r="D96" s="55" t="e">
        <f t="shared" ref="D96:I96" si="42">(D92*D93*D94)+$H90</f>
        <v>#N/A</v>
      </c>
      <c r="E96" s="54" t="e">
        <f t="shared" si="42"/>
        <v>#N/A</v>
      </c>
      <c r="F96" s="54" t="e">
        <f t="shared" si="42"/>
        <v>#N/A</v>
      </c>
      <c r="G96" s="54" t="e">
        <f t="shared" si="42"/>
        <v>#N/A</v>
      </c>
      <c r="H96" s="54" t="e">
        <f t="shared" si="42"/>
        <v>#N/A</v>
      </c>
      <c r="I96" s="112" t="e">
        <f t="shared" si="42"/>
        <v>#N/A</v>
      </c>
    </row>
    <row r="97" spans="2:9" customFormat="1" ht="15" x14ac:dyDescent="0.25">
      <c r="B97" s="41"/>
      <c r="C97" s="42"/>
      <c r="D97" s="42"/>
      <c r="E97" s="41"/>
      <c r="F97" s="41"/>
    </row>
    <row r="98" spans="2:9" customFormat="1" ht="15" x14ac:dyDescent="0.25">
      <c r="B98" s="51"/>
      <c r="C98" s="52" t="s">
        <v>24</v>
      </c>
      <c r="D98" s="52" t="s">
        <v>25</v>
      </c>
      <c r="E98" s="149" t="s">
        <v>50</v>
      </c>
      <c r="F98" s="149"/>
      <c r="G98" s="149"/>
      <c r="H98" s="149"/>
      <c r="I98" s="149"/>
    </row>
    <row r="99" spans="2:9" customFormat="1" ht="15" x14ac:dyDescent="0.25">
      <c r="B99" s="52" t="s">
        <v>192</v>
      </c>
      <c r="C99" s="53">
        <f>+by</f>
        <v>0</v>
      </c>
      <c r="D99" s="53">
        <f>+ty</f>
        <v>0</v>
      </c>
      <c r="E99" s="53">
        <v>2020</v>
      </c>
      <c r="F99" s="53">
        <v>2030</v>
      </c>
      <c r="G99" s="53">
        <v>2040</v>
      </c>
      <c r="H99" s="53">
        <v>2050</v>
      </c>
      <c r="I99" s="119">
        <v>2060</v>
      </c>
    </row>
    <row r="100" spans="2:9" customFormat="1" ht="15" x14ac:dyDescent="0.25">
      <c r="B100" s="53"/>
      <c r="C100" s="54"/>
      <c r="D100" s="54"/>
      <c r="E100" s="54"/>
      <c r="F100" s="54"/>
      <c r="G100" s="54"/>
      <c r="H100" s="54"/>
      <c r="I100" s="112"/>
    </row>
    <row r="101" spans="2:9" customFormat="1" ht="14.25" customHeight="1" x14ac:dyDescent="0.25">
      <c r="B101" s="53" t="s">
        <v>52</v>
      </c>
      <c r="C101" s="54" t="e">
        <f>IF(ISNUMBER(FIND("economy",modes)),"",VLOOKUP(modes,ACTIVITY_B2DS,by-2010+2,FALSE)*10^9)</f>
        <v>#N/A</v>
      </c>
      <c r="D101" s="54" t="e">
        <f>IF(ISNUMBER(FIND("economy",modes)),"",VLOOKUP(modes,ACTIVITY_B2DS,ty-2010+2,FALSE)*10^9)</f>
        <v>#N/A</v>
      </c>
      <c r="E101" s="54" t="e">
        <f>IF(ISNUMBER(FIND("economy",modes)),"",VLOOKUP(modes,ACTIVITY_B2DS,E87-2010+2,FALSE)*10^9)</f>
        <v>#N/A</v>
      </c>
      <c r="F101" s="54" t="e">
        <f>IF(ISNUMBER(FIND("economy",modes)),"",VLOOKUP(modes,ACTIVITY_B2DS,F87-2010+2,FALSE)*10^9)</f>
        <v>#N/A</v>
      </c>
      <c r="G101" s="54" t="e">
        <f>IF(ISNUMBER(FIND("economy",modes)),"",VLOOKUP(modes,ACTIVITY_B2DS,G87-2010+2,FALSE)*10^9)</f>
        <v>#N/A</v>
      </c>
      <c r="H101" s="54" t="e">
        <f>IF(ISNUMBER(FIND("economy",modes)),"",VLOOKUP(modes,ACTIVITY_B2DS,H87-2010+2,FALSE)*10^9)</f>
        <v>#N/A</v>
      </c>
      <c r="I101" s="112"/>
    </row>
    <row r="102" spans="2:9" customFormat="1" ht="15" x14ac:dyDescent="0.25">
      <c r="B102" s="53" t="s">
        <v>189</v>
      </c>
      <c r="C102" s="54" t="str">
        <f>IF(transport_type="Emissions from new vehicles",IF(ISNUMBER(FIND("economy",modes)),VLOOKUP(modes,TTWIntensity_B2DS,by-2010+2,FALSE),VLOOKUP(modes,WTWIntensity_B2DS,by-2010+2,FALSE)),"")</f>
        <v/>
      </c>
      <c r="D102" s="54" t="str">
        <f>IF(transport_type="Emissions from new vehicles",IF(ISNUMBER(FIND("economy",modes)),VLOOKUP(modes,TTWIntensity_B2DS,ty-2010+2,FALSE),VLOOKUP(modes,WTWIntensity_B2DS,ty-2010+2,FALSE)),"")</f>
        <v/>
      </c>
      <c r="E102" s="54" t="str">
        <f>IF(transport_type="Emissions from new vehicles",IF(ISNUMBER(FIND("economy",modes)),VLOOKUP(modes,TTWIntensity_B2DS,E99-2010+2,FALSE),VLOOKUP(modes,WTWIntensity_B2DS,E99-2010+2,FALSE)),"")</f>
        <v/>
      </c>
      <c r="F102" s="54" t="str">
        <f>IF(transport_type="Emissions from new vehicles",IF(ISNUMBER(FIND("economy",modes)),VLOOKUP(modes,TTWIntensity_B2DS,F99-2010+2,FALSE),VLOOKUP(modes,WTWIntensity_B2DS,F99-2010+2,FALSE)),"")</f>
        <v/>
      </c>
      <c r="G102" s="54" t="str">
        <f>IF(transport_type="Emissions from new vehicles",IF(ISNUMBER(FIND("economy",modes)),VLOOKUP(modes,TTWIntensity_B2DS,G99-2010+2,FALSE),VLOOKUP(modes,WTWIntensity_B2DS,G99-2010+2,FALSE)),"")</f>
        <v/>
      </c>
      <c r="H102" s="54" t="str">
        <f>IF(transport_type="Emissions from new vehicles",IF(ISNUMBER(FIND("economy",modes)),VLOOKUP(modes,TTWIntensity_B2DS,H99-2010+2,FALSE),VLOOKUP(modes,WTWIntensity_B2DS,H99-2010+2,FALSE)),"")</f>
        <v/>
      </c>
      <c r="I102" s="112" t="str">
        <f>IF(transport_type="Emissions from new vehicles",IF(ISNUMBER(FIND("economy",modes)),VLOOKUP(modes,TTWIntensity_B2DS,I99-2010+2,FALSE),VLOOKUP(modes,WTWIntensity_B2DS,I99-2010+2,FALSE)),"")</f>
        <v/>
      </c>
    </row>
    <row r="103" spans="2:9" customFormat="1" ht="15" x14ac:dyDescent="0.25">
      <c r="B103" s="53"/>
      <c r="C103" s="55"/>
      <c r="D103" s="55"/>
      <c r="E103" s="54"/>
      <c r="F103" s="54"/>
      <c r="G103" s="54"/>
      <c r="H103" s="54"/>
      <c r="I103" s="112"/>
    </row>
    <row r="104" spans="2:9" customFormat="1" ht="15" x14ac:dyDescent="0.25">
      <c r="B104" s="53" t="s">
        <v>45</v>
      </c>
      <c r="C104" s="54" t="e">
        <f t="shared" ref="C104:I104" si="43">$C108-$H102</f>
        <v>#N/A</v>
      </c>
      <c r="D104" s="54" t="e">
        <f t="shared" si="43"/>
        <v>#N/A</v>
      </c>
      <c r="E104" s="54" t="e">
        <f t="shared" si="43"/>
        <v>#N/A</v>
      </c>
      <c r="F104" s="54" t="e">
        <f t="shared" si="43"/>
        <v>#N/A</v>
      </c>
      <c r="G104" s="54" t="e">
        <f t="shared" si="43"/>
        <v>#N/A</v>
      </c>
      <c r="H104" s="54" t="e">
        <f t="shared" si="43"/>
        <v>#N/A</v>
      </c>
      <c r="I104" s="112" t="e">
        <f t="shared" si="43"/>
        <v>#N/A</v>
      </c>
    </row>
    <row r="105" spans="2:9" customFormat="1" ht="15" x14ac:dyDescent="0.25">
      <c r="B105" s="53" t="s">
        <v>55</v>
      </c>
      <c r="C105" s="54" t="e">
        <f>IF(ISNUMBER(FIND("economy",modes)),1,IF((C107/$C101)/(C107/C101)&lt;=1,(C107/$C101)/(C107/C101),1))</f>
        <v>#VALUE!</v>
      </c>
      <c r="D105" s="54" t="e">
        <f>IF(ISNUMBER(FIND("economy",modes)),1,IF(($C107/$C101)/(D107/D101)&lt;=1,($C107/$C101)/(D107/D101),1))</f>
        <v>#VALUE!</v>
      </c>
      <c r="E105" s="54" t="e">
        <f>IF(ISNUMBER(FIND("economy",modes)),1,IF(($C107/$C101)/(E107/E101)&lt;=1,($C107/$C101)/(E107/E101),1))</f>
        <v>#VALUE!</v>
      </c>
      <c r="F105" s="54" t="e">
        <f>IF(ISNUMBER(FIND("economy",modes)),1,IF(($C107/$C101)/(F107/F101)&lt;=1,($C107/$C101)/(F107/F101),1))</f>
        <v>#VALUE!</v>
      </c>
      <c r="G105" s="54" t="e">
        <f>IF(ISNUMBER(FIND("economy",modes)),1,IF(($C107/$C101)/(G107/G101)&lt;=1,($C107/$C101)/(G107/G101),1))</f>
        <v>#VALUE!</v>
      </c>
      <c r="H105" s="54" t="e">
        <f>IF(ISNUMBER(FIND("economy",modes)),1,IF(($C107/$C101)/(H107/H101)&lt;=1,($C107/$C101)/(H107/H101),1))</f>
        <v>#VALUE!</v>
      </c>
      <c r="I105" s="112"/>
    </row>
    <row r="106" spans="2:9" customFormat="1" ht="15" x14ac:dyDescent="0.25">
      <c r="B106" s="53" t="s">
        <v>56</v>
      </c>
      <c r="C106" s="54" t="e">
        <f>(C102-$H102)/($C102-$H102)</f>
        <v>#VALUE!</v>
      </c>
      <c r="D106" s="54" t="e">
        <f>(D102-$H102)/($C102-$H102)</f>
        <v>#VALUE!</v>
      </c>
      <c r="E106" s="54" t="e">
        <f>(E102-$H102)/($C102-$H102)</f>
        <v>#VALUE!</v>
      </c>
      <c r="F106" s="54" t="e">
        <f t="shared" ref="F106:I106" si="44">(F102-$H102)/($C102-$H102)</f>
        <v>#VALUE!</v>
      </c>
      <c r="G106" s="54" t="e">
        <f t="shared" si="44"/>
        <v>#VALUE!</v>
      </c>
      <c r="H106" s="54" t="e">
        <f t="shared" si="44"/>
        <v>#VALUE!</v>
      </c>
      <c r="I106" s="112" t="e">
        <f t="shared" si="44"/>
        <v>#VALUE!</v>
      </c>
    </row>
    <row r="107" spans="2:9" customFormat="1" ht="15" x14ac:dyDescent="0.25">
      <c r="B107" s="53" t="s">
        <v>57</v>
      </c>
      <c r="C107" s="54" t="str">
        <f>IF(ISNUMBER(FIND("New",modes)),activity_by,"")</f>
        <v/>
      </c>
      <c r="D107" s="54" t="e">
        <f>IF(ISNUMBER(FIND("New",modes)),activity_ty,activity_ty/activity_by)</f>
        <v>#DIV/0!</v>
      </c>
      <c r="E107" s="54" t="e">
        <f>IF(ISNUMBER(FIND("New",modes)),(activity_ty-activity_by)/(ty-by)*(E87-by)+activity_by,((activity_ty-activity_by)/(ty-by)*(E87-by)+activity_by)/activity_by)</f>
        <v>#DIV/0!</v>
      </c>
      <c r="F107" s="54" t="e">
        <f>IF(ISNUMBER(FIND("New",modes)),(activity_ty-activity_by)/(ty-by)*(F87-by)+activity_by,((activity_ty-activity_by)/(ty-by)*(F87-by)+activity_by)/activity_by)</f>
        <v>#DIV/0!</v>
      </c>
      <c r="G107" s="54" t="e">
        <f>IF(ISNUMBER(FIND("New",modes)),(activity_ty-activity_by)/(ty-by)*(G87-by)+activity_by,((activity_ty-activity_by)/(ty-by)*(G87-by)+activity_by)/activity_by)</f>
        <v>#DIV/0!</v>
      </c>
      <c r="H107" s="54" t="e">
        <f>IF(ISNUMBER(FIND("New",modes)),(activity_ty-activity_by)/(ty-by)*(H87-by)+activity_by,((activity_ty-activity_by)/(ty-by)*(H87-by)+activity_by)/activity_by)</f>
        <v>#DIV/0!</v>
      </c>
      <c r="I107" s="112"/>
    </row>
    <row r="108" spans="2:9" customFormat="1" ht="15" x14ac:dyDescent="0.25">
      <c r="B108" s="53" t="s">
        <v>191</v>
      </c>
      <c r="C108" s="55" t="e">
        <f>IF($C$5="Fuel economy",Fuel_economy,0)</f>
        <v>#N/A</v>
      </c>
      <c r="D108" s="55" t="e">
        <f t="shared" ref="D108:I108" si="45">(D104*D105*D106)+$H102</f>
        <v>#N/A</v>
      </c>
      <c r="E108" s="54" t="e">
        <f t="shared" si="45"/>
        <v>#N/A</v>
      </c>
      <c r="F108" s="54" t="e">
        <f t="shared" si="45"/>
        <v>#N/A</v>
      </c>
      <c r="G108" s="54" t="e">
        <f t="shared" si="45"/>
        <v>#N/A</v>
      </c>
      <c r="H108" s="54" t="e">
        <f t="shared" si="45"/>
        <v>#N/A</v>
      </c>
      <c r="I108" s="112" t="e">
        <f t="shared" si="45"/>
        <v>#N/A</v>
      </c>
    </row>
    <row r="109" spans="2:9" customFormat="1" ht="15" x14ac:dyDescent="0.25"/>
    <row r="110" spans="2:9" customFormat="1" ht="15" x14ac:dyDescent="0.25"/>
    <row r="111" spans="2:9" customFormat="1" ht="15" x14ac:dyDescent="0.25">
      <c r="D111" s="52" t="s">
        <v>154</v>
      </c>
      <c r="E111" s="52" t="s">
        <v>155</v>
      </c>
      <c r="F111" s="52" t="s">
        <v>156</v>
      </c>
    </row>
    <row r="112" spans="2:9" customFormat="1" ht="15" x14ac:dyDescent="0.25">
      <c r="B112" s="53" t="s">
        <v>157</v>
      </c>
      <c r="C112" s="54">
        <f>wtw_by</f>
        <v>0</v>
      </c>
      <c r="D112" s="54">
        <f>+C112*(ty-by)*((1-49%)/40)</f>
        <v>0</v>
      </c>
      <c r="E112" s="54">
        <f>+C112*(ty-by)*((1-72%)/40)</f>
        <v>0</v>
      </c>
      <c r="F112" s="54">
        <f>+C112*(ty-by)*((1-95%)/40)</f>
        <v>0</v>
      </c>
    </row>
    <row r="113" spans="3:7" customFormat="1" ht="15" x14ac:dyDescent="0.25"/>
    <row r="114" spans="3:7" customFormat="1" ht="15" x14ac:dyDescent="0.25"/>
    <row r="115" spans="3:7" customFormat="1" ht="15" x14ac:dyDescent="0.25"/>
    <row r="116" spans="3:7" customFormat="1" ht="15" x14ac:dyDescent="0.25"/>
    <row r="117" spans="3:7" customFormat="1" ht="15" x14ac:dyDescent="0.25"/>
    <row r="118" spans="3:7" customFormat="1" ht="15" x14ac:dyDescent="0.25">
      <c r="C118" s="127"/>
      <c r="D118" s="127"/>
      <c r="E118" s="127"/>
      <c r="F118" s="127"/>
      <c r="G118" s="127"/>
    </row>
    <row r="119" spans="3:7" customFormat="1" ht="15" x14ac:dyDescent="0.25"/>
    <row r="120" spans="3:7" customFormat="1" ht="15" x14ac:dyDescent="0.25"/>
    <row r="121" spans="3:7" customFormat="1" ht="15" x14ac:dyDescent="0.25"/>
    <row r="122" spans="3:7" customFormat="1" ht="15" x14ac:dyDescent="0.25"/>
    <row r="123" spans="3:7" customFormat="1" ht="15" x14ac:dyDescent="0.25"/>
    <row r="124" spans="3:7" customFormat="1" ht="15" x14ac:dyDescent="0.25"/>
    <row r="125" spans="3:7" customFormat="1" ht="15" x14ac:dyDescent="0.25"/>
    <row r="126" spans="3:7" customFormat="1" ht="15" x14ac:dyDescent="0.25"/>
    <row r="127" spans="3:7" customFormat="1" ht="15" x14ac:dyDescent="0.25"/>
    <row r="128" spans="3:7" customFormat="1" ht="15" x14ac:dyDescent="0.25"/>
    <row r="129" customFormat="1" ht="15" x14ac:dyDescent="0.25"/>
    <row r="130" customFormat="1" ht="15" x14ac:dyDescent="0.25"/>
    <row r="131" customFormat="1" ht="15" x14ac:dyDescent="0.25"/>
    <row r="132" customFormat="1" ht="15" x14ac:dyDescent="0.25"/>
    <row r="133" customFormat="1" ht="15" x14ac:dyDescent="0.25"/>
    <row r="134" customFormat="1" ht="15" x14ac:dyDescent="0.25"/>
    <row r="135" customFormat="1" ht="15" x14ac:dyDescent="0.25"/>
    <row r="136" customFormat="1" ht="15" x14ac:dyDescent="0.25"/>
    <row r="137" customFormat="1" ht="15" x14ac:dyDescent="0.25"/>
    <row r="138" customFormat="1" ht="15" x14ac:dyDescent="0.25"/>
    <row r="139" customFormat="1" ht="15" x14ac:dyDescent="0.25"/>
    <row r="140" customFormat="1" ht="15" x14ac:dyDescent="0.25"/>
    <row r="141" customFormat="1" ht="15" x14ac:dyDescent="0.25"/>
    <row r="142" customFormat="1" ht="15" x14ac:dyDescent="0.25"/>
    <row r="143" customFormat="1" ht="15" x14ac:dyDescent="0.25"/>
    <row r="144" customFormat="1" ht="15" x14ac:dyDescent="0.25"/>
    <row r="145" customFormat="1" ht="15" x14ac:dyDescent="0.25"/>
    <row r="146" customFormat="1" ht="15" x14ac:dyDescent="0.25"/>
    <row r="147" customFormat="1" ht="15" x14ac:dyDescent="0.25"/>
    <row r="148" customFormat="1" ht="15" x14ac:dyDescent="0.25"/>
    <row r="149" customFormat="1" ht="15" x14ac:dyDescent="0.25"/>
    <row r="150" customFormat="1" ht="15" x14ac:dyDescent="0.25"/>
  </sheetData>
  <mergeCells count="9">
    <mergeCell ref="E98:I98"/>
    <mergeCell ref="E26:I26"/>
    <mergeCell ref="E50:I50"/>
    <mergeCell ref="E38:I38"/>
    <mergeCell ref="C4:D4"/>
    <mergeCell ref="E14:I14"/>
    <mergeCell ref="E62:I62"/>
    <mergeCell ref="E74:I74"/>
    <mergeCell ref="E86:I8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L44"/>
  <sheetViews>
    <sheetView workbookViewId="0">
      <selection activeCell="E40" sqref="E40"/>
    </sheetView>
  </sheetViews>
  <sheetFormatPr defaultColWidth="11.42578125" defaultRowHeight="12" x14ac:dyDescent="0.2"/>
  <cols>
    <col min="1" max="1" width="4.28515625" style="62" customWidth="1"/>
    <col min="2" max="2" width="50.85546875" style="62" bestFit="1" customWidth="1"/>
    <col min="3" max="9" width="12.140625" style="62" customWidth="1"/>
    <col min="10" max="10" width="12.140625" style="72" customWidth="1"/>
    <col min="11" max="16384" width="11.42578125" style="62"/>
  </cols>
  <sheetData>
    <row r="1" spans="2:12" ht="16.5" customHeight="1" thickBot="1" x14ac:dyDescent="0.25">
      <c r="B1" s="23" t="s">
        <v>40</v>
      </c>
      <c r="C1" s="63"/>
      <c r="D1" s="63"/>
      <c r="E1" s="63"/>
      <c r="F1" s="63"/>
      <c r="G1" s="63"/>
      <c r="H1" s="63"/>
      <c r="I1" s="63"/>
      <c r="J1" s="130"/>
    </row>
    <row r="2" spans="2:12" ht="16.5" customHeight="1" x14ac:dyDescent="0.2">
      <c r="B2" s="65"/>
      <c r="H2" s="64"/>
      <c r="J2" s="73"/>
    </row>
    <row r="3" spans="2:12" ht="16.5" customHeight="1" x14ac:dyDescent="0.25">
      <c r="B3" s="75" t="s">
        <v>96</v>
      </c>
      <c r="C3" s="74">
        <f>modes</f>
        <v>0</v>
      </c>
      <c r="D3" s="66"/>
      <c r="E3" s="66"/>
      <c r="F3" s="66"/>
      <c r="G3" s="64"/>
      <c r="H3" s="64"/>
    </row>
    <row r="4" spans="2:12" ht="16.5" customHeight="1" x14ac:dyDescent="0.2">
      <c r="C4" s="68"/>
      <c r="D4" s="68"/>
      <c r="E4" s="68"/>
      <c r="F4" s="68"/>
      <c r="G4" s="64"/>
      <c r="H4" s="64"/>
      <c r="J4" s="73"/>
    </row>
    <row r="5" spans="2:12" ht="16.5" customHeight="1" x14ac:dyDescent="0.2">
      <c r="B5" s="65" t="e">
        <f>IF(Calculations!$C$5&lt;&gt;"Homogeneous","Graph not available for this sector",CONCATENATE(modes," | Absolute emissions (2DS)",))</f>
        <v>#N/A</v>
      </c>
      <c r="C5" s="67"/>
      <c r="D5" s="67"/>
      <c r="E5" s="67"/>
      <c r="F5" s="64"/>
      <c r="G5" s="64"/>
      <c r="H5" s="64"/>
      <c r="I5" s="64"/>
      <c r="J5" s="73"/>
    </row>
    <row r="6" spans="2:12" ht="16.5" customHeight="1" x14ac:dyDescent="0.2">
      <c r="B6" s="64"/>
      <c r="C6" s="66">
        <f>+by</f>
        <v>0</v>
      </c>
      <c r="D6" s="66">
        <v>2020</v>
      </c>
      <c r="E6" s="66">
        <v>2030</v>
      </c>
      <c r="F6" s="66">
        <v>2040</v>
      </c>
      <c r="G6" s="66">
        <v>2050</v>
      </c>
      <c r="H6" s="66"/>
      <c r="I6" s="66">
        <f>+ty</f>
        <v>0</v>
      </c>
      <c r="J6" s="66" t="s">
        <v>98</v>
      </c>
    </row>
    <row r="7" spans="2:12" ht="16.5" customHeight="1" x14ac:dyDescent="0.2">
      <c r="B7" s="64" t="s">
        <v>148</v>
      </c>
      <c r="C7" s="70" t="e">
        <f>IF(Calculations!$C$5&lt;&gt;"Homogeneous",NA(),wtw_by)</f>
        <v>#N/A</v>
      </c>
      <c r="D7" s="70" t="e">
        <f>IF(Calculations!$C$5&lt;&gt;"Homogeneous",NA(),Calculations!E19)</f>
        <v>#N/A</v>
      </c>
      <c r="E7" s="70" t="e">
        <f>IF(Calculations!$C$5&lt;&gt;"Homogeneous",NA(),Calculations!F19)</f>
        <v>#N/A</v>
      </c>
      <c r="F7" s="70" t="e">
        <f>IF(Calculations!$C$5&lt;&gt;"Homogeneous",NA(),Calculations!G19)</f>
        <v>#N/A</v>
      </c>
      <c r="G7" s="70" t="e">
        <f>IF(Calculations!$C$5&lt;&gt;"Homogeneous",NA(),Calculations!H19)</f>
        <v>#N/A</v>
      </c>
      <c r="H7" s="70"/>
      <c r="I7" s="70"/>
      <c r="J7" s="73" t="s">
        <v>46</v>
      </c>
    </row>
    <row r="8" spans="2:12" ht="16.5" customHeight="1" x14ac:dyDescent="0.25">
      <c r="B8" s="64" t="s">
        <v>162</v>
      </c>
      <c r="C8" s="70" t="e">
        <f>IF(Calculations!$C$5&lt;&gt;"Homogeneous",NA(),wtt_by)</f>
        <v>#N/A</v>
      </c>
      <c r="D8" s="70" t="e">
        <f>IF(Calculations!$C$5&lt;&gt;"Homogeneous",NA(),Calculations!E43)</f>
        <v>#N/A</v>
      </c>
      <c r="E8" s="70" t="e">
        <f>IF(Calculations!$C$5&lt;&gt;"Homogeneous",NA(),Calculations!F43)</f>
        <v>#N/A</v>
      </c>
      <c r="F8" s="70" t="e">
        <f>IF(Calculations!$C$5&lt;&gt;"Homogeneous",NA(),Calculations!G43)</f>
        <v>#N/A</v>
      </c>
      <c r="G8" s="70" t="e">
        <f>IF(Calculations!$C$5&lt;&gt;"Homogeneous",NA(),Calculations!H43)</f>
        <v>#N/A</v>
      </c>
      <c r="H8" s="70"/>
      <c r="I8" s="70"/>
      <c r="J8" s="73" t="s">
        <v>46</v>
      </c>
      <c r="L8" s="88"/>
    </row>
    <row r="9" spans="2:12" ht="16.5" customHeight="1" x14ac:dyDescent="0.25">
      <c r="B9" s="64" t="s">
        <v>163</v>
      </c>
      <c r="C9" s="70" t="e">
        <f>IF(Calculations!$C$5&lt;&gt;"Homogeneous",NA(),ttw_by)</f>
        <v>#N/A</v>
      </c>
      <c r="D9" s="70" t="e">
        <f>IF(Calculations!$C$5&lt;&gt;"Homogeneous",NA(),Calculations!E67)</f>
        <v>#N/A</v>
      </c>
      <c r="E9" s="70" t="e">
        <f>IF(Calculations!$C$5&lt;&gt;"Homogeneous",NA(),Calculations!F67)</f>
        <v>#N/A</v>
      </c>
      <c r="F9" s="70" t="e">
        <f>IF(Calculations!$C$5&lt;&gt;"Homogeneous",NA(),Calculations!G67)</f>
        <v>#N/A</v>
      </c>
      <c r="G9" s="70" t="e">
        <f>IF(Calculations!$C$5&lt;&gt;"Homogeneous",NA(),Calculations!H67)</f>
        <v>#N/A</v>
      </c>
      <c r="H9" s="70"/>
      <c r="I9" s="70"/>
      <c r="J9" s="73" t="s">
        <v>46</v>
      </c>
      <c r="L9" s="88"/>
    </row>
    <row r="10" spans="2:12" ht="16.5" customHeight="1" x14ac:dyDescent="0.2">
      <c r="B10" s="64" t="s">
        <v>89</v>
      </c>
      <c r="C10" s="71" t="e">
        <f>IF(Calculations!$C$5&lt;&gt;"Homogeneous",NA(),+VLOOKUP(modes,WTWEmissions_2DS,C6-2010+2,FALSE)/VLOOKUP(modes,WTWEmissions_2DS,$C6-2010+2,FALSE))</f>
        <v>#N/A</v>
      </c>
      <c r="D10" s="71" t="e">
        <f>IF(Calculations!$C$5&lt;&gt;"Homogeneous",NA(),+VLOOKUP(modes,WTWEmissions_2DS,D6-2010+2,FALSE)/VLOOKUP(modes,WTWEmissions_2DS,$C6-2010+2,FALSE))</f>
        <v>#N/A</v>
      </c>
      <c r="E10" s="71" t="e">
        <f>IF(Calculations!$C$5&lt;&gt;"Homogeneous",NA(),+VLOOKUP(modes,WTWEmissions_2DS,E6-2010+2,FALSE)/VLOOKUP(modes,WTWEmissions_2DS,$C6-2010+2,FALSE))</f>
        <v>#N/A</v>
      </c>
      <c r="F10" s="71" t="e">
        <f>IF(Calculations!$C$5&lt;&gt;"Homogeneous",NA(),+VLOOKUP(modes,WTWEmissions_2DS,F6-2010+2,FALSE)/VLOOKUP(modes,WTWEmissions_2DS,$C6-2010+2,FALSE))</f>
        <v>#N/A</v>
      </c>
      <c r="G10" s="71" t="e">
        <f>IF(Calculations!$C$5&lt;&gt;"Homogeneous",NA(),+VLOOKUP(modes,WTWEmissions_2DS,G6-2010+2,FALSE)/VLOOKUP(modes,WTWEmissions_2DS,$C6-2010+2,FALSE))</f>
        <v>#N/A</v>
      </c>
      <c r="H10" s="71"/>
      <c r="I10" s="70"/>
      <c r="J10" s="73" t="s">
        <v>46</v>
      </c>
    </row>
    <row r="11" spans="2:12" ht="16.5" customHeight="1" x14ac:dyDescent="0.2">
      <c r="B11" s="64" t="s">
        <v>97</v>
      </c>
      <c r="C11" s="70" t="e">
        <f>IF(Calculations!$C$5&lt;&gt;"Homogeneous",NA(),VLOOKUP(modes,WTTEmissions_2DS,C6-2010+2,FALSE)/VLOOKUP(modes,WTTEmissions_2DS,$C6-2010+2,FALSE))</f>
        <v>#N/A</v>
      </c>
      <c r="D11" s="70" t="e">
        <f>IF(Calculations!$C$5&lt;&gt;"Homogeneous",NA(),VLOOKUP(modes,WTTEmissions_2DS,D6-2010+2,FALSE)/VLOOKUP(modes,WTTEmissions_2DS,$C6-2010+2,FALSE))</f>
        <v>#N/A</v>
      </c>
      <c r="E11" s="70" t="e">
        <f>IF(Calculations!$C$5&lt;&gt;"Homogeneous",NA(),VLOOKUP(modes,WTTEmissions_2DS,E6-2010+2,FALSE)/VLOOKUP(modes,WTTEmissions_2DS,$C6-2010+2,FALSE))</f>
        <v>#N/A</v>
      </c>
      <c r="F11" s="70" t="e">
        <f>IF(Calculations!$C$5&lt;&gt;"Homogeneous",NA(),VLOOKUP(modes,WTTEmissions_2DS,F6-2010+2,FALSE)/VLOOKUP(modes,WTTEmissions_2DS,$C6-2010+2,FALSE))</f>
        <v>#N/A</v>
      </c>
      <c r="G11" s="70" t="e">
        <f>IF(Calculations!$C$5&lt;&gt;"Homogeneous",NA(),VLOOKUP(modes,WTTEmissions_2DS,G6-2010+2,FALSE)/VLOOKUP(modes,WTTEmissions_2DS,$C6-2010+2,FALSE))</f>
        <v>#N/A</v>
      </c>
      <c r="H11" s="70"/>
      <c r="I11" s="70"/>
      <c r="J11" s="73" t="s">
        <v>46</v>
      </c>
    </row>
    <row r="12" spans="2:12" ht="16.5" customHeight="1" x14ac:dyDescent="0.2">
      <c r="B12" s="64" t="s">
        <v>159</v>
      </c>
      <c r="C12" s="70" t="e">
        <f>IF(Calculations!$C$5&lt;&gt;"Homogeneous",NA(),VLOOKUP(modes,TTWEmissions_2DS,C6-2010+2,FALSE)/VLOOKUP(modes,TTWEmissions_2DS,$C6-2010+2,FALSE))</f>
        <v>#N/A</v>
      </c>
      <c r="D12" s="70" t="e">
        <f>IF(Calculations!$C$5&lt;&gt;"Homogeneous",NA(),VLOOKUP(modes,TTWEmissions_2DS,D6-2010+2,FALSE)/VLOOKUP(modes,TTWEmissions_2DS,$C6-2010+2,FALSE))</f>
        <v>#N/A</v>
      </c>
      <c r="E12" s="70" t="e">
        <f>IF(Calculations!$C$5&lt;&gt;"Homogeneous",NA(),VLOOKUP(modes,TTWEmissions_2DS,E6-2010+2,FALSE)/VLOOKUP(modes,TTWEmissions_2DS,$C6-2010+2,FALSE))</f>
        <v>#N/A</v>
      </c>
      <c r="F12" s="70" t="e">
        <f>IF(Calculations!$C$5&lt;&gt;"Homogeneous",NA(),VLOOKUP(modes,TTWEmissions_2DS,F6-2010+2,FALSE)/VLOOKUP(modes,TTWEmissions_2DS,$C6-2010+2,FALSE))</f>
        <v>#N/A</v>
      </c>
      <c r="G12" s="70" t="e">
        <f>IF(Calculations!$C$5&lt;&gt;"Homogeneous",NA(),VLOOKUP(modes,TTWEmissions_2DS,G6-2010+2,FALSE)/VLOOKUP(modes,TTWEmissions_2DS,$C6-2010+2,FALSE))</f>
        <v>#N/A</v>
      </c>
      <c r="H12" s="70"/>
      <c r="I12" s="70"/>
      <c r="J12" s="73" t="s">
        <v>46</v>
      </c>
    </row>
    <row r="13" spans="2:12" ht="16.5" customHeight="1" x14ac:dyDescent="0.2">
      <c r="B13" s="64" t="s">
        <v>99</v>
      </c>
      <c r="C13" s="70"/>
      <c r="D13" s="70"/>
      <c r="E13" s="70"/>
      <c r="F13" s="70"/>
      <c r="G13" s="70"/>
      <c r="H13" s="70"/>
      <c r="I13" s="70" t="e">
        <f>IF(ISNUMBER(FIND("New",modes)),NA(),wtwabs_2DS)</f>
        <v>#N/A</v>
      </c>
      <c r="J13" s="73" t="s">
        <v>46</v>
      </c>
    </row>
    <row r="14" spans="2:12" ht="16.5" customHeight="1" x14ac:dyDescent="0.2">
      <c r="B14" s="64"/>
      <c r="C14" s="70"/>
      <c r="D14" s="70"/>
      <c r="E14" s="70"/>
      <c r="F14" s="70"/>
      <c r="G14" s="70"/>
      <c r="H14" s="70"/>
      <c r="I14" s="70"/>
      <c r="J14" s="73"/>
    </row>
    <row r="15" spans="2:12" ht="16.5" customHeight="1" x14ac:dyDescent="0.2">
      <c r="B15" s="65" t="e">
        <f>IF(Calculations!C5="Heterogeneous","Graph not available for this sector",IF(transport_type="Emissions from new vehicles",CONCATENATE(modes," | (2DS)",),CONCATENATE(modes," | Carbon intensity (2DS)")))</f>
        <v>#N/A</v>
      </c>
      <c r="C15" s="70"/>
      <c r="D15" s="70"/>
      <c r="E15" s="70"/>
      <c r="F15" s="70"/>
      <c r="G15" s="70"/>
      <c r="H15" s="70"/>
      <c r="I15" s="70"/>
      <c r="J15" s="73"/>
    </row>
    <row r="16" spans="2:12" ht="16.5" customHeight="1" x14ac:dyDescent="0.2">
      <c r="B16" s="64"/>
      <c r="C16" s="66">
        <f>+by</f>
        <v>0</v>
      </c>
      <c r="D16" s="66">
        <v>2020</v>
      </c>
      <c r="E16" s="66">
        <v>2030</v>
      </c>
      <c r="F16" s="66">
        <v>2040</v>
      </c>
      <c r="G16" s="66">
        <v>2050</v>
      </c>
      <c r="H16" s="66"/>
      <c r="I16" s="66">
        <f>+ty</f>
        <v>0</v>
      </c>
      <c r="J16" s="66" t="s">
        <v>98</v>
      </c>
    </row>
    <row r="17" spans="2:10" ht="16.5" customHeight="1" x14ac:dyDescent="0.2">
      <c r="B17" s="64" t="str">
        <f>IF(ISNUMBER(FIND("economy",modes)),"Fuel economy","Company WTW carbon intensity")</f>
        <v>Company WTW carbon intensity</v>
      </c>
      <c r="C17" s="70" t="str">
        <f>IF(transport_type="Emissions from new vehicles",Fuel_economy,Tool!E45)</f>
        <v/>
      </c>
      <c r="D17" s="70" t="e">
        <f>IF(transport_type&lt;&gt;"Emissions from new vehicles",Calculations!E24,Calculations!E96)</f>
        <v>#N/A</v>
      </c>
      <c r="E17" s="70" t="e">
        <f>IF(transport_type&lt;&gt;"Emissions from new vehicles",Calculations!F24,Calculations!F96)</f>
        <v>#N/A</v>
      </c>
      <c r="F17" s="70" t="e">
        <f>IF(transport_type&lt;&gt;"Emissions from new vehicles",Calculations!G24,Calculations!G96)</f>
        <v>#N/A</v>
      </c>
      <c r="G17" s="70" t="e">
        <f>IF(transport_type&lt;&gt;"Emissions from new vehicles",Calculations!H24,Calculations!H96)</f>
        <v>#N/A</v>
      </c>
      <c r="H17" s="70"/>
      <c r="I17" s="70"/>
      <c r="J17" s="73" t="s">
        <v>46</v>
      </c>
    </row>
    <row r="18" spans="2:10" ht="16.5" customHeight="1" x14ac:dyDescent="0.2">
      <c r="B18" s="64" t="str">
        <f>IF(ISNUMBER(FIND("economy",modes)),"","Company WTT carbon intensity")</f>
        <v>Company WTT carbon intensity</v>
      </c>
      <c r="C18" s="70" t="e">
        <f>+Tool!E47</f>
        <v>#N/A</v>
      </c>
      <c r="D18" s="70" t="e">
        <f>+Calculations!E48</f>
        <v>#N/A</v>
      </c>
      <c r="E18" s="70" t="e">
        <f>+Calculations!F48</f>
        <v>#N/A</v>
      </c>
      <c r="F18" s="70" t="e">
        <f>+Calculations!G48</f>
        <v>#N/A</v>
      </c>
      <c r="G18" s="70" t="e">
        <f>+Calculations!H48</f>
        <v>#N/A</v>
      </c>
      <c r="H18" s="70"/>
      <c r="I18" s="70"/>
      <c r="J18" s="73" t="s">
        <v>46</v>
      </c>
    </row>
    <row r="19" spans="2:10" ht="16.5" customHeight="1" x14ac:dyDescent="0.2">
      <c r="B19" s="64" t="str">
        <f>IF(ISNUMBER(FIND("economy",modes)),"","Company TTW carbon intensity")</f>
        <v>Company TTW carbon intensity</v>
      </c>
      <c r="C19" s="70" t="e">
        <f>+Tool!E49</f>
        <v>#N/A</v>
      </c>
      <c r="D19" s="70" t="e">
        <f>+Calculations!E72</f>
        <v>#N/A</v>
      </c>
      <c r="E19" s="70" t="e">
        <f>+Calculations!F72</f>
        <v>#N/A</v>
      </c>
      <c r="F19" s="70" t="e">
        <f>+Calculations!G72</f>
        <v>#N/A</v>
      </c>
      <c r="G19" s="70" t="e">
        <f>+Calculations!H72</f>
        <v>#N/A</v>
      </c>
      <c r="H19" s="70"/>
      <c r="I19" s="70"/>
      <c r="J19" s="73" t="s">
        <v>46</v>
      </c>
    </row>
    <row r="20" spans="2:10" ht="16.5" customHeight="1" x14ac:dyDescent="0.2">
      <c r="B20" s="64" t="str">
        <f>IF(ISNUMBER(FIND("economy",modes)),"Sector fuel economy","Sector WTW carbon intensity")</f>
        <v>Sector WTW carbon intensity</v>
      </c>
      <c r="C20" s="71" t="e">
        <f>IF(ISNUMBER(FIND("economy",modes)),+VLOOKUP(modes,TTWIntensity_2DS,C16-2010+2,FALSE),VLOOKUP(modes,WTWIntensity_2DS,C16-2010+2,FALSE))</f>
        <v>#N/A</v>
      </c>
      <c r="D20" s="71" t="e">
        <f>IF(ISNUMBER(FIND("economy",modes)),+VLOOKUP(modes,TTWIntensity_2DS,D16-2010+2,FALSE),VLOOKUP(modes,WTWIntensity_2DS,D16-2010+2,FALSE))</f>
        <v>#N/A</v>
      </c>
      <c r="E20" s="71" t="e">
        <f>IF(ISNUMBER(FIND("economy",modes)),+VLOOKUP(modes,TTWIntensity_2DS,E16-2010+2,FALSE),VLOOKUP(modes,WTWIntensity_2DS,E16-2010+2,FALSE))</f>
        <v>#N/A</v>
      </c>
      <c r="F20" s="71" t="e">
        <f>IF(ISNUMBER(FIND("economy",modes)),+VLOOKUP(modes,TTWIntensity_2DS,F16-2010+2,FALSE),VLOOKUP(modes,WTWIntensity_2DS,F16-2010+2,FALSE))</f>
        <v>#N/A</v>
      </c>
      <c r="G20" s="71" t="e">
        <f>IF(ISNUMBER(FIND("economy",modes)),+VLOOKUP(modes,TTWIntensity_2DS,G16-2010+2,FALSE),VLOOKUP(modes,WTWIntensity_2DS,G16-2010+2,FALSE))</f>
        <v>#N/A</v>
      </c>
      <c r="H20" s="71"/>
      <c r="I20" s="70"/>
      <c r="J20" s="73" t="s">
        <v>46</v>
      </c>
    </row>
    <row r="21" spans="2:10" ht="16.5" customHeight="1" x14ac:dyDescent="0.2">
      <c r="B21" s="64" t="str">
        <f>IF(ISNUMBER(FIND("economy",modes)),"","Sector WTT carbon intensity")</f>
        <v>Sector WTT carbon intensity</v>
      </c>
      <c r="C21" s="71" t="e">
        <f>IF(ISNUMBER(FIND("economy",modes)),"",VLOOKUP(modes,WTTIntensity_2DS,C16-2010+2,FALSE))</f>
        <v>#N/A</v>
      </c>
      <c r="D21" s="71" t="e">
        <f>IF(ISNUMBER(FIND("economy",modes)),"",VLOOKUP(modes,WTTIntensity_2DS,D16-2010+2,FALSE))</f>
        <v>#N/A</v>
      </c>
      <c r="E21" s="71" t="e">
        <f>IF(ISNUMBER(FIND("economy",modes)),"",VLOOKUP(modes,WTTIntensity_2DS,E16-2010+2,FALSE))</f>
        <v>#N/A</v>
      </c>
      <c r="F21" s="71" t="e">
        <f>IF(ISNUMBER(FIND("economy",modes)),"",VLOOKUP(modes,WTTIntensity_2DS,F16-2010+2,FALSE))</f>
        <v>#N/A</v>
      </c>
      <c r="G21" s="71" t="e">
        <f>IF(ISNUMBER(FIND("economy",modes)),"",VLOOKUP(modes,WTTIntensity_2DS,G16-2010+2,FALSE))</f>
        <v>#N/A</v>
      </c>
      <c r="H21" s="71"/>
      <c r="I21" s="72"/>
      <c r="J21" s="73" t="s">
        <v>46</v>
      </c>
    </row>
    <row r="22" spans="2:10" ht="16.5" customHeight="1" x14ac:dyDescent="0.2">
      <c r="B22" s="64" t="str">
        <f>IF(ISNUMBER(FIND("economy",modes)),"","Sector TTW carbon intensity")</f>
        <v>Sector TTW carbon intensity</v>
      </c>
      <c r="C22" s="71" t="e">
        <f>IF(ISNUMBER(FIND("economy",modes)),"",VLOOKUP(modes,TTWIntensity_2DS,C16-2010+2,FALSE))</f>
        <v>#N/A</v>
      </c>
      <c r="D22" s="71" t="e">
        <f>IF(ISNUMBER(FIND("economy",modes)),"",VLOOKUP(modes,TTWIntensity_2DS,D16-2010+2,FALSE))</f>
        <v>#N/A</v>
      </c>
      <c r="E22" s="71" t="e">
        <f>IF(ISNUMBER(FIND("economy",modes)),"",VLOOKUP(modes,TTWIntensity_2DS,E16-2010+2,FALSE))</f>
        <v>#N/A</v>
      </c>
      <c r="F22" s="71" t="e">
        <f>IF(ISNUMBER(FIND("economy",modes)),"",VLOOKUP(modes,TTWIntensity_2DS,F16-2010+2,FALSE))</f>
        <v>#N/A</v>
      </c>
      <c r="G22" s="71" t="e">
        <f>IF(ISNUMBER(FIND("economy",modes)),"",VLOOKUP(modes,TTWIntensity_2DS,G16-2010+2,FALSE))</f>
        <v>#N/A</v>
      </c>
      <c r="H22" s="71"/>
      <c r="I22" s="72"/>
      <c r="J22" s="73" t="s">
        <v>46</v>
      </c>
    </row>
    <row r="23" spans="2:10" ht="16.5" customHeight="1" x14ac:dyDescent="0.2">
      <c r="B23" s="64" t="str">
        <f>IF(ISNUMBER(FIND("economy",modes)),"Target year fuel economy","Target year carbon intensity")</f>
        <v>Target year carbon intensity</v>
      </c>
      <c r="C23" s="70"/>
      <c r="D23" s="70"/>
      <c r="E23" s="70"/>
      <c r="F23" s="70"/>
      <c r="G23" s="70"/>
      <c r="H23" s="70"/>
      <c r="I23" s="70" t="e">
        <f>IF(Calculations!$C$5&lt;&gt;"Homogeneous",NA(),wtwint_2DS)</f>
        <v>#N/A</v>
      </c>
      <c r="J23" s="73" t="s">
        <v>46</v>
      </c>
    </row>
    <row r="24" spans="2:10" ht="16.5" customHeight="1" x14ac:dyDescent="0.2">
      <c r="B24" s="64"/>
      <c r="C24" s="70"/>
      <c r="D24" s="70"/>
      <c r="E24" s="70"/>
      <c r="F24" s="70"/>
      <c r="G24" s="70"/>
      <c r="H24" s="70"/>
      <c r="I24" s="70"/>
      <c r="J24" s="73"/>
    </row>
    <row r="25" spans="2:10" ht="16.5" customHeight="1" x14ac:dyDescent="0.2">
      <c r="B25" s="65" t="e">
        <f>IF(Calculations!$C$5&lt;&gt;"Homogeneous","Graph not available for this sector",CONCATENATE(modes," | Absolute emissions (B2DS)",))</f>
        <v>#N/A</v>
      </c>
      <c r="C25" s="72"/>
      <c r="D25" s="72"/>
      <c r="E25" s="72"/>
      <c r="F25" s="72"/>
      <c r="G25" s="72"/>
      <c r="H25" s="72"/>
      <c r="I25" s="72"/>
    </row>
    <row r="26" spans="2:10" ht="16.5" customHeight="1" x14ac:dyDescent="0.2">
      <c r="C26" s="66">
        <f>+by</f>
        <v>0</v>
      </c>
      <c r="D26" s="66"/>
      <c r="E26" s="66">
        <v>2030</v>
      </c>
      <c r="F26" s="66">
        <v>2040</v>
      </c>
      <c r="G26" s="66">
        <v>2050</v>
      </c>
      <c r="H26" s="66"/>
      <c r="I26" s="66">
        <f>+ty</f>
        <v>0</v>
      </c>
      <c r="J26" s="66" t="s">
        <v>98</v>
      </c>
    </row>
    <row r="27" spans="2:10" ht="16.5" customHeight="1" x14ac:dyDescent="0.2">
      <c r="B27" s="64" t="s">
        <v>148</v>
      </c>
      <c r="C27" s="70" t="e">
        <f>IF(Calculations!$C$5&lt;&gt;"Homogeneous",NA(),wtw_by)</f>
        <v>#N/A</v>
      </c>
      <c r="D27" s="70"/>
      <c r="E27" s="70" t="e">
        <f>IF(Calculations!$C$5&lt;&gt;"Homogeneous",NA(),Calculations!F31)</f>
        <v>#N/A</v>
      </c>
      <c r="F27" s="70" t="e">
        <f>IF(Calculations!$C$5&lt;&gt;"Homogeneous",NA(),Calculations!G31)</f>
        <v>#N/A</v>
      </c>
      <c r="G27" s="70" t="e">
        <f>IF(Calculations!$C$5&lt;&gt;"Homogeneous",NA(),Calculations!H31)</f>
        <v>#N/A</v>
      </c>
      <c r="H27" s="70"/>
      <c r="I27" s="70"/>
      <c r="J27" s="73" t="s">
        <v>47</v>
      </c>
    </row>
    <row r="28" spans="2:10" ht="16.5" customHeight="1" x14ac:dyDescent="0.2">
      <c r="B28" s="64" t="s">
        <v>162</v>
      </c>
      <c r="C28" s="70" t="e">
        <f>IF(Calculations!$C$5&lt;&gt;"Homogeneous",NA(),wtt_by)</f>
        <v>#N/A</v>
      </c>
      <c r="D28" s="70"/>
      <c r="E28" s="70" t="e">
        <f>IF(Calculations!$C$5&lt;&gt;"Homogeneous",NA(),Calculations!F55)</f>
        <v>#N/A</v>
      </c>
      <c r="F28" s="70" t="e">
        <f>IF(Calculations!$C$5&lt;&gt;"Homogeneous",NA(),Calculations!G55)</f>
        <v>#N/A</v>
      </c>
      <c r="G28" s="70" t="e">
        <f>IF(Calculations!$C$5&lt;&gt;"Homogeneous",NA(),Calculations!H55)</f>
        <v>#N/A</v>
      </c>
      <c r="H28" s="70"/>
      <c r="I28" s="70"/>
      <c r="J28" s="73" t="s">
        <v>47</v>
      </c>
    </row>
    <row r="29" spans="2:10" ht="16.5" customHeight="1" x14ac:dyDescent="0.2">
      <c r="B29" s="64" t="s">
        <v>163</v>
      </c>
      <c r="C29" s="70" t="e">
        <f>IF(Calculations!$C$5&lt;&gt;"Homogeneous",NA(),ttw_by)</f>
        <v>#N/A</v>
      </c>
      <c r="D29" s="70"/>
      <c r="E29" s="70" t="e">
        <f>IF(Calculations!$C$5&lt;&gt;"Homogeneous",NA(),Calculations!F79)</f>
        <v>#N/A</v>
      </c>
      <c r="F29" s="70" t="e">
        <f>IF(Calculations!$C$5&lt;&gt;"Homogeneous",NA(),Calculations!G79)</f>
        <v>#N/A</v>
      </c>
      <c r="G29" s="70" t="e">
        <f>IF(Calculations!$C$5&lt;&gt;"Homogeneous",NA(),Calculations!H79)</f>
        <v>#N/A</v>
      </c>
      <c r="H29" s="70"/>
      <c r="I29" s="70"/>
      <c r="J29" s="73" t="s">
        <v>47</v>
      </c>
    </row>
    <row r="30" spans="2:10" ht="16.5" customHeight="1" x14ac:dyDescent="0.2">
      <c r="B30" s="64" t="s">
        <v>89</v>
      </c>
      <c r="C30" s="71" t="e">
        <f>IF(Calculations!$C$5&lt;&gt;"Homogeneous",NA(),+VLOOKUP(modes,WTWEmissions_B2DS,C26-2010+2,FALSE)/VLOOKUP(modes,WTWEmissions_B2DS,$C26-2010+2,FALSE))</f>
        <v>#N/A</v>
      </c>
      <c r="D30" s="71"/>
      <c r="E30" s="71" t="e">
        <f>IF(Calculations!$C$5&lt;&gt;"Homogeneous",NA(),+VLOOKUP(modes,WTWEmissions_B2DS,E26-2010+2,FALSE)/VLOOKUP(modes,WTWEmissions_B2DS,$C26-2010+2,FALSE))</f>
        <v>#N/A</v>
      </c>
      <c r="F30" s="71" t="e">
        <f>IF(Calculations!$C$5&lt;&gt;"Homogeneous",NA(),+VLOOKUP(modes,WTWEmissions_B2DS,F26-2010+2,FALSE)/VLOOKUP(modes,WTWEmissions_B2DS,$C26-2010+2,FALSE))</f>
        <v>#N/A</v>
      </c>
      <c r="G30" s="71" t="e">
        <f>IF(Calculations!$C$5&lt;&gt;"Homogeneous",NA(),+VLOOKUP(modes,WTWEmissions_B2DS,G26-2010+2,FALSE)/VLOOKUP(modes,WTWEmissions_B2DS,$C26-2010+2,FALSE))</f>
        <v>#N/A</v>
      </c>
      <c r="H30" s="71"/>
      <c r="I30" s="70"/>
      <c r="J30" s="73" t="s">
        <v>47</v>
      </c>
    </row>
    <row r="31" spans="2:10" ht="16.5" customHeight="1" x14ac:dyDescent="0.2">
      <c r="B31" s="64" t="s">
        <v>97</v>
      </c>
      <c r="C31" s="70" t="e">
        <f>IF(Calculations!$C$5&lt;&gt;"Homogeneous",NA(),VLOOKUP(modes,WTTEmissions_B2DS,C26-2010+2,FALSE)/VLOOKUP(modes,WTTEmissions_B2DS,$C26-2010+2,FALSE))</f>
        <v>#N/A</v>
      </c>
      <c r="D31" s="70"/>
      <c r="E31" s="70" t="e">
        <f>IF(Calculations!$C$5&lt;&gt;"Homogeneous",NA(),VLOOKUP(modes,WTTEmissions_B2DS,E26-2010+2,FALSE)/VLOOKUP(modes,WTTEmissions_B2DS,$C26-2010+2,FALSE))</f>
        <v>#N/A</v>
      </c>
      <c r="F31" s="70" t="e">
        <f>IF(Calculations!$C$5&lt;&gt;"Homogeneous",NA(),VLOOKUP(modes,WTTEmissions_B2DS,F26-2010+2,FALSE)/VLOOKUP(modes,WTTEmissions_B2DS,$C26-2010+2,FALSE))</f>
        <v>#N/A</v>
      </c>
      <c r="G31" s="70" t="e">
        <f>IF(Calculations!$C$5&lt;&gt;"Homogeneous",NA(),VLOOKUP(modes,WTTEmissions_B2DS,G26-2010+2,FALSE)/VLOOKUP(modes,WTTEmissions_B2DS,$C26-2010+2,FALSE))</f>
        <v>#N/A</v>
      </c>
      <c r="H31" s="70"/>
      <c r="I31" s="70"/>
      <c r="J31" s="73" t="s">
        <v>47</v>
      </c>
    </row>
    <row r="32" spans="2:10" ht="16.5" customHeight="1" x14ac:dyDescent="0.2">
      <c r="B32" s="64" t="s">
        <v>159</v>
      </c>
      <c r="C32" s="70" t="e">
        <f>IF(Calculations!$C$5&lt;&gt;"Homogeneous",NA(),VLOOKUP(modes,TTWEmissions_B2DS,C26-2010+2,FALSE)/VLOOKUP(modes,TTWEmissions_B2DS,$C26-2010+2,FALSE))</f>
        <v>#N/A</v>
      </c>
      <c r="D32" s="70"/>
      <c r="E32" s="70" t="e">
        <f>IF(Calculations!$C$5&lt;&gt;"Homogeneous",NA(),VLOOKUP(modes,TTWEmissions_B2DS,E26-2010+2,FALSE)/VLOOKUP(modes,TTWEmissions_B2DS,$C26-2010+2,FALSE))</f>
        <v>#N/A</v>
      </c>
      <c r="F32" s="70" t="e">
        <f>IF(Calculations!$C$5&lt;&gt;"Homogeneous",NA(),VLOOKUP(modes,TTWEmissions_B2DS,F26-2010+2,FALSE)/VLOOKUP(modes,TTWEmissions_B2DS,$C26-2010+2,FALSE))</f>
        <v>#N/A</v>
      </c>
      <c r="G32" s="70" t="e">
        <f>IF(Calculations!$C$5&lt;&gt;"Homogeneous",NA(),VLOOKUP(modes,TTWEmissions_B2DS,G26-2010+2,FALSE)/VLOOKUP(modes,TTWEmissions_B2DS,$C26-2010+2,FALSE))</f>
        <v>#N/A</v>
      </c>
      <c r="H32" s="70"/>
      <c r="I32" s="70"/>
      <c r="J32" s="73" t="s">
        <v>47</v>
      </c>
    </row>
    <row r="33" spans="2:10" ht="16.5" customHeight="1" x14ac:dyDescent="0.2">
      <c r="B33" s="64" t="s">
        <v>99</v>
      </c>
      <c r="C33" s="70"/>
      <c r="D33" s="70"/>
      <c r="E33" s="70"/>
      <c r="F33" s="70"/>
      <c r="G33" s="70"/>
      <c r="H33" s="70"/>
      <c r="I33" s="70" t="e">
        <f>IF(ISNUMBER(FIND("New",modes)),NA(),wtwabs_B2DS)</f>
        <v>#N/A</v>
      </c>
      <c r="J33" s="73" t="s">
        <v>47</v>
      </c>
    </row>
    <row r="34" spans="2:10" ht="16.5" customHeight="1" x14ac:dyDescent="0.2">
      <c r="B34" s="64"/>
      <c r="C34" s="70"/>
      <c r="D34" s="70"/>
      <c r="E34" s="70"/>
      <c r="F34" s="70"/>
      <c r="G34" s="70"/>
      <c r="H34" s="70"/>
      <c r="I34" s="70"/>
    </row>
    <row r="35" spans="2:10" ht="16.5" customHeight="1" x14ac:dyDescent="0.2">
      <c r="B35" s="65" t="e">
        <f>IF(Calculations!C5="Heterogeneous","Graph not available for this sector",IF(transport_type="Emissions from new vehicles",CONCATENATE(modes," | (B2DS)",),CONCATENATE(modes," | Carbon intensity (B2DS)")))</f>
        <v>#N/A</v>
      </c>
      <c r="C35" s="69"/>
      <c r="D35" s="69"/>
      <c r="E35" s="69"/>
      <c r="F35" s="69"/>
      <c r="G35" s="69"/>
      <c r="H35" s="69"/>
      <c r="I35" s="69"/>
      <c r="J35" s="73"/>
    </row>
    <row r="36" spans="2:10" ht="16.5" customHeight="1" x14ac:dyDescent="0.2">
      <c r="C36" s="66">
        <f>+by</f>
        <v>0</v>
      </c>
      <c r="D36" s="66"/>
      <c r="E36" s="66">
        <v>2030</v>
      </c>
      <c r="F36" s="66">
        <v>2040</v>
      </c>
      <c r="G36" s="66">
        <v>2050</v>
      </c>
      <c r="H36" s="66"/>
      <c r="I36" s="66">
        <f>+ty</f>
        <v>0</v>
      </c>
      <c r="J36" s="66" t="s">
        <v>98</v>
      </c>
    </row>
    <row r="37" spans="2:10" ht="16.5" customHeight="1" x14ac:dyDescent="0.2">
      <c r="B37" s="64" t="str">
        <f>IF(ISNUMBER(FIND("economy",modes)),"Fuel economy","Company WTW carbon intensity")</f>
        <v>Company WTW carbon intensity</v>
      </c>
      <c r="C37" s="70" t="str">
        <f>IF(transport_type="Emissions from new vehicles",Fuel_economy,Tool!E63)</f>
        <v/>
      </c>
      <c r="D37" s="70"/>
      <c r="E37" s="70" t="e">
        <f>IF(transport_type&lt;&gt;"Emissions from new vehicles",Calculations!F36,Calculations!F108)</f>
        <v>#N/A</v>
      </c>
      <c r="F37" s="70" t="e">
        <f>IF(transport_type&lt;&gt;"Emissions from new vehicles",Calculations!G36,Calculations!G108)</f>
        <v>#N/A</v>
      </c>
      <c r="G37" s="70" t="e">
        <f>IF(transport_type&lt;&gt;"Emissions from new vehicles",Calculations!H36,Calculations!H108)</f>
        <v>#N/A</v>
      </c>
      <c r="H37" s="70"/>
      <c r="I37" s="70"/>
      <c r="J37" s="73" t="s">
        <v>47</v>
      </c>
    </row>
    <row r="38" spans="2:10" ht="16.5" customHeight="1" x14ac:dyDescent="0.2">
      <c r="B38" s="64" t="str">
        <f>IF(ISNUMBER(FIND("economy",modes)),"","Company WTT carbon intensity")</f>
        <v>Company WTT carbon intensity</v>
      </c>
      <c r="C38" s="70" t="e">
        <f>+Tool!E65</f>
        <v>#N/A</v>
      </c>
      <c r="D38" s="70"/>
      <c r="E38" s="70" t="e">
        <f>+Calculations!F60</f>
        <v>#N/A</v>
      </c>
      <c r="F38" s="70" t="e">
        <f>+Calculations!G60</f>
        <v>#N/A</v>
      </c>
      <c r="G38" s="70" t="e">
        <f>+Calculations!H60</f>
        <v>#N/A</v>
      </c>
      <c r="H38" s="70"/>
      <c r="I38" s="70"/>
      <c r="J38" s="73" t="s">
        <v>47</v>
      </c>
    </row>
    <row r="39" spans="2:10" ht="16.5" customHeight="1" x14ac:dyDescent="0.2">
      <c r="B39" s="64" t="str">
        <f>IF(ISNUMBER(FIND("economy",modes)),"","Company TTW carbon intensity")</f>
        <v>Company TTW carbon intensity</v>
      </c>
      <c r="C39" s="70" t="e">
        <f>+Tool!E67</f>
        <v>#N/A</v>
      </c>
      <c r="D39" s="70"/>
      <c r="E39" s="70" t="e">
        <f>+Calculations!F84</f>
        <v>#N/A</v>
      </c>
      <c r="F39" s="70" t="e">
        <f>+Calculations!G84</f>
        <v>#N/A</v>
      </c>
      <c r="G39" s="70" t="e">
        <f>+Calculations!H84</f>
        <v>#N/A</v>
      </c>
      <c r="H39" s="70"/>
      <c r="I39" s="70"/>
      <c r="J39" s="73" t="s">
        <v>47</v>
      </c>
    </row>
    <row r="40" spans="2:10" ht="16.5" customHeight="1" x14ac:dyDescent="0.2">
      <c r="B40" s="64" t="str">
        <f>IF(ISNUMBER(FIND("economy",modes)),"Sector fuel economy","Sector WTW carbon intensity")</f>
        <v>Sector WTW carbon intensity</v>
      </c>
      <c r="C40" s="71" t="e">
        <f>IF(ISNUMBER(FIND("economy",modes)),+VLOOKUP(modes,TTWIntensity_B2DS,C36-2010+2,FALSE),VLOOKUP(modes,WTWIntensity_B2DS,C36-2010+2,FALSE))</f>
        <v>#N/A</v>
      </c>
      <c r="D40" s="71"/>
      <c r="E40" s="71" t="e">
        <f>IF(ISNUMBER(FIND("economy",modes)),+VLOOKUP(modes,TTWIntensity_B2DS,E36-2010+2,FALSE),VLOOKUP(modes,WTWIntensity_B2DS,E36-2010+2,FALSE))</f>
        <v>#N/A</v>
      </c>
      <c r="F40" s="71" t="e">
        <f>IF(ISNUMBER(FIND("economy",modes)),+VLOOKUP(modes,TTWIntensity_B2DS,F36-2010+2,FALSE),VLOOKUP(modes,WTWIntensity_B2DS,F36-2010+2,FALSE))</f>
        <v>#N/A</v>
      </c>
      <c r="G40" s="71" t="e">
        <f>IF(ISNUMBER(FIND("economy",modes)),+VLOOKUP(modes,TTWIntensity_B2DS,G36-2010+2,FALSE),VLOOKUP(modes,WTWIntensity_B2DS,G36-2010+2,FALSE))</f>
        <v>#N/A</v>
      </c>
      <c r="H40" s="71"/>
      <c r="I40" s="70"/>
      <c r="J40" s="73" t="s">
        <v>47</v>
      </c>
    </row>
    <row r="41" spans="2:10" ht="16.5" customHeight="1" x14ac:dyDescent="0.2">
      <c r="B41" s="64" t="str">
        <f>IF(ISNUMBER(FIND("economy",modes)),"","Sector WTT carbon intensity")</f>
        <v>Sector WTT carbon intensity</v>
      </c>
      <c r="C41" s="71" t="e">
        <f>IF(ISNUMBER(FIND("economy",modes)),"",VLOOKUP(modes,WTTIntensity_B2DS,C36-2010+2,FALSE))</f>
        <v>#N/A</v>
      </c>
      <c r="D41" s="71"/>
      <c r="E41" s="71" t="e">
        <f>IF(ISNUMBER(FIND("economy",modes)),"",VLOOKUP(modes,WTTIntensity_B2DS,E36-2010+2,FALSE))</f>
        <v>#N/A</v>
      </c>
      <c r="F41" s="71" t="e">
        <f>IF(ISNUMBER(FIND("economy",modes)),"",VLOOKUP(modes,WTTIntensity_B2DS,F36-2010+2,FALSE))</f>
        <v>#N/A</v>
      </c>
      <c r="G41" s="71" t="e">
        <f>IF(ISNUMBER(FIND("economy",modes)),"",VLOOKUP(modes,WTTIntensity_B2DS,G36-2010+2,FALSE))</f>
        <v>#N/A</v>
      </c>
      <c r="H41" s="71"/>
      <c r="I41" s="72"/>
      <c r="J41" s="73" t="s">
        <v>47</v>
      </c>
    </row>
    <row r="42" spans="2:10" ht="16.5" customHeight="1" x14ac:dyDescent="0.2">
      <c r="B42" s="64" t="str">
        <f>IF(ISNUMBER(FIND("economy",modes)),"","Sector TTW carbon intensity")</f>
        <v>Sector TTW carbon intensity</v>
      </c>
      <c r="C42" s="71" t="e">
        <f>IF(ISNUMBER(FIND("economy",modes)),"",VLOOKUP(modes,TTWIntensity_B2DS,C36-2010+2,FALSE))</f>
        <v>#N/A</v>
      </c>
      <c r="D42" s="71"/>
      <c r="E42" s="71" t="e">
        <f>IF(ISNUMBER(FIND("economy",modes)),"",VLOOKUP(modes,TTWIntensity_B2DS,E36-2010+2,FALSE))</f>
        <v>#N/A</v>
      </c>
      <c r="F42" s="71" t="e">
        <f>IF(ISNUMBER(FIND("economy",modes)),"",VLOOKUP(modes,TTWIntensity_B2DS,F36-2010+2,FALSE))</f>
        <v>#N/A</v>
      </c>
      <c r="G42" s="71" t="e">
        <f>IF(ISNUMBER(FIND("economy",modes)),"",VLOOKUP(modes,TTWIntensity_B2DS,G36-2010+2,FALSE))</f>
        <v>#N/A</v>
      </c>
      <c r="H42" s="71"/>
      <c r="I42" s="72"/>
      <c r="J42" s="73" t="s">
        <v>47</v>
      </c>
    </row>
    <row r="43" spans="2:10" ht="16.5" customHeight="1" x14ac:dyDescent="0.2">
      <c r="B43" s="64" t="str">
        <f>IF(ISNUMBER(FIND("economy",modes)),"Target year fuel economy","Target year carbon intensity")</f>
        <v>Target year carbon intensity</v>
      </c>
      <c r="C43" s="70"/>
      <c r="D43" s="70"/>
      <c r="E43" s="70"/>
      <c r="F43" s="70"/>
      <c r="G43" s="70"/>
      <c r="H43" s="70"/>
      <c r="I43" s="70" t="e">
        <f>IF(Calculations!$C$5&lt;&gt;"Homogeneous",NA(),wtwint_B2DS)</f>
        <v>#N/A</v>
      </c>
      <c r="J43" s="73" t="s">
        <v>47</v>
      </c>
    </row>
    <row r="44" spans="2:10" ht="16.5" customHeight="1" x14ac:dyDescent="0.2">
      <c r="C44" s="69"/>
      <c r="D44" s="69"/>
      <c r="E44" s="69"/>
      <c r="F44" s="69"/>
      <c r="G44" s="69"/>
      <c r="H44" s="69"/>
      <c r="I44" s="6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P32"/>
  <sheetViews>
    <sheetView workbookViewId="0">
      <selection activeCell="I33" sqref="I33"/>
    </sheetView>
  </sheetViews>
  <sheetFormatPr defaultColWidth="11.42578125" defaultRowHeight="15" x14ac:dyDescent="0.25"/>
  <cols>
    <col min="1" max="1" width="5" customWidth="1"/>
    <col min="9" max="9" width="22.42578125" bestFit="1" customWidth="1"/>
    <col min="11" max="11" width="14.140625" bestFit="1" customWidth="1"/>
  </cols>
  <sheetData>
    <row r="1" spans="2:16" ht="21" thickBot="1" x14ac:dyDescent="0.3">
      <c r="B1" s="23" t="s">
        <v>90</v>
      </c>
      <c r="C1" s="63"/>
      <c r="D1" s="63"/>
      <c r="E1" s="63"/>
      <c r="F1" s="63"/>
      <c r="G1" s="63"/>
      <c r="H1" s="63"/>
      <c r="I1" s="63"/>
    </row>
    <row r="3" spans="2:16" x14ac:dyDescent="0.25">
      <c r="I3" s="59" t="s">
        <v>86</v>
      </c>
      <c r="J3" s="59" t="s">
        <v>87</v>
      </c>
      <c r="K3" s="59" t="s">
        <v>88</v>
      </c>
      <c r="L3" s="2"/>
      <c r="M3" s="2"/>
      <c r="P3" s="59" t="s">
        <v>161</v>
      </c>
    </row>
    <row r="4" spans="2:16" x14ac:dyDescent="0.25">
      <c r="I4" s="2" t="s">
        <v>2</v>
      </c>
      <c r="J4" s="2" t="s">
        <v>75</v>
      </c>
      <c r="K4" s="2"/>
      <c r="L4" s="2"/>
      <c r="M4" s="2"/>
      <c r="O4" s="120" t="s">
        <v>126</v>
      </c>
      <c r="P4" t="s">
        <v>158</v>
      </c>
    </row>
    <row r="5" spans="2:16" x14ac:dyDescent="0.25">
      <c r="I5" s="2" t="s">
        <v>4</v>
      </c>
      <c r="J5" s="2" t="s">
        <v>75</v>
      </c>
      <c r="K5" s="2"/>
      <c r="L5" s="2"/>
      <c r="M5" s="2"/>
      <c r="O5" s="120" t="s">
        <v>75</v>
      </c>
      <c r="P5" s="100" t="s">
        <v>110</v>
      </c>
    </row>
    <row r="6" spans="2:16" x14ac:dyDescent="0.25">
      <c r="I6" s="2" t="s">
        <v>5</v>
      </c>
      <c r="J6" s="2" t="s">
        <v>75</v>
      </c>
      <c r="K6" s="2" t="s">
        <v>122</v>
      </c>
      <c r="L6" s="2"/>
      <c r="M6" s="2"/>
      <c r="O6" s="120" t="s">
        <v>75</v>
      </c>
      <c r="P6" s="100" t="s">
        <v>111</v>
      </c>
    </row>
    <row r="7" spans="2:16" x14ac:dyDescent="0.25">
      <c r="I7" s="60" t="s">
        <v>74</v>
      </c>
      <c r="J7" s="60" t="s">
        <v>121</v>
      </c>
      <c r="K7" s="2" t="s">
        <v>125</v>
      </c>
      <c r="L7" s="2"/>
      <c r="M7" s="2"/>
      <c r="O7" s="120" t="s">
        <v>188</v>
      </c>
      <c r="P7" s="100" t="s">
        <v>112</v>
      </c>
    </row>
    <row r="8" spans="2:16" x14ac:dyDescent="0.25">
      <c r="I8" s="60" t="s">
        <v>76</v>
      </c>
      <c r="J8" s="60" t="s">
        <v>121</v>
      </c>
      <c r="K8" s="2" t="s">
        <v>125</v>
      </c>
      <c r="L8" s="2"/>
      <c r="M8" s="2"/>
      <c r="O8" s="120" t="s">
        <v>75</v>
      </c>
      <c r="P8" s="100" t="s">
        <v>113</v>
      </c>
    </row>
    <row r="9" spans="2:16" x14ac:dyDescent="0.25">
      <c r="I9" s="2" t="s">
        <v>6</v>
      </c>
      <c r="J9" s="2" t="s">
        <v>75</v>
      </c>
      <c r="K9" s="2" t="s">
        <v>123</v>
      </c>
      <c r="L9" s="2"/>
      <c r="M9" s="2"/>
      <c r="O9" s="120" t="s">
        <v>75</v>
      </c>
      <c r="P9" s="100" t="s">
        <v>114</v>
      </c>
    </row>
    <row r="10" spans="2:16" x14ac:dyDescent="0.25">
      <c r="I10" s="60" t="s">
        <v>78</v>
      </c>
      <c r="J10" s="60" t="s">
        <v>75</v>
      </c>
      <c r="K10" s="2"/>
      <c r="L10" s="2"/>
      <c r="M10" s="2"/>
      <c r="O10" s="120" t="s">
        <v>75</v>
      </c>
      <c r="P10" s="100" t="s">
        <v>115</v>
      </c>
    </row>
    <row r="11" spans="2:16" x14ac:dyDescent="0.25">
      <c r="I11" s="60" t="s">
        <v>79</v>
      </c>
      <c r="J11" s="60" t="s">
        <v>75</v>
      </c>
      <c r="K11" s="2"/>
      <c r="L11" s="2"/>
      <c r="M11" s="2"/>
      <c r="O11" s="120" t="s">
        <v>75</v>
      </c>
      <c r="P11" s="100" t="s">
        <v>116</v>
      </c>
    </row>
    <row r="12" spans="2:16" x14ac:dyDescent="0.25">
      <c r="I12" s="60" t="s">
        <v>80</v>
      </c>
      <c r="J12" s="60" t="s">
        <v>124</v>
      </c>
      <c r="K12" s="2"/>
      <c r="L12" s="2"/>
      <c r="M12" s="2"/>
      <c r="O12" s="120" t="s">
        <v>75</v>
      </c>
      <c r="P12" s="100" t="s">
        <v>117</v>
      </c>
    </row>
    <row r="13" spans="2:16" x14ac:dyDescent="0.25">
      <c r="I13" s="2" t="s">
        <v>7</v>
      </c>
      <c r="J13" s="2" t="s">
        <v>75</v>
      </c>
      <c r="K13" s="2"/>
      <c r="L13" s="2"/>
      <c r="M13" s="2"/>
      <c r="O13" s="120"/>
      <c r="P13" s="100" t="s">
        <v>118</v>
      </c>
    </row>
    <row r="14" spans="2:16" x14ac:dyDescent="0.25">
      <c r="I14" s="60" t="s">
        <v>81</v>
      </c>
      <c r="J14" s="60" t="s">
        <v>75</v>
      </c>
      <c r="K14" s="2"/>
      <c r="L14" s="2"/>
      <c r="M14" s="2"/>
      <c r="O14" s="120" t="s">
        <v>188</v>
      </c>
      <c r="P14" s="100" t="s">
        <v>119</v>
      </c>
    </row>
    <row r="15" spans="2:16" x14ac:dyDescent="0.25">
      <c r="I15" s="60" t="s">
        <v>82</v>
      </c>
      <c r="J15" s="60" t="s">
        <v>75</v>
      </c>
      <c r="K15" s="2"/>
      <c r="L15" s="2"/>
      <c r="M15" s="2"/>
      <c r="O15" s="120" t="s">
        <v>126</v>
      </c>
      <c r="P15" s="100" t="s">
        <v>120</v>
      </c>
    </row>
    <row r="16" spans="2:16" x14ac:dyDescent="0.25">
      <c r="I16" s="2" t="s">
        <v>14</v>
      </c>
      <c r="J16" s="2" t="s">
        <v>75</v>
      </c>
      <c r="K16" s="2"/>
      <c r="L16" s="2"/>
      <c r="M16" s="2"/>
    </row>
    <row r="17" spans="9:13" x14ac:dyDescent="0.25">
      <c r="I17" s="2" t="s">
        <v>66</v>
      </c>
      <c r="J17" s="2" t="s">
        <v>75</v>
      </c>
      <c r="K17" s="2" t="s">
        <v>85</v>
      </c>
      <c r="L17" s="2"/>
      <c r="M17" s="2"/>
    </row>
    <row r="18" spans="9:13" x14ac:dyDescent="0.25">
      <c r="I18" s="2"/>
      <c r="J18" s="2"/>
      <c r="K18" s="2"/>
      <c r="L18" s="2"/>
      <c r="M18" s="2"/>
    </row>
    <row r="19" spans="9:13" x14ac:dyDescent="0.25">
      <c r="I19" s="2" t="s">
        <v>8</v>
      </c>
      <c r="J19" s="2" t="s">
        <v>75</v>
      </c>
      <c r="K19" s="2"/>
      <c r="L19" s="2"/>
      <c r="M19" s="2"/>
    </row>
    <row r="20" spans="9:13" x14ac:dyDescent="0.25">
      <c r="I20" s="2" t="s">
        <v>9</v>
      </c>
      <c r="J20" s="2" t="s">
        <v>75</v>
      </c>
      <c r="K20" s="2" t="s">
        <v>77</v>
      </c>
      <c r="L20" s="2"/>
      <c r="M20" s="2"/>
    </row>
    <row r="21" spans="9:13" x14ac:dyDescent="0.25">
      <c r="I21" s="2" t="s">
        <v>10</v>
      </c>
      <c r="J21" s="2" t="s">
        <v>75</v>
      </c>
      <c r="K21" s="2" t="s">
        <v>129</v>
      </c>
      <c r="L21" s="2"/>
      <c r="M21" s="2"/>
    </row>
    <row r="22" spans="9:13" x14ac:dyDescent="0.25">
      <c r="I22" s="2" t="s">
        <v>11</v>
      </c>
      <c r="J22" s="2" t="s">
        <v>75</v>
      </c>
      <c r="K22" s="2" t="s">
        <v>128</v>
      </c>
      <c r="L22" s="2"/>
      <c r="M22" s="2"/>
    </row>
    <row r="23" spans="9:13" x14ac:dyDescent="0.25">
      <c r="I23" s="60" t="s">
        <v>83</v>
      </c>
      <c r="J23" s="60" t="s">
        <v>75</v>
      </c>
      <c r="K23" s="2"/>
      <c r="L23" s="2"/>
      <c r="M23" s="2"/>
    </row>
    <row r="24" spans="9:13" x14ac:dyDescent="0.25">
      <c r="I24" s="60" t="s">
        <v>84</v>
      </c>
      <c r="J24" s="60" t="s">
        <v>75</v>
      </c>
      <c r="K24" s="2"/>
      <c r="L24" s="2"/>
      <c r="M24" s="2"/>
    </row>
    <row r="25" spans="9:13" x14ac:dyDescent="0.25">
      <c r="I25" s="2" t="s">
        <v>12</v>
      </c>
      <c r="J25" s="2" t="s">
        <v>126</v>
      </c>
      <c r="K25" s="2"/>
      <c r="L25" s="2"/>
      <c r="M25" s="2"/>
    </row>
    <row r="26" spans="9:13" x14ac:dyDescent="0.25">
      <c r="I26" s="2" t="s">
        <v>13</v>
      </c>
      <c r="J26" s="2" t="s">
        <v>126</v>
      </c>
      <c r="K26" s="2"/>
      <c r="L26" s="2"/>
      <c r="M26" s="2"/>
    </row>
    <row r="27" spans="9:13" x14ac:dyDescent="0.25">
      <c r="I27" s="2"/>
      <c r="J27" s="2"/>
      <c r="K27" s="2"/>
      <c r="L27" s="2"/>
      <c r="M27" s="2"/>
    </row>
    <row r="28" spans="9:13" x14ac:dyDescent="0.25">
      <c r="I28" s="2" t="s">
        <v>14</v>
      </c>
      <c r="J28" s="2" t="s">
        <v>75</v>
      </c>
      <c r="K28" s="2" t="s">
        <v>75</v>
      </c>
      <c r="L28" s="2"/>
      <c r="M28" s="2"/>
    </row>
    <row r="29" spans="9:13" x14ac:dyDescent="0.25">
      <c r="I29" s="2" t="s">
        <v>94</v>
      </c>
      <c r="J29" s="60" t="s">
        <v>126</v>
      </c>
      <c r="K29" s="2" t="s">
        <v>127</v>
      </c>
      <c r="L29" s="2"/>
      <c r="M29" s="2"/>
    </row>
    <row r="30" spans="9:13" x14ac:dyDescent="0.25">
      <c r="I30" s="2"/>
      <c r="J30" s="2"/>
      <c r="K30" s="2"/>
      <c r="L30" s="2"/>
      <c r="M30" s="2"/>
    </row>
    <row r="31" spans="9:13" x14ac:dyDescent="0.25">
      <c r="I31" s="2"/>
      <c r="J31" s="2"/>
      <c r="K31" s="2"/>
      <c r="L31" s="2"/>
      <c r="M31" s="2"/>
    </row>
    <row r="32" spans="9:13" x14ac:dyDescent="0.25">
      <c r="I32" s="2"/>
      <c r="J32" s="2"/>
      <c r="K32" s="2"/>
      <c r="L32" s="2"/>
      <c r="M32" s="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1">
    <tabColor rgb="FFEFB300"/>
  </sheetPr>
  <dimension ref="B25:O56"/>
  <sheetViews>
    <sheetView showGridLines="0" zoomScale="70" zoomScaleNormal="70" workbookViewId="0">
      <selection activeCell="B55" sqref="B55"/>
    </sheetView>
  </sheetViews>
  <sheetFormatPr defaultColWidth="12.42578125" defaultRowHeight="15.75" x14ac:dyDescent="0.25"/>
  <cols>
    <col min="1" max="1" width="2.85546875" style="133" customWidth="1"/>
    <col min="2" max="9" width="12.42578125" style="133"/>
    <col min="10" max="10" width="12.5703125" style="133" customWidth="1"/>
    <col min="11" max="16384" width="12.42578125" style="133"/>
  </cols>
  <sheetData>
    <row r="25" spans="2:15" ht="30" x14ac:dyDescent="0.25">
      <c r="B25" s="151" t="str">
        <f>CONCATENATE("Sectoral Decarbonization Approach - Transport Tool, ",Tool!C6)</f>
        <v>Sectoral Decarbonization Approach - Transport Tool, Version 1.1.1</v>
      </c>
      <c r="C25" s="151"/>
      <c r="D25" s="151"/>
      <c r="E25" s="151"/>
      <c r="F25" s="151"/>
      <c r="G25" s="151"/>
      <c r="H25" s="151"/>
      <c r="I25" s="151"/>
      <c r="J25" s="151"/>
      <c r="K25" s="151"/>
      <c r="L25" s="151"/>
      <c r="M25" s="151"/>
      <c r="N25" s="151"/>
      <c r="O25" s="151"/>
    </row>
    <row r="26" spans="2:15" ht="16.5" thickBot="1" x14ac:dyDescent="0.3"/>
    <row r="27" spans="2:15" ht="15.75" customHeight="1" x14ac:dyDescent="0.25">
      <c r="B27" s="134"/>
      <c r="C27" s="134"/>
      <c r="D27" s="134"/>
      <c r="E27" s="134"/>
      <c r="F27" s="134"/>
      <c r="G27" s="134"/>
      <c r="H27" s="134"/>
      <c r="I27" s="134"/>
      <c r="J27" s="134"/>
      <c r="K27" s="134"/>
      <c r="L27" s="134"/>
      <c r="M27" s="134"/>
      <c r="N27" s="134"/>
      <c r="O27" s="134"/>
    </row>
    <row r="28" spans="2:15" ht="30" customHeight="1" x14ac:dyDescent="0.25">
      <c r="B28" s="152" t="s">
        <v>211</v>
      </c>
      <c r="C28" s="152"/>
      <c r="D28" s="152"/>
      <c r="E28" s="152"/>
      <c r="F28" s="152"/>
      <c r="G28" s="152"/>
      <c r="H28" s="152"/>
      <c r="I28" s="152"/>
      <c r="J28" s="152"/>
      <c r="K28" s="152"/>
      <c r="L28" s="152"/>
      <c r="M28" s="152"/>
      <c r="N28" s="152"/>
      <c r="O28" s="152"/>
    </row>
    <row r="29" spans="2:15" x14ac:dyDescent="0.25">
      <c r="B29" s="135"/>
      <c r="C29" s="135"/>
      <c r="D29" s="135"/>
      <c r="E29" s="135"/>
      <c r="F29" s="135"/>
      <c r="G29" s="135"/>
      <c r="H29" s="135"/>
      <c r="I29" s="135"/>
      <c r="J29" s="135"/>
      <c r="K29" s="135"/>
      <c r="L29" s="135"/>
      <c r="M29" s="135"/>
      <c r="N29" s="135"/>
      <c r="O29" s="135"/>
    </row>
    <row r="30" spans="2:15" s="82" customFormat="1" ht="96" customHeight="1" x14ac:dyDescent="0.25">
      <c r="B30" s="153" t="s">
        <v>209</v>
      </c>
      <c r="C30" s="153"/>
      <c r="D30" s="153"/>
      <c r="E30" s="153"/>
      <c r="F30" s="153"/>
      <c r="G30" s="153"/>
      <c r="H30" s="153"/>
      <c r="I30" s="153"/>
      <c r="J30" s="153"/>
      <c r="K30" s="153"/>
      <c r="L30" s="153"/>
      <c r="M30" s="153"/>
      <c r="N30" s="153"/>
      <c r="O30" s="153"/>
    </row>
    <row r="31" spans="2:15" s="82" customFormat="1" ht="20.100000000000001" customHeight="1" x14ac:dyDescent="0.25">
      <c r="B31" s="153"/>
      <c r="C31" s="153"/>
      <c r="D31" s="153"/>
      <c r="E31" s="153"/>
      <c r="F31" s="153"/>
      <c r="G31" s="153"/>
      <c r="H31" s="153"/>
      <c r="I31" s="153"/>
      <c r="J31" s="153"/>
      <c r="K31" s="153"/>
      <c r="L31" s="153"/>
      <c r="M31" s="153"/>
      <c r="N31" s="153"/>
      <c r="O31" s="153"/>
    </row>
    <row r="32" spans="2:15" s="82" customFormat="1" ht="20.100000000000001" customHeight="1" x14ac:dyDescent="0.25">
      <c r="B32" s="153"/>
      <c r="C32" s="153"/>
      <c r="D32" s="153"/>
      <c r="E32" s="153"/>
      <c r="F32" s="153"/>
      <c r="G32" s="153"/>
      <c r="H32" s="153"/>
      <c r="I32" s="153"/>
      <c r="J32" s="153"/>
      <c r="K32" s="153"/>
      <c r="L32" s="153"/>
      <c r="M32" s="153"/>
      <c r="N32" s="153"/>
      <c r="O32" s="153"/>
    </row>
    <row r="33" spans="2:15" x14ac:dyDescent="0.25">
      <c r="B33" s="153"/>
      <c r="C33" s="153"/>
      <c r="D33" s="153"/>
      <c r="E33" s="153"/>
      <c r="F33" s="153"/>
      <c r="G33" s="153"/>
      <c r="H33" s="153"/>
      <c r="I33" s="153"/>
      <c r="J33" s="153"/>
      <c r="K33" s="153"/>
      <c r="L33" s="153"/>
      <c r="M33" s="153"/>
      <c r="N33" s="153"/>
      <c r="O33" s="153"/>
    </row>
    <row r="34" spans="2:15" ht="15.75" customHeight="1" x14ac:dyDescent="0.25">
      <c r="B34" s="153" t="s">
        <v>210</v>
      </c>
      <c r="C34" s="153"/>
      <c r="D34" s="153"/>
      <c r="E34" s="153"/>
      <c r="F34" s="153"/>
      <c r="G34" s="153"/>
      <c r="H34" s="153"/>
      <c r="I34" s="153"/>
      <c r="J34" s="153"/>
      <c r="K34" s="153"/>
      <c r="L34" s="153"/>
      <c r="M34" s="153"/>
      <c r="N34" s="153"/>
      <c r="O34" s="153"/>
    </row>
    <row r="35" spans="2:15" x14ac:dyDescent="0.25">
      <c r="B35" s="153"/>
      <c r="C35" s="153"/>
      <c r="D35" s="153"/>
      <c r="E35" s="153"/>
      <c r="F35" s="153"/>
      <c r="G35" s="153"/>
      <c r="H35" s="153"/>
      <c r="I35" s="153"/>
      <c r="J35" s="153"/>
      <c r="K35" s="153"/>
      <c r="L35" s="153"/>
      <c r="M35" s="153"/>
      <c r="N35" s="153"/>
      <c r="O35" s="153"/>
    </row>
    <row r="36" spans="2:15" x14ac:dyDescent="0.25">
      <c r="B36" s="153"/>
      <c r="C36" s="153"/>
      <c r="D36" s="153"/>
      <c r="E36" s="153"/>
      <c r="F36" s="153"/>
      <c r="G36" s="153"/>
      <c r="H36" s="153"/>
      <c r="I36" s="153"/>
      <c r="J36" s="153"/>
      <c r="K36" s="153"/>
      <c r="L36" s="153"/>
      <c r="M36" s="153"/>
      <c r="N36" s="153"/>
      <c r="O36" s="153"/>
    </row>
    <row r="37" spans="2:15" x14ac:dyDescent="0.25">
      <c r="B37" s="153"/>
      <c r="C37" s="153"/>
      <c r="D37" s="153"/>
      <c r="E37" s="153"/>
      <c r="F37" s="153"/>
      <c r="G37" s="153"/>
      <c r="H37" s="153"/>
      <c r="I37" s="153"/>
      <c r="J37" s="153"/>
      <c r="K37" s="153"/>
      <c r="L37" s="153"/>
      <c r="M37" s="153"/>
      <c r="N37" s="153"/>
      <c r="O37" s="153"/>
    </row>
    <row r="38" spans="2:15" x14ac:dyDescent="0.25">
      <c r="B38" s="153"/>
      <c r="C38" s="153"/>
      <c r="D38" s="153"/>
      <c r="E38" s="153"/>
      <c r="F38" s="153"/>
      <c r="G38" s="153"/>
      <c r="H38" s="153"/>
      <c r="I38" s="153"/>
      <c r="J38" s="153"/>
      <c r="K38" s="153"/>
      <c r="L38" s="153"/>
      <c r="M38" s="153"/>
      <c r="N38" s="153"/>
      <c r="O38" s="153"/>
    </row>
    <row r="39" spans="2:15" x14ac:dyDescent="0.25">
      <c r="B39" s="153"/>
      <c r="C39" s="153"/>
      <c r="D39" s="153"/>
      <c r="E39" s="153"/>
      <c r="F39" s="153"/>
      <c r="G39" s="153"/>
      <c r="H39" s="153"/>
      <c r="I39" s="153"/>
      <c r="J39" s="153"/>
      <c r="K39" s="153"/>
      <c r="L39" s="153"/>
      <c r="M39" s="153"/>
      <c r="N39" s="153"/>
      <c r="O39" s="153"/>
    </row>
    <row r="40" spans="2:15" x14ac:dyDescent="0.25">
      <c r="B40" s="153"/>
      <c r="C40" s="153"/>
      <c r="D40" s="153"/>
      <c r="E40" s="153"/>
      <c r="F40" s="153"/>
      <c r="G40" s="153"/>
      <c r="H40" s="153"/>
      <c r="I40" s="153"/>
      <c r="J40" s="153"/>
      <c r="K40" s="153"/>
      <c r="L40" s="153"/>
      <c r="M40" s="153"/>
      <c r="N40" s="153"/>
      <c r="O40" s="153"/>
    </row>
    <row r="41" spans="2:15" x14ac:dyDescent="0.25">
      <c r="B41" s="153"/>
      <c r="C41" s="153"/>
      <c r="D41" s="153"/>
      <c r="E41" s="153"/>
      <c r="F41" s="153"/>
      <c r="G41" s="153"/>
      <c r="H41" s="153"/>
      <c r="I41" s="153"/>
      <c r="J41" s="153"/>
      <c r="K41" s="153"/>
      <c r="L41" s="153"/>
      <c r="M41" s="153"/>
      <c r="N41" s="153"/>
      <c r="O41" s="153"/>
    </row>
    <row r="42" spans="2:15" x14ac:dyDescent="0.25">
      <c r="B42" s="153"/>
      <c r="C42" s="153"/>
      <c r="D42" s="153"/>
      <c r="E42" s="153"/>
      <c r="F42" s="153"/>
      <c r="G42" s="153"/>
      <c r="H42" s="153"/>
      <c r="I42" s="153"/>
      <c r="J42" s="153"/>
      <c r="K42" s="153"/>
      <c r="L42" s="153"/>
      <c r="M42" s="153"/>
      <c r="N42" s="153"/>
      <c r="O42" s="153"/>
    </row>
    <row r="43" spans="2:15" x14ac:dyDescent="0.25">
      <c r="B43" s="153"/>
      <c r="C43" s="153"/>
      <c r="D43" s="153"/>
      <c r="E43" s="153"/>
      <c r="F43" s="153"/>
      <c r="G43" s="153"/>
      <c r="H43" s="153"/>
      <c r="I43" s="153"/>
      <c r="J43" s="153"/>
      <c r="K43" s="153"/>
      <c r="L43" s="153"/>
      <c r="M43" s="153"/>
      <c r="N43" s="153"/>
      <c r="O43" s="153"/>
    </row>
    <row r="44" spans="2:15" x14ac:dyDescent="0.25">
      <c r="B44" s="153"/>
      <c r="C44" s="153"/>
      <c r="D44" s="153"/>
      <c r="E44" s="153"/>
      <c r="F44" s="153"/>
      <c r="G44" s="153"/>
      <c r="H44" s="153"/>
      <c r="I44" s="153"/>
      <c r="J44" s="153"/>
      <c r="K44" s="153"/>
      <c r="L44" s="153"/>
      <c r="M44" s="153"/>
      <c r="N44" s="153"/>
      <c r="O44" s="153"/>
    </row>
    <row r="45" spans="2:15" x14ac:dyDescent="0.25">
      <c r="B45" s="153"/>
      <c r="C45" s="153"/>
      <c r="D45" s="153"/>
      <c r="E45" s="153"/>
      <c r="F45" s="153"/>
      <c r="G45" s="153"/>
      <c r="H45" s="153"/>
      <c r="I45" s="153"/>
      <c r="J45" s="153"/>
      <c r="K45" s="153"/>
      <c r="L45" s="153"/>
      <c r="M45" s="153"/>
      <c r="N45" s="153"/>
      <c r="O45" s="153"/>
    </row>
    <row r="46" spans="2:15" x14ac:dyDescent="0.25">
      <c r="B46" s="153"/>
      <c r="C46" s="153"/>
      <c r="D46" s="153"/>
      <c r="E46" s="153"/>
      <c r="F46" s="153"/>
      <c r="G46" s="153"/>
      <c r="H46" s="153"/>
      <c r="I46" s="153"/>
      <c r="J46" s="153"/>
      <c r="K46" s="153"/>
      <c r="L46" s="153"/>
      <c r="M46" s="153"/>
      <c r="N46" s="153"/>
      <c r="O46" s="153"/>
    </row>
    <row r="47" spans="2:15" x14ac:dyDescent="0.25">
      <c r="B47" s="153"/>
      <c r="C47" s="153"/>
      <c r="D47" s="153"/>
      <c r="E47" s="153"/>
      <c r="F47" s="153"/>
      <c r="G47" s="153"/>
      <c r="H47" s="153"/>
      <c r="I47" s="153"/>
      <c r="J47" s="153"/>
      <c r="K47" s="153"/>
      <c r="L47" s="153"/>
      <c r="M47" s="153"/>
      <c r="N47" s="153"/>
      <c r="O47" s="153"/>
    </row>
    <row r="48" spans="2:15" x14ac:dyDescent="0.25">
      <c r="B48" s="153"/>
      <c r="C48" s="153"/>
      <c r="D48" s="153"/>
      <c r="E48" s="153"/>
      <c r="F48" s="153"/>
      <c r="G48" s="153"/>
      <c r="H48" s="153"/>
      <c r="I48" s="153"/>
      <c r="J48" s="153"/>
      <c r="K48" s="153"/>
      <c r="L48" s="153"/>
      <c r="M48" s="153"/>
      <c r="N48" s="153"/>
      <c r="O48" s="153"/>
    </row>
    <row r="49" spans="2:15" x14ac:dyDescent="0.25">
      <c r="B49" s="153"/>
      <c r="C49" s="153"/>
      <c r="D49" s="153"/>
      <c r="E49" s="153"/>
      <c r="F49" s="153"/>
      <c r="G49" s="153"/>
      <c r="H49" s="153"/>
      <c r="I49" s="153"/>
      <c r="J49" s="153"/>
      <c r="K49" s="153"/>
      <c r="L49" s="153"/>
      <c r="M49" s="153"/>
      <c r="N49" s="153"/>
      <c r="O49" s="153"/>
    </row>
    <row r="50" spans="2:15" x14ac:dyDescent="0.25">
      <c r="B50" s="153"/>
      <c r="C50" s="153"/>
      <c r="D50" s="153"/>
      <c r="E50" s="153"/>
      <c r="F50" s="153"/>
      <c r="G50" s="153"/>
      <c r="H50" s="153"/>
      <c r="I50" s="153"/>
      <c r="J50" s="153"/>
      <c r="K50" s="153"/>
      <c r="L50" s="153"/>
      <c r="M50" s="153"/>
      <c r="N50" s="153"/>
      <c r="O50" s="153"/>
    </row>
    <row r="51" spans="2:15" ht="39.75" customHeight="1" thickBot="1" x14ac:dyDescent="0.3">
      <c r="B51" s="142" t="s">
        <v>103</v>
      </c>
      <c r="C51" s="23"/>
      <c r="D51" s="23"/>
      <c r="E51" s="23"/>
      <c r="F51" s="23"/>
      <c r="G51" s="23"/>
      <c r="H51" s="23"/>
      <c r="I51" s="23"/>
      <c r="J51" s="23"/>
      <c r="K51" s="23"/>
      <c r="L51" s="23"/>
      <c r="M51" s="23"/>
      <c r="N51" s="23"/>
      <c r="O51" s="23"/>
    </row>
    <row r="52" spans="2:15" ht="33" customHeight="1" x14ac:dyDescent="0.25">
      <c r="B52" s="141" t="s">
        <v>212</v>
      </c>
      <c r="C52" s="135"/>
      <c r="D52" s="135"/>
      <c r="E52" s="135"/>
      <c r="F52" s="135"/>
      <c r="G52" s="135"/>
      <c r="H52" s="135"/>
      <c r="I52" s="135"/>
      <c r="J52" s="135"/>
      <c r="K52" s="135"/>
      <c r="L52" s="135"/>
      <c r="M52" s="135"/>
      <c r="N52" s="135"/>
      <c r="O52" s="135"/>
    </row>
    <row r="54" spans="2:15" x14ac:dyDescent="0.25">
      <c r="B54" s="135"/>
      <c r="C54" s="135"/>
      <c r="D54" s="135"/>
      <c r="E54" s="135"/>
      <c r="F54" s="135"/>
      <c r="G54" s="135"/>
      <c r="H54" s="135"/>
      <c r="I54" s="135"/>
      <c r="J54" s="135"/>
      <c r="K54" s="135"/>
      <c r="L54" s="135"/>
      <c r="M54" s="135"/>
      <c r="N54" s="135"/>
      <c r="O54" s="135"/>
    </row>
    <row r="55" spans="2:15" x14ac:dyDescent="0.25">
      <c r="C55" s="144"/>
    </row>
    <row r="56" spans="2:15" x14ac:dyDescent="0.25">
      <c r="C56" s="144"/>
    </row>
  </sheetData>
  <sheetProtection algorithmName="SHA-512" hashValue="XzJjZ3jsbYfcjpCy1j2uJtqmeQeEsQJ6BfFoCUvQz95wcryJV+KguyvSlT5aOqTXSPi9zgIYfVJgQN3gWYUbRQ==" saltValue="MbxR1UrM0D1+ePFslIvc4w==" spinCount="100000" sheet="1" selectLockedCells="1" selectUnlockedCells="1"/>
  <mergeCells count="4">
    <mergeCell ref="B25:O25"/>
    <mergeCell ref="B28:O28"/>
    <mergeCell ref="B30:O33"/>
    <mergeCell ref="B34:O5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rgb="FF333F50"/>
  </sheetPr>
  <dimension ref="A1:N93"/>
  <sheetViews>
    <sheetView showGridLines="0" tabSelected="1" topLeftCell="A4" zoomScale="70" zoomScaleNormal="70" workbookViewId="0">
      <selection activeCell="B17" sqref="B17:C17"/>
    </sheetView>
  </sheetViews>
  <sheetFormatPr defaultColWidth="10.28515625" defaultRowHeight="14.25" x14ac:dyDescent="0.25"/>
  <cols>
    <col min="1" max="1" width="5" style="37" customWidth="1"/>
    <col min="2" max="2" width="55" style="37" customWidth="1"/>
    <col min="3" max="9" width="23.5703125" style="37" customWidth="1"/>
    <col min="10" max="10" width="43.28515625" style="37" customWidth="1"/>
    <col min="11" max="16384" width="10.28515625" style="37"/>
  </cols>
  <sheetData>
    <row r="1" spans="1:13" s="15" customFormat="1" ht="11.25" customHeight="1" x14ac:dyDescent="0.25">
      <c r="A1" s="14"/>
      <c r="B1" s="14"/>
      <c r="C1" s="14"/>
      <c r="J1" s="14"/>
      <c r="K1" s="14"/>
      <c r="L1" s="14"/>
      <c r="M1" s="14"/>
    </row>
    <row r="2" spans="1:13" s="15" customFormat="1" ht="11.25" customHeight="1" x14ac:dyDescent="0.25">
      <c r="A2" s="14"/>
      <c r="B2" s="14"/>
      <c r="C2" s="14"/>
      <c r="J2" s="14"/>
      <c r="K2" s="14"/>
      <c r="L2" s="14"/>
      <c r="M2" s="14"/>
    </row>
    <row r="3" spans="1:13" s="15" customFormat="1" ht="11.25" customHeight="1" x14ac:dyDescent="0.25"/>
    <row r="4" spans="1:13" s="15" customFormat="1" ht="30" x14ac:dyDescent="0.25">
      <c r="C4" s="157" t="s">
        <v>95</v>
      </c>
      <c r="D4" s="157"/>
      <c r="E4" s="157"/>
      <c r="F4" s="157"/>
      <c r="G4" s="157"/>
      <c r="H4" s="157"/>
      <c r="I4" s="157"/>
      <c r="J4" s="16"/>
      <c r="K4" s="16"/>
      <c r="L4" s="16"/>
      <c r="M4" s="16"/>
    </row>
    <row r="5" spans="1:13" s="15" customFormat="1" ht="11.25" customHeight="1" x14ac:dyDescent="0.25">
      <c r="C5" s="17"/>
      <c r="D5" s="17"/>
      <c r="E5" s="17"/>
      <c r="F5" s="17"/>
      <c r="G5" s="17"/>
      <c r="H5" s="17"/>
      <c r="I5" s="17"/>
      <c r="J5" s="16"/>
      <c r="K5" s="16"/>
      <c r="L5" s="16"/>
      <c r="M5" s="16"/>
    </row>
    <row r="6" spans="1:13" s="15" customFormat="1" ht="15" x14ac:dyDescent="0.25">
      <c r="A6" s="14"/>
      <c r="C6" s="18" t="s">
        <v>216</v>
      </c>
      <c r="D6" s="76">
        <v>44969</v>
      </c>
      <c r="E6" s="14"/>
      <c r="G6" s="78" t="s">
        <v>33</v>
      </c>
      <c r="H6" s="110" t="s">
        <v>34</v>
      </c>
      <c r="J6" s="14"/>
      <c r="K6" s="14"/>
      <c r="L6" s="14"/>
      <c r="M6" s="14"/>
    </row>
    <row r="7" spans="1:13" s="15" customFormat="1" ht="15" x14ac:dyDescent="0.25">
      <c r="A7" s="14"/>
      <c r="C7" s="139" t="s">
        <v>106</v>
      </c>
      <c r="D7" s="140" t="s">
        <v>104</v>
      </c>
      <c r="E7" s="140" t="s">
        <v>105</v>
      </c>
      <c r="G7" s="77"/>
      <c r="H7" s="111"/>
      <c r="J7" s="14"/>
      <c r="K7" s="14"/>
      <c r="L7" s="14"/>
      <c r="M7" s="14"/>
    </row>
    <row r="8" spans="1:13" s="15" customFormat="1" ht="9.9499999999999993" customHeight="1" x14ac:dyDescent="0.25">
      <c r="A8" s="14"/>
      <c r="B8" s="14"/>
      <c r="C8" s="14"/>
      <c r="D8" s="14"/>
      <c r="E8" s="14"/>
      <c r="F8" s="14"/>
      <c r="G8" s="14"/>
      <c r="H8" s="14"/>
      <c r="I8" s="14"/>
      <c r="J8" s="14"/>
      <c r="K8" s="14"/>
      <c r="L8" s="14"/>
      <c r="M8" s="14"/>
    </row>
    <row r="9" spans="1:13" s="15" customFormat="1" ht="9.9499999999999993" customHeight="1" x14ac:dyDescent="0.25">
      <c r="A9" s="19"/>
      <c r="B9" s="19"/>
      <c r="C9" s="19"/>
      <c r="D9" s="19"/>
      <c r="E9" s="19"/>
      <c r="F9" s="19"/>
      <c r="G9" s="19"/>
      <c r="H9" s="19"/>
      <c r="I9" s="19"/>
    </row>
    <row r="10" spans="1:13" s="15" customFormat="1" ht="9.9499999999999993" customHeight="1" x14ac:dyDescent="0.25">
      <c r="A10" s="14"/>
      <c r="D10" s="14"/>
      <c r="E10" s="14"/>
      <c r="F10" s="14"/>
      <c r="G10" s="14"/>
      <c r="H10" s="14"/>
      <c r="I10" s="14"/>
      <c r="J10" s="20"/>
      <c r="K10" s="20"/>
      <c r="L10" s="20"/>
      <c r="M10" s="20"/>
    </row>
    <row r="11" spans="1:13" s="15" customFormat="1" ht="20.100000000000001" customHeight="1" x14ac:dyDescent="0.25">
      <c r="A11" s="14"/>
      <c r="B11" s="38" t="s">
        <v>35</v>
      </c>
      <c r="C11" s="39"/>
      <c r="D11" s="145" t="s">
        <v>217</v>
      </c>
      <c r="E11" s="14"/>
      <c r="F11" s="14"/>
      <c r="G11" s="14"/>
      <c r="H11" s="14"/>
      <c r="I11" s="14"/>
      <c r="J11" s="20"/>
      <c r="K11" s="20"/>
      <c r="L11" s="20"/>
      <c r="M11" s="20"/>
    </row>
    <row r="12" spans="1:13" s="15" customFormat="1" ht="15" x14ac:dyDescent="0.25">
      <c r="A12" s="14"/>
      <c r="B12" s="21"/>
      <c r="C12" s="22"/>
      <c r="D12" s="148" t="s">
        <v>218</v>
      </c>
      <c r="E12" s="14"/>
      <c r="F12" s="14"/>
      <c r="G12" s="14"/>
      <c r="H12" s="14"/>
      <c r="I12" s="14"/>
      <c r="J12" s="20"/>
      <c r="K12" s="20"/>
      <c r="L12" s="20"/>
      <c r="M12" s="20"/>
    </row>
    <row r="13" spans="1:13" s="15" customFormat="1" ht="15" x14ac:dyDescent="0.25">
      <c r="A13" s="14"/>
      <c r="B13" s="21"/>
      <c r="C13" s="22"/>
      <c r="D13" s="148" t="s">
        <v>219</v>
      </c>
      <c r="E13" s="14"/>
      <c r="F13" s="14"/>
      <c r="G13" s="14"/>
      <c r="H13" s="14"/>
      <c r="I13" s="14"/>
      <c r="J13" s="20"/>
      <c r="K13" s="20"/>
      <c r="L13" s="20"/>
      <c r="M13" s="20"/>
    </row>
    <row r="14" spans="1:13" s="15" customFormat="1" ht="15" x14ac:dyDescent="0.25">
      <c r="A14" s="14"/>
      <c r="B14" s="21"/>
      <c r="C14" s="22"/>
      <c r="E14" s="14"/>
      <c r="F14" s="14"/>
      <c r="G14" s="14"/>
      <c r="H14" s="14"/>
      <c r="I14" s="14"/>
      <c r="J14" s="20"/>
      <c r="K14" s="20"/>
      <c r="L14" s="20"/>
      <c r="M14" s="20"/>
    </row>
    <row r="15" spans="1:13" s="15" customFormat="1" ht="20.100000000000001" customHeight="1" thickBot="1" x14ac:dyDescent="0.3">
      <c r="B15" s="146" t="s">
        <v>187</v>
      </c>
      <c r="C15" s="24"/>
      <c r="D15" s="25"/>
      <c r="E15" s="26"/>
      <c r="F15" s="26"/>
      <c r="G15" s="23"/>
      <c r="H15" s="25"/>
      <c r="I15" s="25"/>
    </row>
    <row r="16" spans="1:13" s="15" customFormat="1" ht="20.100000000000001" customHeight="1" x14ac:dyDescent="0.25">
      <c r="B16" s="27"/>
      <c r="E16" s="28"/>
    </row>
    <row r="17" spans="1:13" s="15" customFormat="1" ht="21" customHeight="1" x14ac:dyDescent="0.25">
      <c r="B17" s="158"/>
      <c r="C17" s="158"/>
      <c r="D17" s="113" t="s">
        <v>149</v>
      </c>
    </row>
    <row r="18" spans="1:13" s="15" customFormat="1" ht="20.100000000000001" customHeight="1" x14ac:dyDescent="0.25">
      <c r="D18" s="114"/>
      <c r="E18" s="30"/>
      <c r="F18" s="99"/>
      <c r="G18" s="98"/>
      <c r="H18" s="98"/>
    </row>
    <row r="19" spans="1:13" s="15" customFormat="1" ht="20.100000000000001" customHeight="1" thickBot="1" x14ac:dyDescent="0.3">
      <c r="A19" s="14"/>
      <c r="B19" s="146" t="s">
        <v>141</v>
      </c>
      <c r="C19" s="31"/>
      <c r="D19" s="115"/>
      <c r="E19" s="32"/>
      <c r="F19" s="32"/>
      <c r="G19" s="32"/>
      <c r="H19" s="32"/>
      <c r="I19" s="97"/>
      <c r="J19" s="14"/>
      <c r="K19" s="14"/>
      <c r="L19" s="14"/>
      <c r="M19" s="14"/>
    </row>
    <row r="20" spans="1:13" s="15" customFormat="1" ht="20.100000000000001" customHeight="1" x14ac:dyDescent="0.25">
      <c r="D20" s="114"/>
      <c r="E20" s="30"/>
    </row>
    <row r="21" spans="1:13" s="15" customFormat="1" ht="21" customHeight="1" x14ac:dyDescent="0.25">
      <c r="B21" s="159"/>
      <c r="C21" s="160"/>
      <c r="D21" s="113" t="s">
        <v>43</v>
      </c>
      <c r="G21" s="33"/>
    </row>
    <row r="22" spans="1:13" s="15" customFormat="1" ht="20.100000000000001" customHeight="1" x14ac:dyDescent="0.25">
      <c r="C22" s="33"/>
      <c r="D22" s="116" t="str">
        <f>+IF(modes="Air","Note: Air transport applies to both freight and passenger. Currently targets can only be modelled through the linear decarbonization approach.","")</f>
        <v/>
      </c>
      <c r="E22" s="29"/>
      <c r="G22" s="33"/>
    </row>
    <row r="23" spans="1:13" s="15" customFormat="1" ht="20.100000000000001" customHeight="1" thickBot="1" x14ac:dyDescent="0.3">
      <c r="B23" s="146" t="s">
        <v>36</v>
      </c>
      <c r="C23" s="25"/>
      <c r="D23" s="117"/>
      <c r="E23" s="25"/>
      <c r="F23" s="25"/>
      <c r="G23" s="25"/>
      <c r="H23" s="25"/>
      <c r="I23" s="25"/>
    </row>
    <row r="24" spans="1:13" s="15" customFormat="1" ht="20.100000000000001" customHeight="1" x14ac:dyDescent="0.25">
      <c r="D24" s="114"/>
    </row>
    <row r="25" spans="1:13" s="15" customFormat="1" ht="21" customHeight="1" x14ac:dyDescent="0.25">
      <c r="B25" s="34" t="s">
        <v>146</v>
      </c>
      <c r="C25" s="93"/>
      <c r="D25" s="113" t="s">
        <v>220</v>
      </c>
    </row>
    <row r="26" spans="1:13" s="15" customFormat="1" ht="21" customHeight="1" x14ac:dyDescent="0.25">
      <c r="B26" s="34" t="s">
        <v>147</v>
      </c>
      <c r="C26" s="93"/>
      <c r="D26" s="113" t="s">
        <v>221</v>
      </c>
      <c r="H26" s="96"/>
    </row>
    <row r="27" spans="1:13" s="15" customFormat="1" ht="11.25" customHeight="1" x14ac:dyDescent="0.25">
      <c r="B27" s="34"/>
      <c r="C27" s="94"/>
      <c r="D27" s="118"/>
    </row>
    <row r="28" spans="1:13" s="15" customFormat="1" ht="21" customHeight="1" x14ac:dyDescent="0.25">
      <c r="B28" s="34" t="str">
        <f>IF(transport_type="Emissions from new vehicles","","Well to Wheel emissions in base year")</f>
        <v>Well to Wheel emissions in base year</v>
      </c>
      <c r="C28" s="95"/>
      <c r="D28" s="113" t="str">
        <f>IF(transport_type="Emissions from new vehicles","","Metric tonnes of CO2 eq.")</f>
        <v>Metric tonnes of CO2 eq.</v>
      </c>
      <c r="J28" s="35"/>
    </row>
    <row r="29" spans="1:13" s="15" customFormat="1" ht="21" customHeight="1" x14ac:dyDescent="0.25">
      <c r="B29" s="34" t="str">
        <f>IF(ISNUMBER(FIND("economy",modes)),"","Activity in base year")</f>
        <v>Activity in base year</v>
      </c>
      <c r="C29" s="95"/>
      <c r="D29" s="113" t="str">
        <f>IF(AND(transport_type&lt;&gt;"",modes&lt;&gt;""),IF(ISNUMBER(FIND("economy",modes)),"",VLOOKUP(modes,Catalogues!C3:F28,2,FALSE)),"Select a transport mode / category")</f>
        <v>Select a transport mode / category</v>
      </c>
    </row>
    <row r="30" spans="1:13" s="15" customFormat="1" ht="21" customHeight="1" x14ac:dyDescent="0.25">
      <c r="B30" s="34" t="str">
        <f>IF(ISNUMBER(FIND("economy",modes)),"","Expected activity in target year")</f>
        <v>Expected activity in target year</v>
      </c>
      <c r="C30" s="95"/>
      <c r="D30" s="113" t="str">
        <f>IF(AND(transport_type&lt;&gt;"",modes&lt;&gt;""),IF(ISNUMBER(FIND("economy",modes)),"",VLOOKUP(modes,Catalogues!C3:F28,2,FALSE)),"Select a transport mode / category")</f>
        <v>Select a transport mode / category</v>
      </c>
      <c r="F30" s="113" t="str">
        <f>+IF(AND(activity_by&lt;&gt;0,activity_ty=0),"In case expected activity is unknown, please apply the sector growth rate","")</f>
        <v/>
      </c>
    </row>
    <row r="31" spans="1:13" s="15" customFormat="1" ht="21" customHeight="1" x14ac:dyDescent="0.25">
      <c r="B31" s="34" t="str">
        <f>IF(transport_type="Emissions from new vehicles",IF(ISNUMBER(FIND("economy",modes)),"Fuel economy in base year","Well-to-Wheel carbon intensity in base year"),"")</f>
        <v/>
      </c>
      <c r="C31" s="95"/>
      <c r="D31" s="113" t="str">
        <f>IF(AND(transport_type="Emissions from new vehicles",ISNUMBER(FIND("New",modes))),VLOOKUP(modes,Catalogues!C3:F28,4,FALSE),"")</f>
        <v/>
      </c>
      <c r="E31" s="29"/>
    </row>
    <row r="32" spans="1:13" s="15" customFormat="1" ht="21" customHeight="1" x14ac:dyDescent="0.25">
      <c r="B32" s="34" t="str">
        <f>IF(OR(transport_type="Emissions from new vehicles",transport_type="aviation emissions",modes="Freight - Maritime"),"","Well to Tank emissions in base year")</f>
        <v>Well to Tank emissions in base year</v>
      </c>
      <c r="C32" s="95"/>
      <c r="D32" s="113" t="str">
        <f>IF(OR(transport_type="Emissions from new vehicles",transport_type="aviation emissions",modes="Freight - Maritime"),"","Metric tonnes of CO2 eq.")</f>
        <v>Metric tonnes of CO2 eq.</v>
      </c>
    </row>
    <row r="33" spans="2:14" s="15" customFormat="1" ht="21" customHeight="1" x14ac:dyDescent="0.25">
      <c r="B33" s="34" t="str">
        <f>IF(OR(transport_type="Emissions from new vehicles",transport_type="aviation emissions",modes="Freight - Maritime"),"","Tank to Wheel emissions in base year")</f>
        <v>Tank to Wheel emissions in base year</v>
      </c>
      <c r="C33" s="95"/>
      <c r="D33" s="113" t="str">
        <f>IF(OR(transport_type="Emissions from new vehicles",transport_type="aviation emissions",modes="Freight - Maritime"),"","Metric tonnes of CO2 eq.")</f>
        <v>Metric tonnes of CO2 eq.</v>
      </c>
    </row>
    <row r="34" spans="2:14" s="15" customFormat="1" ht="20.100000000000001" customHeight="1" x14ac:dyDescent="0.25">
      <c r="B34" s="36"/>
      <c r="C34" s="36"/>
      <c r="D34" s="29"/>
    </row>
    <row r="35" spans="2:14" s="79" customFormat="1" ht="20.100000000000001" customHeight="1" thickBot="1" x14ac:dyDescent="0.3">
      <c r="B35" s="147" t="s">
        <v>37</v>
      </c>
      <c r="C35" s="80"/>
      <c r="D35" s="80"/>
      <c r="E35" s="80"/>
      <c r="F35" s="80"/>
      <c r="G35" s="80"/>
      <c r="H35" s="80"/>
      <c r="I35" s="80"/>
      <c r="J35" s="81"/>
    </row>
    <row r="36" spans="2:14" s="82" customFormat="1" ht="20.100000000000001" customHeight="1" x14ac:dyDescent="0.25">
      <c r="N36" s="83"/>
    </row>
    <row r="37" spans="2:14" s="82" customFormat="1" ht="20.100000000000001" hidden="1" customHeight="1" x14ac:dyDescent="0.25">
      <c r="B37" s="138" t="s">
        <v>207</v>
      </c>
      <c r="C37" s="143" t="s">
        <v>160</v>
      </c>
      <c r="D37" s="137"/>
      <c r="E37" s="137"/>
      <c r="F37" s="137"/>
      <c r="G37" s="137"/>
      <c r="H37" s="137"/>
      <c r="N37" s="83"/>
    </row>
    <row r="38" spans="2:14" s="82" customFormat="1" ht="20.100000000000001" hidden="1" customHeight="1" x14ac:dyDescent="0.25">
      <c r="N38" s="83"/>
    </row>
    <row r="39" spans="2:14" s="82" customFormat="1" ht="20.100000000000001" hidden="1" customHeight="1" x14ac:dyDescent="0.25">
      <c r="B39" s="109" t="s">
        <v>198</v>
      </c>
      <c r="C39" s="84" t="str">
        <f>CONCATENATE(by," - ",ty)</f>
        <v xml:space="preserve"> - </v>
      </c>
      <c r="N39" s="83"/>
    </row>
    <row r="40" spans="2:14" s="82" customFormat="1" ht="18.75" hidden="1" customHeight="1" x14ac:dyDescent="0.25">
      <c r="B40" s="125" t="str">
        <f>IF(ISNUMBER(FIND("New",modes)),"Not available",CONCATENATE("Sector growth rate - 2DS"," (",unit,")"))</f>
        <v>Sector growth rate - 2DS (Select a transport mode / category)</v>
      </c>
      <c r="C40" s="131" t="e">
        <f>IF(ISNUMBER(FIND("New",modes)),"---",Calculations!D17/Calculations!C17-1)</f>
        <v>#N/A</v>
      </c>
      <c r="N40" s="83"/>
    </row>
    <row r="41" spans="2:14" s="82" customFormat="1" ht="18.75" hidden="1" customHeight="1" x14ac:dyDescent="0.25">
      <c r="B41" s="125" t="str">
        <f>IF(transport_type="Emissions from new vehicles",IF(ISNUMBER(FIND("economy",modes)),"Not available",VLOOKUP(modes,Load_2DS,2060-2010+3,FALSE)),"Not available")</f>
        <v>Not available</v>
      </c>
      <c r="C41" s="132" t="str">
        <f>IF(transport_type="Emissions from new vehicles",IF(ISNUMBER(FIND("economy",modes)),"---",CONCATENATE(FIXED(Calculations!G6)," - ",FIXED(Calculations!G7))),"---")</f>
        <v>---</v>
      </c>
      <c r="N41" s="83"/>
    </row>
    <row r="42" spans="2:14" s="82" customFormat="1" ht="18.75" hidden="1" customHeight="1" x14ac:dyDescent="0.25">
      <c r="N42" s="83"/>
    </row>
    <row r="43" spans="2:14" s="82" customFormat="1" ht="30" hidden="1" x14ac:dyDescent="0.25">
      <c r="B43" s="161" t="s">
        <v>38</v>
      </c>
      <c r="C43" s="162"/>
      <c r="D43" s="163"/>
      <c r="E43" s="84" t="str">
        <f>CONCATENATE("Base year
",by)</f>
        <v xml:space="preserve">Base year
</v>
      </c>
      <c r="F43" s="84" t="str">
        <f>CONCATENATE("Target year
",ty)</f>
        <v xml:space="preserve">Target year
</v>
      </c>
      <c r="G43" s="84" t="str">
        <f>CONCATENATE("% Reduction 
",by," - ",ty)</f>
        <v xml:space="preserve">% Reduction 
 - </v>
      </c>
      <c r="M43" s="83"/>
    </row>
    <row r="44" spans="2:14" s="82" customFormat="1" ht="24.95" hidden="1" customHeight="1" x14ac:dyDescent="0.25">
      <c r="B44" s="164">
        <f>modes</f>
        <v>0</v>
      </c>
      <c r="C44" s="121" t="str">
        <f>IF(transport_type="Emissions from new vehicles",IF(ISNUMBER(FIND("economy",modes)),"Not available","WTW emissions"),"WTW emissions")</f>
        <v>WTW emissions</v>
      </c>
      <c r="D44" s="85" t="str">
        <f>IF(transport_type="Emissions from new vehicles","Not available","Metric tonnes of CO2 eq.")</f>
        <v>Metric tonnes of CO2 eq.</v>
      </c>
      <c r="E44" s="86" t="str">
        <f>IF(transport_type="Emissions from new vehicles","Not available",IF(wtw_by&gt;0,wtw_by,""))</f>
        <v/>
      </c>
      <c r="F44" s="86" t="str">
        <f>IF(ISNUMBER(wtwabs_2DS)=TRUE,wtwabs_2DS,IF(transport_type="Emissions from new vehicles","Not available",""))</f>
        <v/>
      </c>
      <c r="G44" s="129" t="e">
        <f>IF(AND(Calculations!C5="Homogeneous",ISNUMBER(wtwabs_2DS)=TRUE),1-F44/E44,IF(transport_type="Emissions from new vehicles","Not available",IF(OR(modes="Air transport (passenger and freight)",modes="Freight - Maritime"),1-F44/E44,"")))</f>
        <v>#N/A</v>
      </c>
      <c r="H44" s="126" t="str">
        <f>IF(OR(modes="Air transport (passenger and freight)",modes="Freight - Maritime"),"The convergence approach is not available for this sector. For further information please contact the SBTi","")</f>
        <v/>
      </c>
      <c r="I44" s="83"/>
      <c r="M44" s="83"/>
    </row>
    <row r="45" spans="2:14" s="82" customFormat="1" ht="24.95" hidden="1" customHeight="1" x14ac:dyDescent="0.25">
      <c r="B45" s="165"/>
      <c r="C45" s="121" t="str">
        <f>IF(transport_type="Emissions from new vehicles",IF(ISNUMBER(FIND("economy",modes)),"Fuel economy","WTW carbon intensity"),"WTW carbon intensity")</f>
        <v>WTW carbon intensity</v>
      </c>
      <c r="D45" s="85" t="str">
        <f>IF(AND(transport_type&lt;&gt;"",modes&lt;&gt;""),VLOOKUP(modes,Catalogues!C3:F28,4,FALSE),"Select a transport mode / category")</f>
        <v>Select a transport mode / category</v>
      </c>
      <c r="E45" s="86" t="str">
        <f>IF(transport_type="Emissions from new vehicles",Fuel_economy,IF(ISNUMBER(wtwint_2DS)=TRUE,wtw_by/activity_by*1000*1000,""))</f>
        <v/>
      </c>
      <c r="F45" s="86" t="e">
        <f>IF(Calculations!$C$5="Homogeneous",IF(ISNUMBER(wtwint_2DS)=TRUE,wtwint_2DS,""),IF(transport_type="Emissions from new vehicles",Calculations!D96,NA()))</f>
        <v>#N/A</v>
      </c>
      <c r="G45" s="129" t="e">
        <f>IF(Calculations!C5="Homogeneous",IF(ISNUMBER(wtwint_2DS)=TRUE,1-F45/E45,""),IF(transport_type="Emissions from new vehicles",1-F45/E45,NA()))</f>
        <v>#N/A</v>
      </c>
    </row>
    <row r="46" spans="2:14" s="82" customFormat="1" ht="24.95" hidden="1" customHeight="1" x14ac:dyDescent="0.25">
      <c r="B46" s="165"/>
      <c r="C46" s="121" t="s">
        <v>73</v>
      </c>
      <c r="D46" s="85" t="s">
        <v>109</v>
      </c>
      <c r="E46" s="86" t="str">
        <f>IF(wtt_by&gt;0,wtt_by,"")</f>
        <v/>
      </c>
      <c r="F46" s="86" t="str">
        <f>IF(wtt_by&gt;0,wttabs_2DS,"")</f>
        <v/>
      </c>
      <c r="G46" s="129" t="str">
        <f>IF(wtt_by&gt;0,1-F46/E46,"")</f>
        <v/>
      </c>
    </row>
    <row r="47" spans="2:14" s="82" customFormat="1" ht="24.95" hidden="1" customHeight="1" x14ac:dyDescent="0.25">
      <c r="B47" s="165"/>
      <c r="C47" s="121" t="s">
        <v>23</v>
      </c>
      <c r="D47" s="85" t="str">
        <f>IF(AND(transport_type&lt;&gt;"",modes&lt;&gt;""),VLOOKUP(modes,Catalogues!C3:F28,4,FALSE),"Select a transport mode / category")</f>
        <v>Select a transport mode / category</v>
      </c>
      <c r="E47" s="86" t="e">
        <f>IF(Calculations!C5="Homogeneous",IF(wtt_by&gt;0,wtt_by/activity_by*1000*1000,""),NA())</f>
        <v>#N/A</v>
      </c>
      <c r="F47" s="86" t="e">
        <f>IF(Calculations!C5="Homogeneous",IF(wtt_by&gt;0,wttint_2DS,""),NA())</f>
        <v>#N/A</v>
      </c>
      <c r="G47" s="129" t="e">
        <f>IF(Calculations!C5="Homogeneous",IF(wtt_by&gt;0,1-F47/E47,""),NA())</f>
        <v>#N/A</v>
      </c>
      <c r="I47" s="83"/>
    </row>
    <row r="48" spans="2:14" s="82" customFormat="1" ht="24.95" hidden="1" customHeight="1" x14ac:dyDescent="0.25">
      <c r="B48" s="165"/>
      <c r="C48" s="121" t="s">
        <v>150</v>
      </c>
      <c r="D48" s="85" t="s">
        <v>109</v>
      </c>
      <c r="E48" s="86" t="str">
        <f>IF(ttw_by&gt;0,ttw_by,"")</f>
        <v/>
      </c>
      <c r="F48" s="86" t="str">
        <f>IF(ttw_by&gt;0,ttwabs_2DS,"")</f>
        <v/>
      </c>
      <c r="G48" s="129" t="str">
        <f>IF(ttw_by&gt;0,1-F48/E48,"")</f>
        <v/>
      </c>
    </row>
    <row r="49" spans="1:14" s="82" customFormat="1" ht="24.95" hidden="1" customHeight="1" x14ac:dyDescent="0.25">
      <c r="B49" s="166"/>
      <c r="C49" s="121" t="s">
        <v>131</v>
      </c>
      <c r="D49" s="85" t="str">
        <f>IF(AND(transport_type&lt;&gt;"",modes&lt;&gt;""),VLOOKUP(modes,Catalogues!C3:F28,4,FALSE),"Select a transport mode / category")</f>
        <v>Select a transport mode / category</v>
      </c>
      <c r="E49" s="86" t="e">
        <f>IF(Calculations!C5="Homogeneous",IF(ttw_by&gt;0,ttw_by/activity_by*1000*1000,""),NA())</f>
        <v>#N/A</v>
      </c>
      <c r="F49" s="86" t="e">
        <f>IF(Calculations!C5="Homogeneous",IF(ttw_by&gt;0,ttwint_2DS,""),NA())</f>
        <v>#N/A</v>
      </c>
      <c r="G49" s="129" t="e">
        <f>IF(Calculations!C5="Homogeneous",IF(ttw_by&gt;0,1-F49/E49,""),NA())</f>
        <v>#N/A</v>
      </c>
      <c r="I49" s="83"/>
    </row>
    <row r="50" spans="1:14" s="88" customFormat="1" ht="18.75" hidden="1" customHeight="1" x14ac:dyDescent="0.25">
      <c r="B50" s="87"/>
      <c r="C50" s="87"/>
      <c r="G50" s="82"/>
      <c r="H50" s="82"/>
      <c r="I50" s="82"/>
    </row>
    <row r="51" spans="1:14" s="88" customFormat="1" ht="303.75" hidden="1" customHeight="1" x14ac:dyDescent="0.25">
      <c r="B51" s="87"/>
      <c r="C51" s="87"/>
      <c r="G51" s="82"/>
      <c r="H51" s="82"/>
      <c r="I51" s="82"/>
    </row>
    <row r="52" spans="1:14" s="82" customFormat="1" ht="20.100000000000001" hidden="1" customHeight="1" x14ac:dyDescent="0.25">
      <c r="E52" s="89"/>
    </row>
    <row r="53" spans="1:14" s="79" customFormat="1" ht="9.9499999999999993" customHeight="1" x14ac:dyDescent="0.25">
      <c r="A53" s="90"/>
      <c r="B53" s="90"/>
      <c r="C53" s="90"/>
      <c r="D53" s="90"/>
      <c r="E53" s="90"/>
      <c r="F53" s="90"/>
      <c r="G53" s="90"/>
      <c r="H53" s="90"/>
      <c r="I53" s="90"/>
    </row>
    <row r="54" spans="1:14" s="82" customFormat="1" x14ac:dyDescent="0.25">
      <c r="F54" s="91"/>
      <c r="G54" s="92"/>
    </row>
    <row r="55" spans="1:14" s="82" customFormat="1" ht="20.25" x14ac:dyDescent="0.25">
      <c r="B55" s="138" t="s">
        <v>208</v>
      </c>
      <c r="F55" s="91"/>
      <c r="G55" s="92"/>
    </row>
    <row r="56" spans="1:14" s="82" customFormat="1" x14ac:dyDescent="0.25">
      <c r="F56" s="91"/>
      <c r="G56" s="92"/>
    </row>
    <row r="57" spans="1:14" s="82" customFormat="1" ht="20.100000000000001" customHeight="1" x14ac:dyDescent="0.25">
      <c r="B57" s="109" t="s">
        <v>198</v>
      </c>
      <c r="C57" s="84" t="str">
        <f>CONCATENATE(by," - ",ty)</f>
        <v xml:space="preserve"> - </v>
      </c>
      <c r="N57" s="83"/>
    </row>
    <row r="58" spans="1:14" s="82" customFormat="1" ht="18.75" customHeight="1" x14ac:dyDescent="0.25">
      <c r="B58" s="125" t="str">
        <f>IF(ISNUMBER(FIND("New",modes)),"Not available",CONCATENATE("Sector growth rate - B2DS"," (",unit,")"))</f>
        <v>Sector growth rate - B2DS (Select a transport mode / category)</v>
      </c>
      <c r="C58" s="132" t="e">
        <f>IF(ISNUMBER(FIND("New",modes)),"---",Calculations!D29/Calculations!$C29-1)</f>
        <v>#N/A</v>
      </c>
      <c r="N58" s="83"/>
    </row>
    <row r="59" spans="1:14" s="82" customFormat="1" ht="18.75" customHeight="1" x14ac:dyDescent="0.25">
      <c r="B59" s="125" t="str">
        <f>IF(transport_type="Emissions from new vehicles",IF(ISNUMBER(FIND("economy",modes)),"Not available",VLOOKUP(modes,Load_B2DS,2060-2010+3,FALSE)),"Not available")</f>
        <v>Not available</v>
      </c>
      <c r="C59" s="132" t="str">
        <f>IF(transport_type="Emissions from new vehicles",IF(ISNUMBER(FIND("economy",modes)),"---",CONCATENATE(FIXED(Calculations!G9)," - ",FIXED(Calculations!G10))),"---")</f>
        <v>---</v>
      </c>
      <c r="N59" s="83"/>
    </row>
    <row r="60" spans="1:14" s="82" customFormat="1" ht="18.75" customHeight="1" x14ac:dyDescent="0.25">
      <c r="N60" s="83"/>
    </row>
    <row r="61" spans="1:14" s="82" customFormat="1" ht="30" x14ac:dyDescent="0.25">
      <c r="B61" s="161" t="s">
        <v>39</v>
      </c>
      <c r="C61" s="162"/>
      <c r="D61" s="163"/>
      <c r="E61" s="84" t="str">
        <f>CONCATENATE("Base year
",by)</f>
        <v xml:space="preserve">Base year
</v>
      </c>
      <c r="F61" s="84" t="str">
        <f>CONCATENATE("Target year
",ty)</f>
        <v xml:space="preserve">Target year
</v>
      </c>
      <c r="G61" s="84" t="str">
        <f>CONCATENATE("% Reduction 
",by," - ",ty)</f>
        <v xml:space="preserve">% Reduction 
 - </v>
      </c>
      <c r="I61" s="83"/>
    </row>
    <row r="62" spans="1:14" s="82" customFormat="1" ht="24.95" customHeight="1" x14ac:dyDescent="0.25">
      <c r="B62" s="154" t="s">
        <v>2</v>
      </c>
      <c r="C62" s="121" t="str">
        <f>IF(transport_type="Emissions from new vehicles",IF(ISNUMBER(FIND("economy",modes)),"Not available","WTW emissions"),"WTW emissions")</f>
        <v>WTW emissions</v>
      </c>
      <c r="D62" s="85" t="str">
        <f>IF(transport_type="Emissions from new vehicles","Not available","Metric tonnes of CO2 eq.")</f>
        <v>Metric tonnes of CO2 eq.</v>
      </c>
      <c r="E62" s="86" t="str">
        <f>IF(transport_type="Emissions from new vehicles","Not available",IF(wtw_by&gt;0,wtw_by,""))</f>
        <v/>
      </c>
      <c r="F62" s="86" t="str">
        <f>IF(ISNUMBER(wtwabs_B2DS)=TRUE,wtwabs_B2DS,IF(transport_type="Emissions from new vehicles","Not available",""))</f>
        <v/>
      </c>
      <c r="G62" s="129" t="e">
        <f>IF(AND(Calculations!C5="Homogeneous",ISNUMBER(wtwabs_B2DS)=TRUE),1-F62/E62,"")</f>
        <v>#N/A</v>
      </c>
      <c r="H62" s="126" t="str">
        <f>IF(OR(modes="Air transport (passenger and freight)",modes="Freight - Maritime"),"The convergence approach is not available for this sector. For further information please contact the SBTi","")</f>
        <v/>
      </c>
    </row>
    <row r="63" spans="1:14" s="82" customFormat="1" ht="24.95" customHeight="1" x14ac:dyDescent="0.25">
      <c r="B63" s="155"/>
      <c r="C63" s="121" t="s">
        <v>18</v>
      </c>
      <c r="D63" s="85" t="str">
        <f>IF(AND(transport_type&lt;&gt;"",modes&lt;&gt;""),VLOOKUP(modes,Catalogues!C3:F28,4,FALSE),"Select a transport mode / category")</f>
        <v>Select a transport mode / category</v>
      </c>
      <c r="E63" s="86" t="str">
        <f>IF(transport_type="Emissions from new vehicles",Fuel_economy,IF(ISNUMBER(wtwint_B2DS)=TRUE,wtw_by/activity_by*1000*1000,""))</f>
        <v/>
      </c>
      <c r="F63" s="86" t="e">
        <f>IF(Calculations!$C$5="Homogeneous",IF(ISNUMBER(wtwint_B2DS)=TRUE,wtwint_B2DS,""),IF(transport_type="Emissions from new vehicles",Calculations!D108,NA()))</f>
        <v>#N/A</v>
      </c>
      <c r="G63" s="129" t="e">
        <f>IF(Calculations!C5="Homogeneous",IF(ISNUMBER(wtwint_B2DS)=TRUE,1-F63/E63,""),IF(transport_type="Emissions from new vehicles",1-F63/E63,NA()))</f>
        <v>#N/A</v>
      </c>
      <c r="I63" s="83"/>
    </row>
    <row r="64" spans="1:14" s="82" customFormat="1" ht="24.95" customHeight="1" x14ac:dyDescent="0.25">
      <c r="B64" s="155"/>
      <c r="C64" s="121" t="s">
        <v>73</v>
      </c>
      <c r="D64" s="85" t="s">
        <v>109</v>
      </c>
      <c r="E64" s="86" t="str">
        <f>IF(wtt_by&gt;0,wtt_by,"")</f>
        <v/>
      </c>
      <c r="F64" s="86" t="str">
        <f>IF(wtt_by&gt;0,wttabs_B2DS,"")</f>
        <v/>
      </c>
      <c r="G64" s="129" t="str">
        <f>IF(wtt_by&gt;0,1-F64/E64,"")</f>
        <v/>
      </c>
      <c r="I64" s="83"/>
    </row>
    <row r="65" spans="1:9" s="82" customFormat="1" ht="24.95" customHeight="1" x14ac:dyDescent="0.25">
      <c r="B65" s="155"/>
      <c r="C65" s="121" t="s">
        <v>23</v>
      </c>
      <c r="D65" s="85" t="str">
        <f>IF(AND(transport_type&lt;&gt;"",modes&lt;&gt;""),VLOOKUP(modes,Catalogues!C3:F28,4,FALSE),"Select a transport mode / category")</f>
        <v>Select a transport mode / category</v>
      </c>
      <c r="E65" s="86" t="e">
        <f>IF(Calculations!C5="Homogeneous",IF(wtt_by&gt;0,wtt_by/activity_by*1000*1000,""),NA())</f>
        <v>#N/A</v>
      </c>
      <c r="F65" s="86" t="e">
        <f>IF(Calculations!C5="Homogeneous",IF(wtt_by&gt;0,wttint_B2DS,""),NA())</f>
        <v>#N/A</v>
      </c>
      <c r="G65" s="129" t="e">
        <f>IF(Calculations!C5="Homogeneous",IF(wtt_by&gt;0,1-F65/E65,""),NA())</f>
        <v>#N/A</v>
      </c>
      <c r="I65" s="83"/>
    </row>
    <row r="66" spans="1:9" s="82" customFormat="1" ht="24.95" customHeight="1" x14ac:dyDescent="0.25">
      <c r="B66" s="155"/>
      <c r="C66" s="121" t="s">
        <v>150</v>
      </c>
      <c r="D66" s="85" t="s">
        <v>109</v>
      </c>
      <c r="E66" s="86" t="str">
        <f>IF(ttw_by&gt;0,ttw_by,"")</f>
        <v/>
      </c>
      <c r="F66" s="86" t="str">
        <f>IF(ttw_by&gt;0,ttwabs_B2DS,"")</f>
        <v/>
      </c>
      <c r="G66" s="129" t="str">
        <f>IF(ttw_by&gt;0,1-F66/E66,"")</f>
        <v/>
      </c>
      <c r="I66" s="83"/>
    </row>
    <row r="67" spans="1:9" s="82" customFormat="1" ht="24.95" customHeight="1" x14ac:dyDescent="0.25">
      <c r="B67" s="156"/>
      <c r="C67" s="121" t="s">
        <v>131</v>
      </c>
      <c r="D67" s="85" t="str">
        <f>IF(AND(transport_type&lt;&gt;"",modes&lt;&gt;""),VLOOKUP(modes,Catalogues!C3:F28,4,FALSE),"Select a transport mode / category")</f>
        <v>Select a transport mode / category</v>
      </c>
      <c r="E67" s="86" t="e">
        <f>IF(Calculations!C5="Homogeneous",IF(ttw_by&gt;0,ttw_by/activity_by*1000*1000,""),NA())</f>
        <v>#N/A</v>
      </c>
      <c r="F67" s="86" t="e">
        <f>IF(Calculations!C5="Homogeneous",IF(ttw_by&gt;0,ttwint_B2DS,""),NA())</f>
        <v>#N/A</v>
      </c>
      <c r="G67" s="129" t="e">
        <f>IF(Calculations!C5="Homogeneous",IF(ttw_by&gt;0,1-F67/E67,""),NA())</f>
        <v>#N/A</v>
      </c>
      <c r="I67" s="83"/>
    </row>
    <row r="68" spans="1:9" s="82" customFormat="1" ht="20.100000000000001" customHeight="1" x14ac:dyDescent="0.25">
      <c r="B68" s="122"/>
      <c r="C68" s="123"/>
      <c r="D68" s="124"/>
      <c r="E68" s="124"/>
      <c r="F68" s="124"/>
      <c r="G68" s="124"/>
      <c r="I68" s="83"/>
    </row>
    <row r="69" spans="1:9" s="82" customFormat="1" ht="311.25" customHeight="1" x14ac:dyDescent="0.25">
      <c r="E69" s="89"/>
    </row>
    <row r="70" spans="1:9" s="82" customFormat="1" ht="20.100000000000001" customHeight="1" x14ac:dyDescent="0.25">
      <c r="B70" s="136"/>
      <c r="C70" s="136"/>
      <c r="D70" s="136"/>
      <c r="E70" s="89"/>
      <c r="F70" s="136"/>
      <c r="G70" s="136"/>
      <c r="H70" s="136"/>
      <c r="I70" s="136"/>
    </row>
    <row r="71" spans="1:9" s="79" customFormat="1" ht="9.9499999999999993" customHeight="1" x14ac:dyDescent="0.25">
      <c r="A71" s="90"/>
      <c r="B71" s="90"/>
      <c r="C71" s="90"/>
      <c r="D71" s="90"/>
      <c r="E71" s="90"/>
      <c r="F71" s="90"/>
      <c r="G71" s="90"/>
      <c r="H71" s="90"/>
      <c r="I71" s="90"/>
    </row>
    <row r="72" spans="1:9" s="82" customFormat="1" x14ac:dyDescent="0.25">
      <c r="B72" s="136"/>
      <c r="C72" s="136"/>
      <c r="D72" s="136"/>
      <c r="F72" s="136"/>
      <c r="G72" s="136"/>
      <c r="H72" s="136"/>
      <c r="I72" s="136"/>
    </row>
    <row r="73" spans="1:9" s="82" customFormat="1" ht="20.100000000000001" customHeight="1" x14ac:dyDescent="0.25">
      <c r="B73" s="136"/>
      <c r="C73" s="136"/>
      <c r="D73" s="136"/>
      <c r="F73" s="136"/>
      <c r="G73" s="136"/>
      <c r="H73" s="136"/>
      <c r="I73" s="136"/>
    </row>
    <row r="74" spans="1:9" s="82" customFormat="1" ht="20.100000000000001" customHeight="1" x14ac:dyDescent="0.25">
      <c r="B74" s="136"/>
      <c r="C74" s="136"/>
      <c r="D74" s="136"/>
      <c r="F74" s="136"/>
      <c r="G74" s="136"/>
      <c r="H74" s="136"/>
      <c r="I74" s="136"/>
    </row>
    <row r="75" spans="1:9" s="82" customFormat="1" ht="20.100000000000001" customHeight="1" x14ac:dyDescent="0.25">
      <c r="B75" s="136"/>
      <c r="C75" s="136"/>
      <c r="D75" s="136"/>
      <c r="F75" s="136"/>
      <c r="G75" s="136"/>
      <c r="H75" s="136"/>
      <c r="I75" s="136"/>
    </row>
    <row r="76" spans="1:9" s="82" customFormat="1" ht="20.100000000000001" customHeight="1" x14ac:dyDescent="0.25">
      <c r="B76" s="136"/>
      <c r="C76" s="136"/>
      <c r="D76" s="136"/>
      <c r="F76" s="136"/>
      <c r="G76" s="136"/>
      <c r="H76" s="136"/>
      <c r="I76" s="136"/>
    </row>
    <row r="77" spans="1:9" s="82" customFormat="1" ht="20.100000000000001" customHeight="1" x14ac:dyDescent="0.25">
      <c r="B77" s="136"/>
      <c r="C77" s="136"/>
      <c r="D77" s="136"/>
      <c r="F77" s="136"/>
      <c r="G77" s="136"/>
      <c r="H77" s="136"/>
      <c r="I77" s="136"/>
    </row>
    <row r="78" spans="1:9" s="82" customFormat="1" ht="20.100000000000001" customHeight="1" x14ac:dyDescent="0.25">
      <c r="B78" s="136"/>
      <c r="C78" s="136"/>
      <c r="D78" s="136"/>
      <c r="F78" s="136"/>
      <c r="G78" s="136"/>
      <c r="H78" s="136"/>
      <c r="I78" s="136"/>
    </row>
    <row r="79" spans="1:9" s="82" customFormat="1" ht="20.100000000000001" customHeight="1" x14ac:dyDescent="0.25">
      <c r="B79" s="136"/>
      <c r="C79" s="136"/>
      <c r="D79" s="136"/>
      <c r="F79" s="136"/>
      <c r="G79" s="136"/>
      <c r="H79" s="136"/>
      <c r="I79" s="136"/>
    </row>
    <row r="80" spans="1:9" s="82" customFormat="1" ht="20.100000000000001" customHeight="1" x14ac:dyDescent="0.25">
      <c r="B80" s="136"/>
      <c r="C80" s="136"/>
      <c r="D80" s="136"/>
      <c r="F80" s="136"/>
      <c r="G80" s="136"/>
      <c r="H80" s="136"/>
      <c r="I80" s="136"/>
    </row>
    <row r="81" spans="2:9" ht="20.100000000000001" customHeight="1" x14ac:dyDescent="0.25">
      <c r="B81" s="136"/>
      <c r="C81" s="136"/>
      <c r="D81" s="136"/>
      <c r="F81" s="136"/>
      <c r="G81" s="136"/>
      <c r="H81" s="136"/>
      <c r="I81" s="136"/>
    </row>
    <row r="82" spans="2:9" ht="20.100000000000001" customHeight="1" x14ac:dyDescent="0.25">
      <c r="B82" s="136"/>
      <c r="C82" s="136"/>
      <c r="D82" s="136"/>
      <c r="F82" s="136"/>
      <c r="G82" s="136"/>
      <c r="H82" s="136"/>
      <c r="I82" s="136"/>
    </row>
    <row r="83" spans="2:9" ht="20.100000000000001" customHeight="1" x14ac:dyDescent="0.25">
      <c r="B83" s="136"/>
      <c r="C83" s="136"/>
      <c r="D83" s="136"/>
      <c r="F83" s="136"/>
      <c r="G83" s="136"/>
      <c r="H83" s="136"/>
      <c r="I83" s="136"/>
    </row>
    <row r="84" spans="2:9" ht="20.100000000000001" customHeight="1" x14ac:dyDescent="0.25"/>
    <row r="85" spans="2:9" ht="20.100000000000001" customHeight="1" x14ac:dyDescent="0.25"/>
    <row r="86" spans="2:9" ht="20.100000000000001" customHeight="1" x14ac:dyDescent="0.25"/>
    <row r="87" spans="2:9" ht="20.100000000000001" customHeight="1" x14ac:dyDescent="0.25"/>
    <row r="88" spans="2:9" ht="20.100000000000001" customHeight="1" x14ac:dyDescent="0.25"/>
    <row r="89" spans="2:9" ht="20.100000000000001" customHeight="1" x14ac:dyDescent="0.25">
      <c r="C89" s="61"/>
      <c r="D89" s="61"/>
      <c r="E89" s="61"/>
      <c r="F89" s="61"/>
      <c r="G89" s="61"/>
      <c r="H89" s="61"/>
      <c r="I89" s="61"/>
    </row>
    <row r="90" spans="2:9" ht="20.100000000000001" customHeight="1" x14ac:dyDescent="0.25">
      <c r="C90" s="61"/>
      <c r="D90" s="61"/>
      <c r="E90" s="61"/>
      <c r="F90" s="61"/>
      <c r="G90" s="61"/>
      <c r="H90" s="61"/>
      <c r="I90" s="61"/>
    </row>
    <row r="91" spans="2:9" ht="20.100000000000001" customHeight="1" x14ac:dyDescent="0.25">
      <c r="C91" s="61"/>
      <c r="D91" s="61"/>
      <c r="E91" s="61"/>
      <c r="F91" s="61"/>
      <c r="G91" s="61"/>
      <c r="H91" s="61"/>
      <c r="I91" s="61"/>
    </row>
    <row r="92" spans="2:9" ht="20.100000000000001" customHeight="1" x14ac:dyDescent="0.25">
      <c r="C92" s="61"/>
      <c r="D92" s="61"/>
      <c r="E92" s="61"/>
      <c r="F92" s="61"/>
      <c r="G92" s="61"/>
      <c r="H92" s="61"/>
      <c r="I92" s="61"/>
    </row>
    <row r="93" spans="2:9" ht="20.100000000000001" customHeight="1" x14ac:dyDescent="0.25">
      <c r="C93" s="61"/>
      <c r="D93" s="61"/>
      <c r="E93" s="61"/>
      <c r="F93" s="61"/>
      <c r="G93" s="61"/>
      <c r="H93" s="61"/>
      <c r="I93" s="61"/>
    </row>
  </sheetData>
  <sheetProtection algorithmName="SHA-512" hashValue="JguC2HJnniIPc1ggkIzzj0wiENy3AGGiNbhgywOfJ8MhL44sEtPNQBXbRytRceLaTlqKTfB55gTJS6j4VYQdyQ==" saltValue="NZ1tqxNKowE0L8qXzdC+EQ==" spinCount="100000" sheet="1" objects="1" scenarios="1"/>
  <mergeCells count="7">
    <mergeCell ref="B62:B67"/>
    <mergeCell ref="C4:I4"/>
    <mergeCell ref="B17:C17"/>
    <mergeCell ref="B21:C21"/>
    <mergeCell ref="B43:D43"/>
    <mergeCell ref="B61:D61"/>
    <mergeCell ref="B44:B49"/>
  </mergeCells>
  <conditionalFormatting sqref="B34:C34">
    <cfRule type="expression" dxfId="24" priority="212">
      <formula>C$31=""</formula>
    </cfRule>
  </conditionalFormatting>
  <conditionalFormatting sqref="D34">
    <cfRule type="expression" dxfId="23" priority="210">
      <formula>C$31=""</formula>
    </cfRule>
  </conditionalFormatting>
  <conditionalFormatting sqref="C46:G49">
    <cfRule type="expression" dxfId="22" priority="2">
      <formula>AND($C$32=0,$C$33=0)</formula>
    </cfRule>
    <cfRule type="expression" dxfId="21" priority="23">
      <formula>transport_type="Emissions from new vehicles"</formula>
    </cfRule>
  </conditionalFormatting>
  <conditionalFormatting sqref="C45:G49">
    <cfRule type="expression" dxfId="20" priority="22">
      <formula>OR(transport_type="aviation emissions",modes="Freight - Maritime")</formula>
    </cfRule>
  </conditionalFormatting>
  <conditionalFormatting sqref="C64:G67">
    <cfRule type="expression" dxfId="19" priority="1">
      <formula>AND($C$32=0,$C$33=0)</formula>
    </cfRule>
    <cfRule type="expression" dxfId="18" priority="21">
      <formula>transport_type="Emissions from new vehicles"</formula>
    </cfRule>
  </conditionalFormatting>
  <conditionalFormatting sqref="C63:G67">
    <cfRule type="expression" dxfId="17" priority="20">
      <formula>OR(transport_type="aviation emissions",modes="Freight - Maritime")</formula>
    </cfRule>
  </conditionalFormatting>
  <conditionalFormatting sqref="C28">
    <cfRule type="expression" dxfId="16" priority="18">
      <formula>$B$28=""</formula>
    </cfRule>
  </conditionalFormatting>
  <conditionalFormatting sqref="C32">
    <cfRule type="expression" dxfId="15" priority="8">
      <formula>AND($B$32="",$B$31="")</formula>
    </cfRule>
    <cfRule type="expression" dxfId="14" priority="16">
      <formula>$B$32=""</formula>
    </cfRule>
  </conditionalFormatting>
  <conditionalFormatting sqref="C29">
    <cfRule type="expression" dxfId="13" priority="6">
      <formula>$D$29="Not required"</formula>
    </cfRule>
    <cfRule type="expression" dxfId="12" priority="13">
      <formula>AND($B$29="",$B$28="")</formula>
    </cfRule>
    <cfRule type="expression" dxfId="11" priority="14">
      <formula>$B$28=""</formula>
    </cfRule>
  </conditionalFormatting>
  <conditionalFormatting sqref="C30">
    <cfRule type="expression" dxfId="10" priority="5">
      <formula>$D$30="Not required"</formula>
    </cfRule>
    <cfRule type="expression" dxfId="9" priority="12">
      <formula>$B$30=""</formula>
    </cfRule>
  </conditionalFormatting>
  <conditionalFormatting sqref="C31">
    <cfRule type="expression" dxfId="8" priority="7">
      <formula>$B$32="Well to Tank emissions in base year"</formula>
    </cfRule>
    <cfRule type="expression" dxfId="7" priority="11">
      <formula>$B$31=""</formula>
    </cfRule>
  </conditionalFormatting>
  <conditionalFormatting sqref="C33">
    <cfRule type="expression" dxfId="6" priority="10">
      <formula>$B$32=""</formula>
    </cfRule>
  </conditionalFormatting>
  <conditionalFormatting sqref="E44:G49 E62:F62">
    <cfRule type="expression" dxfId="5" priority="181">
      <formula>OR($C$25=0,$C$26=0)</formula>
    </cfRule>
    <cfRule type="expression" dxfId="4" priority="196">
      <formula>OR($B$17=0,$B$21=0)</formula>
    </cfRule>
  </conditionalFormatting>
  <conditionalFormatting sqref="E63:G67">
    <cfRule type="expression" dxfId="3" priority="74">
      <formula>OR($C$25=0,$C$26=0)</formula>
    </cfRule>
    <cfRule type="expression" dxfId="2" priority="75">
      <formula>OR($B$17=0,$B$21=0)</formula>
    </cfRule>
  </conditionalFormatting>
  <conditionalFormatting sqref="G62">
    <cfRule type="expression" dxfId="1" priority="3">
      <formula>OR($C$25=0,$C$26=0)</formula>
    </cfRule>
    <cfRule type="expression" dxfId="0" priority="4">
      <formula>OR($B$17=0,$B$21=0)</formula>
    </cfRule>
  </conditionalFormatting>
  <dataValidations count="4">
    <dataValidation type="whole" allowBlank="1" showDropDown="1" showInputMessage="1" showErrorMessage="1" errorTitle="Error" error="Please select a valid target year" prompt="Base and target years: Targets must cover a minimum of 5 years and a maximum of 10 years from the date the target is submitted to the SBTi for an official validation" sqref="C26" xr:uid="{00000000-0002-0000-0700-000000000000}">
      <formula1>2025</formula1>
      <formula2>2050</formula2>
    </dataValidation>
    <dataValidation type="whole" allowBlank="1" showInputMessage="1" showErrorMessage="1" errorTitle="Error" error="Please select a valid base year" prompt="Base and target years: Targets must cover a minimum of 5 years and a maximum of 10 years from the date the target is submitted to the SBTi for an official validation" sqref="C25" xr:uid="{00000000-0002-0000-0700-000001000000}">
      <formula1>2015</formula1>
      <formula2>2024</formula2>
    </dataValidation>
    <dataValidation type="list" allowBlank="1" showInputMessage="1" showErrorMessage="1" sqref="B21:C21" xr:uid="{00000000-0002-0000-0700-000002000000}">
      <formula1>INDIRECT(SUBSTITUTE($B$17," ","_"))</formula1>
    </dataValidation>
    <dataValidation type="custom" errorStyle="warning" allowBlank="1" showInputMessage="1" showErrorMessage="1" errorTitle="Warning" error="Verify that TTW and WTT emissions add up to WTW emissions" sqref="C33" xr:uid="{00000000-0002-0000-0700-000003000000}">
      <formula1>C33+C32=C28</formula1>
    </dataValidation>
  </dataValidations>
  <hyperlinks>
    <hyperlink ref="D7" location="Terms" display="Terms of use" xr:uid="{00000000-0004-0000-0700-000000000000}"/>
    <hyperlink ref="E7" location="Disclaimer" display="Disclaimer" xr:uid="{00000000-0004-0000-0700-000001000000}"/>
    <hyperlink ref="C37" location="Tool!B66" display="Go to B2DS results" xr:uid="{00000000-0004-0000-0700-000002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Catalogues!$D$35:$D$36</xm:f>
          </x14:formula1>
          <xm:sqref>B17:C17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48</vt:i4>
      </vt:variant>
    </vt:vector>
  </HeadingPairs>
  <TitlesOfParts>
    <vt:vector size="50" baseType="lpstr">
      <vt:lpstr>Intro</vt:lpstr>
      <vt:lpstr>Tool</vt:lpstr>
      <vt:lpstr>ACTIVITY_2DS</vt:lpstr>
      <vt:lpstr>ACTIVITY_B2DS</vt:lpstr>
      <vt:lpstr>activity_by</vt:lpstr>
      <vt:lpstr>activity_ty</vt:lpstr>
      <vt:lpstr>Aviation_emissions</vt:lpstr>
      <vt:lpstr>by</vt:lpstr>
      <vt:lpstr>Disclaimer</vt:lpstr>
      <vt:lpstr>Emissions_from_new_vehicles</vt:lpstr>
      <vt:lpstr>Freight_transport_emissions</vt:lpstr>
      <vt:lpstr>Fuel_economy</vt:lpstr>
      <vt:lpstr>LDAlow</vt:lpstr>
      <vt:lpstr>Load_2DS</vt:lpstr>
      <vt:lpstr>Load_B2DS</vt:lpstr>
      <vt:lpstr>modes</vt:lpstr>
      <vt:lpstr>Passenger_transport_emissions</vt:lpstr>
      <vt:lpstr>Target</vt:lpstr>
      <vt:lpstr>Terms</vt:lpstr>
      <vt:lpstr>transport_type</vt:lpstr>
      <vt:lpstr>ttw_by</vt:lpstr>
      <vt:lpstr>ttwabs_2DS</vt:lpstr>
      <vt:lpstr>ttwabs_B2DS</vt:lpstr>
      <vt:lpstr>TTWEmissions_2DS</vt:lpstr>
      <vt:lpstr>TTWEmissions_B2DS</vt:lpstr>
      <vt:lpstr>ttwint_2DS</vt:lpstr>
      <vt:lpstr>ttwint_B2DS</vt:lpstr>
      <vt:lpstr>TTWIntensity_2DS</vt:lpstr>
      <vt:lpstr>TTWIntensity_B2DS</vt:lpstr>
      <vt:lpstr>ty</vt:lpstr>
      <vt:lpstr>types</vt:lpstr>
      <vt:lpstr>unit</vt:lpstr>
      <vt:lpstr>wtt_by</vt:lpstr>
      <vt:lpstr>wttabs_2DS</vt:lpstr>
      <vt:lpstr>wttabs_B2DS</vt:lpstr>
      <vt:lpstr>WTTEmissions_2DS</vt:lpstr>
      <vt:lpstr>WTTEmissions_B2DS</vt:lpstr>
      <vt:lpstr>wttint_2DS</vt:lpstr>
      <vt:lpstr>wttint_B2DS</vt:lpstr>
      <vt:lpstr>WTTIntensity_2DS</vt:lpstr>
      <vt:lpstr>WTTIntensity_B2DS</vt:lpstr>
      <vt:lpstr>wtw_by</vt:lpstr>
      <vt:lpstr>wtwabs_2DS</vt:lpstr>
      <vt:lpstr>wtwabs_B2DS</vt:lpstr>
      <vt:lpstr>WTWEmissions_2DS</vt:lpstr>
      <vt:lpstr>WTWEmissions_B2DS</vt:lpstr>
      <vt:lpstr>wtwint_2DS</vt:lpstr>
      <vt:lpstr>wtwint_B2DS</vt:lpstr>
      <vt:lpstr>WTWIntensity_2DS</vt:lpstr>
      <vt:lpstr>WTWIntensity_B2DS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Rangel</dc:creator>
  <cp:lastModifiedBy>Fernando Rangel</cp:lastModifiedBy>
  <dcterms:created xsi:type="dcterms:W3CDTF">2017-12-11T02:50:35Z</dcterms:created>
  <dcterms:modified xsi:type="dcterms:W3CDTF">2023-02-13T21:51:53Z</dcterms:modified>
</cp:coreProperties>
</file>