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4.bin" ContentType="application/vnd.openxmlformats-officedocument.spreadsheetml.customProperty"/>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ustomProperty5.bin" ContentType="application/vnd.openxmlformats-officedocument.spreadsheetml.customProperty"/>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ustomProperty8.bin" ContentType="application/vnd.openxmlformats-officedocument.spreadsheetml.customProperty"/>
  <Override PartName="/xl/customProperty9.bin" ContentType="application/vnd.openxmlformats-officedocument.spreadsheetml.customProperty"/>
  <Override PartName="/xl/tables/table4.xml" ContentType="application/vnd.openxmlformats-officedocument.spreadsheetml.table+xml"/>
  <Override PartName="/xl/customProperty10.bin" ContentType="application/vnd.openxmlformats-officedocument.spreadsheetml.customProperty"/>
  <Override PartName="/xl/tables/table5.xml" ContentType="application/vnd.openxmlformats-officedocument.spreadsheetml.table+xml"/>
  <Override PartName="/xl/customProperty11.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12.bin" ContentType="application/vnd.openxmlformats-officedocument.spreadsheetml.customProperty"/>
  <Override PartName="/xl/customProperty1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codeName="ThisWorkbook" defaultThemeVersion="166925"/>
  <mc:AlternateContent xmlns:mc="http://schemas.openxmlformats.org/markup-compatibility/2006">
    <mc:Choice Requires="x15">
      <x15ac:absPath xmlns:x15ac="http://schemas.microsoft.com/office/spreadsheetml/2010/11/ac" url="C:\Users\Fernando Rangel\Downloads\"/>
    </mc:Choice>
  </mc:AlternateContent>
  <xr:revisionPtr revIDLastSave="0" documentId="13_ncr:1_{BF17BDD8-0B1D-4885-9873-893D2A43728F}" xr6:coauthVersionLast="47" xr6:coauthVersionMax="47" xr10:uidLastSave="{00000000-0000-0000-0000-000000000000}"/>
  <workbookProtection workbookAlgorithmName="SHA-512" workbookHashValue="+L2Z/dLh1WJGeMs3zt0/gwpsq9vwPpwzQek61cxAb+NKpoaq3ut0LetJYQQOIUoSlfFkGAZVkr8TzStUKKgUYw==" workbookSaltValue="tJODEZ+WtAylyy38H7d0Xg==" workbookSpinCount="100000" lockStructure="1"/>
  <bookViews>
    <workbookView xWindow="-120" yWindow="-120" windowWidth="20730" windowHeight="11160" tabRatio="891" activeTab="2" xr2:uid="{00000000-000D-0000-FFFF-FFFF00000000}"/>
  </bookViews>
  <sheets>
    <sheet name="Intro" sheetId="32" r:id="rId1"/>
    <sheet name="Definitions" sheetId="38" r:id="rId2"/>
    <sheet name="Airlines" sheetId="5" r:id="rId3"/>
    <sheet name="Contracted Freight" sheetId="41" r:id="rId4"/>
    <sheet name="Business Travel" sheetId="40" r:id="rId5"/>
    <sheet name="Fuel to emissions calculator" sheetId="10" r:id="rId6"/>
    <sheet name="Data" sheetId="20" r:id="rId7"/>
    <sheet name="DataInt" sheetId="46" state="veryHidden" r:id="rId8"/>
    <sheet name="PACE" sheetId="45" state="veryHidden" r:id="rId9"/>
    <sheet name="SDS Calc" sheetId="47" state="veryHidden" r:id="rId10"/>
    <sheet name="Calculations" sheetId="21" r:id="rId11"/>
    <sheet name="Catalogues" sheetId="3" state="hidden" r:id="rId12"/>
    <sheet name="SAF" sheetId="14" state="veryHidden" r:id="rId13"/>
    <sheet name="SDS Main" sheetId="25" state="veryHidden" r:id="rId14"/>
    <sheet name="NZE" sheetId="44" state="veryHidden" r:id="rId15"/>
    <sheet name="GACA" sheetId="36" state="veryHidden" r:id="rId16"/>
    <sheet name="ETP" sheetId="42" state="veryHidden" r:id="rId17"/>
    <sheet name="_SSC" sheetId="37" state="veryHidden" r:id="rId18"/>
  </sheets>
  <externalReferences>
    <externalReference r:id="rId19"/>
    <externalReference r:id="rId20"/>
  </externalReferences>
  <definedNames>
    <definedName name="activity_approach">Airlines!$E$45</definedName>
    <definedName name="activity_co">Catalogues!$M$2</definedName>
    <definedName name="activity_units">Catalogues!$AF$3</definedName>
    <definedName name="ba">Airlines!$T$38</definedName>
    <definedName name="base">Airlines!$E$17</definedName>
    <definedName name="be">Airlines!$T$27</definedName>
    <definedName name="bf">Airlines!$T$53</definedName>
    <definedName name="bla">Airlines!$S$38</definedName>
    <definedName name="ble">Airlines!$S$27</definedName>
    <definedName name="blf">Airlines!$S$53</definedName>
    <definedName name="bsa">Airlines!$R$38</definedName>
    <definedName name="bse">Airlines!$R$27</definedName>
    <definedName name="bsf">Airlines!$R$53</definedName>
    <definedName name="bt_base">#REF!</definedName>
    <definedName name="bt_CAGR">#REF!</definedName>
    <definedName name="bt_target">#REF!</definedName>
    <definedName name="bta">#REF!</definedName>
    <definedName name="bte">#REF!</definedName>
    <definedName name="btf">#REF!</definedName>
    <definedName name="C_CAGR">'Contracted Freight'!$E$37</definedName>
    <definedName name="CAAGR_tolerance">200</definedName>
    <definedName name="cab">'Contracted Freight'!$Q$33</definedName>
    <definedName name="caf">'Contracted Freight'!$Q$35</definedName>
    <definedName name="cf_forecast_select">'Contracted Freight'!$E$35</definedName>
    <definedName name="cfa">'Contracted Freight'!$Q$33</definedName>
    <definedName name="cfe">'Contracted Freight'!$Q$26</definedName>
    <definedName name="cff">'Contracted Freight'!$Q$35</definedName>
    <definedName name="company">Airlines!$E$15</definedName>
    <definedName name="covid_recovery">Catalogues!$U$3</definedName>
    <definedName name="covid_start">Catalogues!$U$2</definedName>
    <definedName name="DED_only">Catalogues!$AB$4</definedName>
    <definedName name="dla">Airlines!$V$38</definedName>
    <definedName name="dle">Airlines!$V$27</definedName>
    <definedName name="dlf">Airlines!$V$53</definedName>
    <definedName name="dsa">Airlines!$U$38</definedName>
    <definedName name="dse">Airlines!$U$27</definedName>
    <definedName name="dsf">Airlines!$U$53</definedName>
    <definedName name="edition">"Energy Technology Perspectives 2020"</definedName>
    <definedName name="emissions_factor">Catalogues!$M$3</definedName>
    <definedName name="emissions_units">Catalogues!$AF$2</definedName>
    <definedName name="f_CAGR">Airlines!$E$47</definedName>
    <definedName name="PAX_DED">Catalogues!$AB$3</definedName>
    <definedName name="PAX_only">Catalogues!$AB$2</definedName>
    <definedName name="pla">Airlines!$Q$38</definedName>
    <definedName name="ple">Airlines!$Q$27</definedName>
    <definedName name="plf">Airlines!$Q$53</definedName>
    <definedName name="psa">Airlines!$P$38</definedName>
    <definedName name="pse">Airlines!$P$27</definedName>
    <definedName name="psf">Airlines!$P$53</definedName>
    <definedName name="RoundFactorLong">4</definedName>
    <definedName name="RoundFactorMed">3</definedName>
    <definedName name="RoundFactorShort">3</definedName>
    <definedName name="S3_base">'Business Travel'!$E$17</definedName>
    <definedName name="S3_Emissions">'Business Travel'!$R$25</definedName>
    <definedName name="S3_FTE_Target">'Business Travel'!$R$31</definedName>
    <definedName name="S3_target">'Business Travel'!$E$18</definedName>
    <definedName name="S34_Activity_base">'Contracted Freight'!$Q$33</definedName>
    <definedName name="S34_Activity_Forecast">'Contracted Freight'!$Q$35</definedName>
    <definedName name="S34_base">'Contracted Freight'!$E$17</definedName>
    <definedName name="S34_target">'Contracted Freight'!$E$18</definedName>
    <definedName name="S36_base">'Business Travel'!$E$17</definedName>
    <definedName name="S36_FTE_Base">'Business Travel'!$R$30</definedName>
    <definedName name="S36_target">'Business Travel'!$E$18</definedName>
    <definedName name="sector_base" localSheetId="9">'SDS Calc'!$B$4</definedName>
    <definedName name="sector_base">Calculations!$B$4</definedName>
    <definedName name="sector_convergence" localSheetId="9">'SDS Calc'!$B$5</definedName>
    <definedName name="sector_convergence">Calculations!$B$5</definedName>
    <definedName name="SmallestNonZeroValue">0.00001</definedName>
    <definedName name="SumTolerance">0.005</definedName>
    <definedName name="t_Business_travel_air">#REF!</definedName>
    <definedName name="target">Airlines!$E$18</definedName>
    <definedName name="TTW_avail">Catalogues!$AD$3</definedName>
    <definedName name="WTW_avail">Catalogues!$AD$2</definedName>
    <definedName name="wtw_factor">Catalogues!$I$20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5" l="1"/>
  <c r="V21" i="46"/>
  <c r="V97" i="21" s="1"/>
  <c r="V20" i="46"/>
  <c r="V19" i="46"/>
  <c r="V18" i="46"/>
  <c r="V17" i="46"/>
  <c r="V16" i="46"/>
  <c r="V15" i="46"/>
  <c r="X21" i="46" l="1"/>
  <c r="Y21" i="46"/>
  <c r="Z21" i="46"/>
  <c r="AA21" i="46"/>
  <c r="AB21" i="46"/>
  <c r="AC21" i="46"/>
  <c r="AD21" i="46"/>
  <c r="AE21" i="46"/>
  <c r="AF21" i="46"/>
  <c r="AG21" i="46"/>
  <c r="AH21" i="46"/>
  <c r="AI21" i="46"/>
  <c r="AJ21" i="46"/>
  <c r="AK21" i="46"/>
  <c r="AL21" i="46"/>
  <c r="AM21" i="46"/>
  <c r="AN21" i="46"/>
  <c r="W21" i="46"/>
  <c r="F21" i="46"/>
  <c r="F97" i="21" s="1"/>
  <c r="G21" i="46"/>
  <c r="G97" i="21" s="1"/>
  <c r="H21" i="46"/>
  <c r="H97" i="21" s="1"/>
  <c r="I21" i="46"/>
  <c r="I97" i="21" s="1"/>
  <c r="J21" i="46"/>
  <c r="J97" i="21" s="1"/>
  <c r="K21" i="46"/>
  <c r="K97" i="21" s="1"/>
  <c r="L21" i="46"/>
  <c r="L97" i="21" s="1"/>
  <c r="M21" i="46"/>
  <c r="M97" i="21" s="1"/>
  <c r="N21" i="46"/>
  <c r="N97" i="21" s="1"/>
  <c r="O21" i="46"/>
  <c r="O97" i="21" s="1"/>
  <c r="P21" i="46"/>
  <c r="P97" i="21" s="1"/>
  <c r="Q21" i="46"/>
  <c r="Q97" i="21" s="1"/>
  <c r="R21" i="46"/>
  <c r="R97" i="21" s="1"/>
  <c r="S21" i="46"/>
  <c r="S97" i="21" s="1"/>
  <c r="T21" i="46"/>
  <c r="T97" i="21" s="1"/>
  <c r="U21" i="46"/>
  <c r="U97" i="21" s="1"/>
  <c r="E21" i="46"/>
  <c r="E97" i="21" s="1"/>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X15" i="46"/>
  <c r="Y15" i="46"/>
  <c r="Z15" i="46"/>
  <c r="AA15" i="46"/>
  <c r="AB15" i="46"/>
  <c r="AC15" i="46"/>
  <c r="AD15" i="46"/>
  <c r="AE15" i="46"/>
  <c r="AF15" i="46"/>
  <c r="AG15" i="46"/>
  <c r="AH15" i="46"/>
  <c r="AI15" i="46"/>
  <c r="AJ15" i="46"/>
  <c r="AK15" i="46"/>
  <c r="AL15" i="46"/>
  <c r="AM15" i="46"/>
  <c r="AN15" i="46"/>
  <c r="X16" i="46"/>
  <c r="Y16" i="46"/>
  <c r="Z16" i="46"/>
  <c r="AA16" i="46"/>
  <c r="AB16" i="46"/>
  <c r="AC16" i="46"/>
  <c r="AD16" i="46"/>
  <c r="AE16" i="46"/>
  <c r="AF16" i="46"/>
  <c r="AG16" i="46"/>
  <c r="AH16" i="46"/>
  <c r="AI16" i="46"/>
  <c r="AJ16" i="46"/>
  <c r="AK16" i="46"/>
  <c r="AL16" i="46"/>
  <c r="AM16" i="46"/>
  <c r="AN16" i="46"/>
  <c r="X17" i="46"/>
  <c r="Y17" i="46"/>
  <c r="Z17" i="46"/>
  <c r="AA17" i="46"/>
  <c r="AB17" i="46"/>
  <c r="AC17" i="46"/>
  <c r="AD17" i="46"/>
  <c r="AE17" i="46"/>
  <c r="AF17" i="46"/>
  <c r="AG17" i="46"/>
  <c r="AH17" i="46"/>
  <c r="AI17" i="46"/>
  <c r="AJ17" i="46"/>
  <c r="AK17" i="46"/>
  <c r="AL17" i="46"/>
  <c r="AM17" i="46"/>
  <c r="AN17" i="46"/>
  <c r="X18" i="46"/>
  <c r="Y18" i="46"/>
  <c r="Z18" i="46"/>
  <c r="AA18" i="46"/>
  <c r="AB18" i="46"/>
  <c r="AC18" i="46"/>
  <c r="AD18" i="46"/>
  <c r="AE18" i="46"/>
  <c r="AF18" i="46"/>
  <c r="AG18" i="46"/>
  <c r="AH18" i="46"/>
  <c r="AI18" i="46"/>
  <c r="AJ18" i="46"/>
  <c r="AK18" i="46"/>
  <c r="AL18" i="46"/>
  <c r="AM18" i="46"/>
  <c r="AN18" i="46"/>
  <c r="X19" i="46"/>
  <c r="Y19" i="46"/>
  <c r="Z19" i="46"/>
  <c r="AA19" i="46"/>
  <c r="AB19" i="46"/>
  <c r="AC19" i="46"/>
  <c r="AD19" i="46"/>
  <c r="AE19" i="46"/>
  <c r="AF19" i="46"/>
  <c r="AG19" i="46"/>
  <c r="AH19" i="46"/>
  <c r="AI19" i="46"/>
  <c r="AJ19" i="46"/>
  <c r="AK19" i="46"/>
  <c r="AL19" i="46"/>
  <c r="AM19" i="46"/>
  <c r="AN19" i="46"/>
  <c r="X20" i="46"/>
  <c r="Y20" i="46"/>
  <c r="Z20" i="46"/>
  <c r="AA20" i="46"/>
  <c r="AB20" i="46"/>
  <c r="AC20" i="46"/>
  <c r="AD20" i="46"/>
  <c r="AE20" i="46"/>
  <c r="AF20" i="46"/>
  <c r="AG20" i="46"/>
  <c r="AH20" i="46"/>
  <c r="AI20" i="46"/>
  <c r="AJ20" i="46"/>
  <c r="AK20" i="46"/>
  <c r="AL20" i="46"/>
  <c r="AM20" i="46"/>
  <c r="AN20" i="46"/>
  <c r="W16" i="46"/>
  <c r="W17" i="46"/>
  <c r="W18" i="46"/>
  <c r="W19" i="46"/>
  <c r="W20" i="46"/>
  <c r="W15" i="46"/>
  <c r="N15" i="46"/>
  <c r="O15" i="46"/>
  <c r="P15" i="46"/>
  <c r="Q15" i="46"/>
  <c r="R15" i="46"/>
  <c r="S15" i="46"/>
  <c r="T15" i="46"/>
  <c r="U15" i="46"/>
  <c r="N16" i="46"/>
  <c r="O16" i="46"/>
  <c r="P16" i="46"/>
  <c r="Q16" i="46"/>
  <c r="R16" i="46"/>
  <c r="S16" i="46"/>
  <c r="T16" i="46"/>
  <c r="U16" i="46"/>
  <c r="N17" i="46"/>
  <c r="O17" i="46"/>
  <c r="P17" i="46"/>
  <c r="Q17" i="46"/>
  <c r="R17" i="46"/>
  <c r="S17" i="46"/>
  <c r="T17" i="46"/>
  <c r="U17" i="46"/>
  <c r="N18" i="46"/>
  <c r="O18" i="46"/>
  <c r="P18" i="46"/>
  <c r="Q18" i="46"/>
  <c r="R18" i="46"/>
  <c r="S18" i="46"/>
  <c r="T18" i="46"/>
  <c r="U18" i="46"/>
  <c r="N19" i="46"/>
  <c r="O19" i="46"/>
  <c r="P19" i="46"/>
  <c r="Q19" i="46"/>
  <c r="R19" i="46"/>
  <c r="S19" i="46"/>
  <c r="T19" i="46"/>
  <c r="U19" i="46"/>
  <c r="N20" i="46"/>
  <c r="O20" i="46"/>
  <c r="P20" i="46"/>
  <c r="Q20" i="46"/>
  <c r="R20" i="46"/>
  <c r="S20" i="46"/>
  <c r="T20" i="46"/>
  <c r="U20" i="46"/>
  <c r="E15" i="46"/>
  <c r="F15" i="46"/>
  <c r="G15" i="46"/>
  <c r="H15" i="46"/>
  <c r="I15" i="46"/>
  <c r="J15" i="46"/>
  <c r="K15" i="46"/>
  <c r="L15" i="46"/>
  <c r="E16" i="46"/>
  <c r="F16" i="46"/>
  <c r="G16" i="46"/>
  <c r="H16" i="46"/>
  <c r="I16" i="46"/>
  <c r="J16" i="46"/>
  <c r="K16" i="46"/>
  <c r="L16" i="46"/>
  <c r="E17" i="46"/>
  <c r="F17" i="46"/>
  <c r="G17" i="46"/>
  <c r="H17" i="46"/>
  <c r="I17" i="46"/>
  <c r="J17" i="46"/>
  <c r="K17" i="46"/>
  <c r="L17" i="46"/>
  <c r="E18" i="46"/>
  <c r="F18" i="46"/>
  <c r="G18" i="46"/>
  <c r="H18" i="46"/>
  <c r="I18" i="46"/>
  <c r="J18" i="46"/>
  <c r="K18" i="46"/>
  <c r="L18" i="46"/>
  <c r="E19" i="46"/>
  <c r="F19" i="46"/>
  <c r="G19" i="46"/>
  <c r="H19" i="46"/>
  <c r="I19" i="46"/>
  <c r="J19" i="46"/>
  <c r="K19" i="46"/>
  <c r="L19" i="46"/>
  <c r="E20" i="46"/>
  <c r="F20" i="46"/>
  <c r="G20" i="46"/>
  <c r="H20" i="46"/>
  <c r="I20" i="46"/>
  <c r="J20" i="46"/>
  <c r="K20" i="46"/>
  <c r="L20" i="46"/>
  <c r="B3" i="47"/>
  <c r="B3" i="21" l="1"/>
  <c r="E165" i="47"/>
  <c r="E164" i="47"/>
  <c r="E162" i="47"/>
  <c r="E157" i="47"/>
  <c r="E156" i="47"/>
  <c r="B153" i="47"/>
  <c r="B152" i="47"/>
  <c r="J151" i="47"/>
  <c r="B151" i="47"/>
  <c r="Q150" i="47"/>
  <c r="P150" i="47"/>
  <c r="O150" i="47"/>
  <c r="J150" i="47"/>
  <c r="F150" i="47"/>
  <c r="E149" i="47"/>
  <c r="F145" i="47"/>
  <c r="E145" i="47"/>
  <c r="CM143" i="47"/>
  <c r="J142" i="47"/>
  <c r="O141" i="47"/>
  <c r="J141" i="47"/>
  <c r="G141" i="47"/>
  <c r="F141" i="47"/>
  <c r="Q137" i="47"/>
  <c r="R137" i="47" s="1"/>
  <c r="S137" i="47" s="1"/>
  <c r="P137" i="47"/>
  <c r="J137" i="47"/>
  <c r="O137" i="47" s="1"/>
  <c r="T137" i="47" s="1"/>
  <c r="F137" i="47"/>
  <c r="G137" i="47" s="1"/>
  <c r="H137" i="47" s="1"/>
  <c r="I137" i="47" s="1"/>
  <c r="O131" i="47"/>
  <c r="P131" i="47" s="1"/>
  <c r="Q131" i="47" s="1"/>
  <c r="R131" i="47" s="1"/>
  <c r="S131" i="47" s="1"/>
  <c r="L131" i="47"/>
  <c r="M131" i="47" s="1"/>
  <c r="N131" i="47" s="1"/>
  <c r="J131" i="47"/>
  <c r="K131" i="47" s="1"/>
  <c r="F131" i="47"/>
  <c r="G131" i="47" s="1"/>
  <c r="H131" i="47" s="1"/>
  <c r="I131" i="47" s="1"/>
  <c r="J126" i="47"/>
  <c r="K126" i="47" s="1"/>
  <c r="L126" i="47" s="1"/>
  <c r="M126" i="47" s="1"/>
  <c r="N126" i="47" s="1"/>
  <c r="F126" i="47"/>
  <c r="G126" i="47" s="1"/>
  <c r="H126" i="47" s="1"/>
  <c r="I126" i="47" s="1"/>
  <c r="E125" i="47"/>
  <c r="E124" i="47"/>
  <c r="E122" i="47"/>
  <c r="L116" i="47"/>
  <c r="J116" i="47"/>
  <c r="E116" i="47"/>
  <c r="J112" i="47"/>
  <c r="K111" i="47"/>
  <c r="J111" i="47"/>
  <c r="M110" i="47"/>
  <c r="L110" i="47"/>
  <c r="L112" i="47" s="1"/>
  <c r="K110" i="47"/>
  <c r="K112" i="47" s="1"/>
  <c r="J110" i="47"/>
  <c r="F110" i="47"/>
  <c r="K107" i="47"/>
  <c r="J107" i="47"/>
  <c r="O103" i="47"/>
  <c r="J103" i="47"/>
  <c r="K103" i="47" s="1"/>
  <c r="L103" i="47" s="1"/>
  <c r="M103" i="47" s="1"/>
  <c r="N103" i="47" s="1"/>
  <c r="F103" i="47"/>
  <c r="G103" i="47" s="1"/>
  <c r="H103" i="47" s="1"/>
  <c r="I103" i="47" s="1"/>
  <c r="E102" i="47"/>
  <c r="E101" i="47"/>
  <c r="E100" i="47"/>
  <c r="E99" i="47"/>
  <c r="E95" i="47"/>
  <c r="E94" i="47"/>
  <c r="J90" i="47"/>
  <c r="G90" i="47"/>
  <c r="F90" i="47"/>
  <c r="F95" i="47" s="1"/>
  <c r="E89" i="47"/>
  <c r="E88" i="47"/>
  <c r="E86" i="47"/>
  <c r="E80" i="47"/>
  <c r="J77" i="47"/>
  <c r="J77" i="21" s="1"/>
  <c r="B77" i="47"/>
  <c r="L76" i="47"/>
  <c r="L76" i="21" s="1"/>
  <c r="B76" i="47"/>
  <c r="B75" i="47"/>
  <c r="U74" i="47"/>
  <c r="T74" i="47"/>
  <c r="O74" i="47"/>
  <c r="M74" i="47"/>
  <c r="L74" i="47"/>
  <c r="L75" i="47" s="1"/>
  <c r="L75" i="21" s="1"/>
  <c r="K74" i="47"/>
  <c r="J74" i="47"/>
  <c r="J75" i="47" s="1"/>
  <c r="J75" i="21" s="1"/>
  <c r="G74" i="47"/>
  <c r="F74" i="47"/>
  <c r="E73" i="47"/>
  <c r="E72" i="47"/>
  <c r="E70" i="47"/>
  <c r="E64" i="47"/>
  <c r="B61" i="47"/>
  <c r="B60" i="47"/>
  <c r="B59" i="47"/>
  <c r="O58" i="47"/>
  <c r="K58" i="47"/>
  <c r="K59" i="47" s="1"/>
  <c r="K59" i="21" s="1"/>
  <c r="J58" i="47"/>
  <c r="J59" i="47" s="1"/>
  <c r="J59" i="21" s="1"/>
  <c r="G58" i="47"/>
  <c r="G64" i="47" s="1"/>
  <c r="F58" i="47"/>
  <c r="E57" i="47"/>
  <c r="E56" i="47"/>
  <c r="E54" i="47"/>
  <c r="E48" i="47"/>
  <c r="B45" i="47"/>
  <c r="B44" i="47"/>
  <c r="B43" i="47"/>
  <c r="J42" i="47"/>
  <c r="F42" i="47"/>
  <c r="E41" i="47"/>
  <c r="E40" i="47"/>
  <c r="E38" i="47"/>
  <c r="E32" i="47"/>
  <c r="J29" i="47"/>
  <c r="J29" i="21" s="1"/>
  <c r="B29" i="47"/>
  <c r="B28" i="47"/>
  <c r="B27" i="47"/>
  <c r="T26" i="47"/>
  <c r="O26" i="47"/>
  <c r="K26" i="47"/>
  <c r="J26" i="47"/>
  <c r="J27" i="47" s="1"/>
  <c r="J27" i="21" s="1"/>
  <c r="G26" i="47"/>
  <c r="F26" i="47"/>
  <c r="E25" i="47"/>
  <c r="E24" i="47"/>
  <c r="E22" i="47"/>
  <c r="E16" i="47"/>
  <c r="B13" i="47"/>
  <c r="B12" i="47"/>
  <c r="B11" i="47"/>
  <c r="K10" i="47"/>
  <c r="K13" i="47" s="1"/>
  <c r="K13" i="21" s="1"/>
  <c r="J10" i="47"/>
  <c r="J22" i="47" s="1"/>
  <c r="F10" i="47"/>
  <c r="P8" i="47"/>
  <c r="O8" i="47"/>
  <c r="K8" i="47"/>
  <c r="J8" i="47"/>
  <c r="H8" i="47"/>
  <c r="I8" i="47" s="1"/>
  <c r="G8" i="47"/>
  <c r="F8" i="47"/>
  <c r="B4" i="47"/>
  <c r="E27" i="47"/>
  <c r="E112" i="47"/>
  <c r="E75" i="47"/>
  <c r="E113" i="47"/>
  <c r="E29" i="47"/>
  <c r="E13" i="47"/>
  <c r="E151" i="47"/>
  <c r="E44" i="47"/>
  <c r="E28" i="47"/>
  <c r="E59" i="47"/>
  <c r="E107" i="47"/>
  <c r="E153" i="47"/>
  <c r="E76" i="47"/>
  <c r="E152" i="47"/>
  <c r="E111" i="47"/>
  <c r="E43" i="47"/>
  <c r="E77" i="47"/>
  <c r="E61" i="47"/>
  <c r="E12" i="47"/>
  <c r="E45" i="47"/>
  <c r="E11" i="47"/>
  <c r="E60" i="47"/>
  <c r="E77" i="21" l="1"/>
  <c r="E76" i="21"/>
  <c r="E75" i="21"/>
  <c r="E61" i="21"/>
  <c r="E60" i="21"/>
  <c r="E59" i="21"/>
  <c r="E45" i="21"/>
  <c r="E44" i="21"/>
  <c r="E43" i="21"/>
  <c r="E29" i="21"/>
  <c r="E28" i="21"/>
  <c r="E27" i="21"/>
  <c r="E13" i="21"/>
  <c r="E12" i="21"/>
  <c r="E11" i="21"/>
  <c r="K21" i="47"/>
  <c r="E104" i="47"/>
  <c r="E105" i="47"/>
  <c r="I117" i="47"/>
  <c r="F157" i="47"/>
  <c r="J11" i="47"/>
  <c r="J11" i="21" s="1"/>
  <c r="G157" i="47"/>
  <c r="O117" i="47"/>
  <c r="J16" i="47"/>
  <c r="K11" i="47"/>
  <c r="K11" i="21" s="1"/>
  <c r="P117" i="47"/>
  <c r="J12" i="47"/>
  <c r="J12" i="21" s="1"/>
  <c r="K12" i="47"/>
  <c r="K12" i="21" s="1"/>
  <c r="H157" i="47"/>
  <c r="Q8" i="47"/>
  <c r="L10" i="47"/>
  <c r="J161" i="47"/>
  <c r="J117" i="47"/>
  <c r="J118" i="47" s="1"/>
  <c r="J91" i="47"/>
  <c r="J91" i="21" s="1"/>
  <c r="J85" i="47"/>
  <c r="J69" i="47"/>
  <c r="J53" i="47"/>
  <c r="J37" i="47"/>
  <c r="J21" i="47"/>
  <c r="J13" i="47"/>
  <c r="J13" i="21" s="1"/>
  <c r="F24" i="47"/>
  <c r="F16" i="47"/>
  <c r="F25" i="47"/>
  <c r="K32" i="47"/>
  <c r="K38" i="47"/>
  <c r="K29" i="47"/>
  <c r="K29" i="21" s="1"/>
  <c r="K27" i="47"/>
  <c r="K27" i="21" s="1"/>
  <c r="K28" i="47"/>
  <c r="K28" i="21" s="1"/>
  <c r="L26" i="47"/>
  <c r="K16" i="47"/>
  <c r="K22" i="47"/>
  <c r="K161" i="47"/>
  <c r="K117" i="47"/>
  <c r="K85" i="47"/>
  <c r="K91" i="47"/>
  <c r="K91" i="21" s="1"/>
  <c r="K69" i="47"/>
  <c r="K53" i="47"/>
  <c r="K37" i="47"/>
  <c r="L8" i="47"/>
  <c r="T8" i="47"/>
  <c r="G10" i="47"/>
  <c r="O10" i="47"/>
  <c r="T40" i="47"/>
  <c r="T38" i="47"/>
  <c r="T41" i="47"/>
  <c r="U26" i="47"/>
  <c r="J121" i="47"/>
  <c r="J127" i="47"/>
  <c r="J54" i="47"/>
  <c r="O42" i="47"/>
  <c r="J45" i="47"/>
  <c r="J45" i="21" s="1"/>
  <c r="J44" i="47"/>
  <c r="J44" i="21" s="1"/>
  <c r="K42" i="47"/>
  <c r="J43" i="47"/>
  <c r="J43" i="21" s="1"/>
  <c r="J48" i="47"/>
  <c r="F41" i="47"/>
  <c r="F40" i="47"/>
  <c r="F32" i="47"/>
  <c r="G41" i="47"/>
  <c r="G40" i="47"/>
  <c r="G32" i="47"/>
  <c r="O32" i="47"/>
  <c r="O38" i="47"/>
  <c r="H26" i="47"/>
  <c r="P26" i="47"/>
  <c r="T32" i="47"/>
  <c r="Y26" i="47"/>
  <c r="J28" i="47"/>
  <c r="J28" i="21" s="1"/>
  <c r="J32" i="47"/>
  <c r="J38" i="47"/>
  <c r="F56" i="47"/>
  <c r="F57" i="47"/>
  <c r="G42" i="47"/>
  <c r="F48" i="47"/>
  <c r="T58" i="47"/>
  <c r="O70" i="47"/>
  <c r="P58" i="47"/>
  <c r="G72" i="47"/>
  <c r="G73" i="47"/>
  <c r="H58" i="47"/>
  <c r="O64" i="47"/>
  <c r="J64" i="47"/>
  <c r="M80" i="47"/>
  <c r="N74" i="47"/>
  <c r="J60" i="47"/>
  <c r="J60" i="21" s="1"/>
  <c r="K64" i="47"/>
  <c r="L58" i="47"/>
  <c r="K60" i="47"/>
  <c r="K60" i="21" s="1"/>
  <c r="J61" i="47"/>
  <c r="J61" i="21" s="1"/>
  <c r="J70" i="47"/>
  <c r="U88" i="47"/>
  <c r="U80" i="47"/>
  <c r="U89" i="47"/>
  <c r="U86" i="47"/>
  <c r="V74" i="47"/>
  <c r="F72" i="47"/>
  <c r="F73" i="47"/>
  <c r="K61" i="47"/>
  <c r="K61" i="21" s="1"/>
  <c r="F64" i="47"/>
  <c r="K70" i="47"/>
  <c r="K93" i="47"/>
  <c r="K80" i="47"/>
  <c r="K86" i="47"/>
  <c r="J76" i="47"/>
  <c r="J76" i="21" s="1"/>
  <c r="L93" i="47"/>
  <c r="L80" i="47"/>
  <c r="L86" i="47"/>
  <c r="T88" i="47"/>
  <c r="T80" i="47"/>
  <c r="T89" i="47"/>
  <c r="T86" i="47"/>
  <c r="K76" i="47"/>
  <c r="K76" i="21" s="1"/>
  <c r="F89" i="47"/>
  <c r="K77" i="47"/>
  <c r="K77" i="21" s="1"/>
  <c r="F80" i="47"/>
  <c r="G88" i="47"/>
  <c r="G80" i="47"/>
  <c r="O86" i="47"/>
  <c r="O80" i="47"/>
  <c r="L77" i="47"/>
  <c r="L77" i="21" s="1"/>
  <c r="G89" i="47"/>
  <c r="H74" i="47"/>
  <c r="P74" i="47"/>
  <c r="Y74" i="47"/>
  <c r="F88" i="47"/>
  <c r="J93" i="47"/>
  <c r="J80" i="47"/>
  <c r="J86" i="47"/>
  <c r="K75" i="47"/>
  <c r="K75" i="21" s="1"/>
  <c r="J94" i="47"/>
  <c r="J95" i="47"/>
  <c r="K90" i="47"/>
  <c r="F102" i="47"/>
  <c r="F101" i="47"/>
  <c r="F100" i="47"/>
  <c r="F94" i="47"/>
  <c r="F99" i="47"/>
  <c r="G102" i="47"/>
  <c r="G101" i="47"/>
  <c r="G100" i="47"/>
  <c r="G94" i="47"/>
  <c r="G99" i="47"/>
  <c r="G95" i="47"/>
  <c r="O90" i="47"/>
  <c r="H90" i="47"/>
  <c r="T103" i="47"/>
  <c r="P103" i="47"/>
  <c r="Q103" i="47" s="1"/>
  <c r="R103" i="47" s="1"/>
  <c r="S103" i="47" s="1"/>
  <c r="N110" i="47"/>
  <c r="M116" i="47"/>
  <c r="L111" i="47"/>
  <c r="J113" i="47"/>
  <c r="K116" i="47"/>
  <c r="K122" i="47"/>
  <c r="K113" i="47"/>
  <c r="L113" i="47"/>
  <c r="J122" i="47"/>
  <c r="L122" i="47"/>
  <c r="F124" i="47"/>
  <c r="F125" i="47"/>
  <c r="F116" i="47"/>
  <c r="L107" i="47"/>
  <c r="G110" i="47"/>
  <c r="O110" i="47"/>
  <c r="O126" i="47"/>
  <c r="T131" i="47"/>
  <c r="U137" i="47"/>
  <c r="V137" i="47" s="1"/>
  <c r="W137" i="47" s="1"/>
  <c r="X137" i="47" s="1"/>
  <c r="Y137" i="47"/>
  <c r="O149" i="47"/>
  <c r="T141" i="47"/>
  <c r="O142" i="47"/>
  <c r="O145" i="47"/>
  <c r="P141" i="47"/>
  <c r="G149" i="47"/>
  <c r="H141" i="47"/>
  <c r="G145" i="47"/>
  <c r="K137" i="47"/>
  <c r="L137" i="47" s="1"/>
  <c r="M137" i="47" s="1"/>
  <c r="N137" i="47" s="1"/>
  <c r="F149" i="47"/>
  <c r="F164" i="47"/>
  <c r="F165" i="47"/>
  <c r="F162" i="47"/>
  <c r="F156" i="47"/>
  <c r="G150" i="47"/>
  <c r="J149" i="47"/>
  <c r="J145" i="47"/>
  <c r="K141" i="47"/>
  <c r="O162" i="47"/>
  <c r="O156" i="47"/>
  <c r="P164" i="47"/>
  <c r="P165" i="47"/>
  <c r="P162" i="47"/>
  <c r="P156" i="47"/>
  <c r="Q164" i="47"/>
  <c r="Q165" i="47"/>
  <c r="Q162" i="47"/>
  <c r="Q156" i="47"/>
  <c r="J162" i="47"/>
  <c r="J153" i="47"/>
  <c r="J152" i="47"/>
  <c r="J156" i="47"/>
  <c r="R150" i="47"/>
  <c r="K150" i="47"/>
  <c r="T150" i="47"/>
  <c r="E158" i="47"/>
  <c r="G28" i="47"/>
  <c r="G77" i="47"/>
  <c r="O152" i="47"/>
  <c r="M111" i="47"/>
  <c r="O75" i="47"/>
  <c r="F112" i="47"/>
  <c r="O61" i="47"/>
  <c r="F107" i="47"/>
  <c r="G75" i="47"/>
  <c r="F75" i="47"/>
  <c r="O29" i="47"/>
  <c r="F61" i="47"/>
  <c r="O151" i="47"/>
  <c r="F44" i="47"/>
  <c r="O60" i="47"/>
  <c r="P153" i="47"/>
  <c r="M107" i="47"/>
  <c r="M113" i="47"/>
  <c r="M76" i="47"/>
  <c r="F60" i="47"/>
  <c r="G27" i="47"/>
  <c r="F45" i="47"/>
  <c r="F12" i="47"/>
  <c r="P152" i="47"/>
  <c r="T75" i="47"/>
  <c r="G76" i="47"/>
  <c r="O59" i="47"/>
  <c r="F152" i="47"/>
  <c r="F153" i="47"/>
  <c r="Q152" i="47"/>
  <c r="G60" i="47"/>
  <c r="F29" i="47"/>
  <c r="O153" i="47"/>
  <c r="G59" i="47"/>
  <c r="M112" i="47"/>
  <c r="G61" i="47"/>
  <c r="T77" i="47"/>
  <c r="G29" i="47"/>
  <c r="M77" i="47"/>
  <c r="O27" i="47"/>
  <c r="F76" i="47"/>
  <c r="M75" i="47"/>
  <c r="F59" i="47"/>
  <c r="F111" i="47"/>
  <c r="F113" i="47"/>
  <c r="F11" i="47"/>
  <c r="F27" i="47"/>
  <c r="F77" i="47"/>
  <c r="O28" i="47"/>
  <c r="O76" i="47"/>
  <c r="F151" i="47"/>
  <c r="F28" i="47"/>
  <c r="F43" i="47"/>
  <c r="P151" i="47"/>
  <c r="Q153" i="47"/>
  <c r="O77" i="47"/>
  <c r="T29" i="47"/>
  <c r="F13" i="47"/>
  <c r="F158" i="47" l="1"/>
  <c r="K118" i="47"/>
  <c r="O77" i="21"/>
  <c r="G77" i="21"/>
  <c r="F77" i="21"/>
  <c r="T77" i="21"/>
  <c r="M77" i="21"/>
  <c r="O76" i="21"/>
  <c r="F76" i="21"/>
  <c r="G76" i="21"/>
  <c r="M76" i="21"/>
  <c r="T75" i="21"/>
  <c r="G75" i="21"/>
  <c r="F75" i="21"/>
  <c r="O75" i="21"/>
  <c r="M75" i="21"/>
  <c r="O61" i="21"/>
  <c r="F61" i="21"/>
  <c r="G61" i="21"/>
  <c r="G60" i="21"/>
  <c r="O60" i="21"/>
  <c r="F60" i="21"/>
  <c r="G59" i="21"/>
  <c r="F59" i="21"/>
  <c r="O59" i="21"/>
  <c r="F45" i="21"/>
  <c r="F44" i="21"/>
  <c r="F43" i="21"/>
  <c r="T29" i="21"/>
  <c r="G29" i="21"/>
  <c r="F29" i="21"/>
  <c r="O29" i="21"/>
  <c r="G28" i="21"/>
  <c r="O28" i="21"/>
  <c r="F28" i="21"/>
  <c r="F27" i="21"/>
  <c r="G27" i="21"/>
  <c r="O27" i="21"/>
  <c r="F13" i="21"/>
  <c r="F12" i="21"/>
  <c r="F11" i="21"/>
  <c r="J104" i="47"/>
  <c r="J128" i="47"/>
  <c r="J123" i="47"/>
  <c r="O72" i="47"/>
  <c r="F105" i="47"/>
  <c r="F104" i="47"/>
  <c r="O88" i="47"/>
  <c r="O164" i="47"/>
  <c r="O40" i="47"/>
  <c r="L132" i="47"/>
  <c r="L16" i="47"/>
  <c r="L22" i="47"/>
  <c r="L13" i="47"/>
  <c r="L13" i="21" s="1"/>
  <c r="L12" i="47"/>
  <c r="L12" i="21" s="1"/>
  <c r="M10" i="47"/>
  <c r="L11" i="47"/>
  <c r="L11" i="21" s="1"/>
  <c r="AD137" i="47"/>
  <c r="Z137" i="47"/>
  <c r="AA137" i="47" s="1"/>
  <c r="AB137" i="47" s="1"/>
  <c r="AC137" i="47" s="1"/>
  <c r="K149" i="47"/>
  <c r="L141" i="47"/>
  <c r="K142" i="47"/>
  <c r="K145" i="47"/>
  <c r="H102" i="47"/>
  <c r="H101" i="47"/>
  <c r="H100" i="47"/>
  <c r="H94" i="47"/>
  <c r="H99" i="47"/>
  <c r="H95" i="47"/>
  <c r="I90" i="47"/>
  <c r="P73" i="47"/>
  <c r="P70" i="47"/>
  <c r="P72" i="47"/>
  <c r="Q58" i="47"/>
  <c r="P64" i="47"/>
  <c r="L161" i="47"/>
  <c r="L117" i="47"/>
  <c r="L85" i="47"/>
  <c r="L91" i="47"/>
  <c r="L91" i="21" s="1"/>
  <c r="L69" i="47"/>
  <c r="L53" i="47"/>
  <c r="L37" i="47"/>
  <c r="L21" i="47"/>
  <c r="M8" i="47"/>
  <c r="G164" i="47"/>
  <c r="G165" i="47"/>
  <c r="G162" i="47"/>
  <c r="G156" i="47"/>
  <c r="G158" i="47" s="1"/>
  <c r="H150" i="47"/>
  <c r="N116" i="47"/>
  <c r="N122" i="47"/>
  <c r="O94" i="47"/>
  <c r="O95" i="47"/>
  <c r="P90" i="47"/>
  <c r="T90" i="47"/>
  <c r="J105" i="47"/>
  <c r="V89" i="47"/>
  <c r="V80" i="47"/>
  <c r="W74" i="47"/>
  <c r="V88" i="47"/>
  <c r="P42" i="47"/>
  <c r="O48" i="47"/>
  <c r="O54" i="47"/>
  <c r="T42" i="47"/>
  <c r="P149" i="47"/>
  <c r="P145" i="47"/>
  <c r="P142" i="47"/>
  <c r="Q141" i="47"/>
  <c r="U41" i="47"/>
  <c r="U38" i="47"/>
  <c r="U32" i="47"/>
  <c r="U40" i="47"/>
  <c r="V26" i="47"/>
  <c r="Q117" i="47"/>
  <c r="R8" i="47"/>
  <c r="E106" i="47"/>
  <c r="T162" i="47"/>
  <c r="T164" i="47"/>
  <c r="T156" i="47"/>
  <c r="T165" i="47"/>
  <c r="U150" i="47"/>
  <c r="Y150" i="47"/>
  <c r="Y131" i="47"/>
  <c r="U131" i="47"/>
  <c r="V131" i="47" s="1"/>
  <c r="W131" i="47" s="1"/>
  <c r="X131" i="47" s="1"/>
  <c r="K132" i="47"/>
  <c r="M132" i="47"/>
  <c r="P88" i="47"/>
  <c r="P80" i="47"/>
  <c r="P89" i="47"/>
  <c r="Q74" i="47"/>
  <c r="P86" i="47"/>
  <c r="L60" i="47"/>
  <c r="L60" i="21" s="1"/>
  <c r="M58" i="47"/>
  <c r="L64" i="47"/>
  <c r="L59" i="47"/>
  <c r="L59" i="21" s="1"/>
  <c r="L70" i="47"/>
  <c r="L61" i="47"/>
  <c r="L61" i="21" s="1"/>
  <c r="T72" i="47"/>
  <c r="T73" i="47"/>
  <c r="T70" i="47"/>
  <c r="U58" i="47"/>
  <c r="T64" i="47"/>
  <c r="Y58" i="47"/>
  <c r="K162" i="47"/>
  <c r="K152" i="47"/>
  <c r="K156" i="47"/>
  <c r="L150" i="47"/>
  <c r="K153" i="47"/>
  <c r="K151" i="47"/>
  <c r="H149" i="47"/>
  <c r="H145" i="47"/>
  <c r="H142" i="47"/>
  <c r="I141" i="47"/>
  <c r="H143" i="47"/>
  <c r="H144" i="47" s="1"/>
  <c r="P126" i="47"/>
  <c r="Q126" i="47" s="1"/>
  <c r="R126" i="47" s="1"/>
  <c r="S126" i="47" s="1"/>
  <c r="T126" i="47"/>
  <c r="H88" i="47"/>
  <c r="H80" i="47"/>
  <c r="H89" i="47"/>
  <c r="H86" i="47"/>
  <c r="I74" i="47"/>
  <c r="G56" i="47"/>
  <c r="G57" i="47"/>
  <c r="H42" i="47"/>
  <c r="G48" i="47"/>
  <c r="O16" i="47"/>
  <c r="O22" i="47"/>
  <c r="T10" i="47"/>
  <c r="P10" i="47"/>
  <c r="R164" i="47"/>
  <c r="R165" i="47"/>
  <c r="R156" i="47"/>
  <c r="S150" i="47"/>
  <c r="Y141" i="47"/>
  <c r="T142" i="47"/>
  <c r="U141" i="47"/>
  <c r="O116" i="47"/>
  <c r="O118" i="47" s="1"/>
  <c r="O122" i="47"/>
  <c r="T110" i="47"/>
  <c r="P110" i="47"/>
  <c r="K94" i="47"/>
  <c r="K95" i="47"/>
  <c r="L90" i="47"/>
  <c r="N86" i="47"/>
  <c r="N80" i="47"/>
  <c r="P40" i="47"/>
  <c r="P32" i="47"/>
  <c r="P38" i="47"/>
  <c r="P41" i="47"/>
  <c r="Q26" i="47"/>
  <c r="K127" i="47"/>
  <c r="K128" i="47" s="1"/>
  <c r="K121" i="47"/>
  <c r="K123" i="47" s="1"/>
  <c r="K54" i="47"/>
  <c r="K44" i="47"/>
  <c r="L42" i="47"/>
  <c r="K48" i="47"/>
  <c r="K43" i="47"/>
  <c r="K45" i="47"/>
  <c r="K45" i="21" s="1"/>
  <c r="G24" i="47"/>
  <c r="G16" i="47"/>
  <c r="G25" i="47"/>
  <c r="H10" i="47"/>
  <c r="G124" i="47"/>
  <c r="G125" i="47"/>
  <c r="G116" i="47"/>
  <c r="H110" i="47"/>
  <c r="U103" i="47"/>
  <c r="V103" i="47" s="1"/>
  <c r="W103" i="47" s="1"/>
  <c r="X103" i="47" s="1"/>
  <c r="Y103" i="47"/>
  <c r="Y88" i="47"/>
  <c r="Y80" i="47"/>
  <c r="Y89" i="47"/>
  <c r="Z74" i="47"/>
  <c r="AD74" i="47"/>
  <c r="H73" i="47"/>
  <c r="H70" i="47"/>
  <c r="H72" i="47"/>
  <c r="I58" i="47"/>
  <c r="H64" i="47"/>
  <c r="Y41" i="47"/>
  <c r="Y40" i="47"/>
  <c r="Y32" i="47"/>
  <c r="Z26" i="47"/>
  <c r="AD26" i="47"/>
  <c r="H41" i="47"/>
  <c r="H40" i="47"/>
  <c r="H32" i="47"/>
  <c r="H38" i="47"/>
  <c r="I26" i="47"/>
  <c r="T117" i="47"/>
  <c r="Y8" i="47"/>
  <c r="U8" i="47"/>
  <c r="L38" i="47"/>
  <c r="L29" i="47"/>
  <c r="L29" i="21" s="1"/>
  <c r="L28" i="47"/>
  <c r="L28" i="21" s="1"/>
  <c r="L32" i="47"/>
  <c r="M26" i="47"/>
  <c r="L27" i="47"/>
  <c r="L27" i="21" s="1"/>
  <c r="N76" i="47"/>
  <c r="T27" i="47"/>
  <c r="O45" i="47"/>
  <c r="N75" i="47"/>
  <c r="G111" i="47"/>
  <c r="T76" i="47"/>
  <c r="O43" i="47"/>
  <c r="G107" i="47"/>
  <c r="O112" i="47"/>
  <c r="P76" i="47"/>
  <c r="T28" i="47"/>
  <c r="P27" i="47"/>
  <c r="G43" i="47"/>
  <c r="R152" i="47"/>
  <c r="O44" i="47"/>
  <c r="T60" i="47"/>
  <c r="P75" i="47"/>
  <c r="T61" i="47"/>
  <c r="P28" i="47"/>
  <c r="H60" i="47"/>
  <c r="H61" i="47"/>
  <c r="G151" i="47"/>
  <c r="N107" i="47"/>
  <c r="G13" i="47"/>
  <c r="H76" i="47"/>
  <c r="T152" i="47"/>
  <c r="G113" i="47"/>
  <c r="G153" i="47"/>
  <c r="T151" i="47"/>
  <c r="P60" i="47"/>
  <c r="H59" i="47"/>
  <c r="P77" i="47"/>
  <c r="G11" i="47"/>
  <c r="O111" i="47"/>
  <c r="O13" i="47"/>
  <c r="H27" i="47"/>
  <c r="N113" i="47"/>
  <c r="H75" i="47"/>
  <c r="Q151" i="47"/>
  <c r="H77" i="47"/>
  <c r="G152" i="47"/>
  <c r="H28" i="47"/>
  <c r="N77" i="47"/>
  <c r="G112" i="47"/>
  <c r="T153" i="47"/>
  <c r="O12" i="47"/>
  <c r="R153" i="47"/>
  <c r="U29" i="47"/>
  <c r="P29" i="47"/>
  <c r="R151" i="47"/>
  <c r="T59" i="47"/>
  <c r="G45" i="47"/>
  <c r="O107" i="47"/>
  <c r="G44" i="47"/>
  <c r="O11" i="47"/>
  <c r="H29" i="47"/>
  <c r="O113" i="47"/>
  <c r="N111" i="47"/>
  <c r="G12" i="47"/>
  <c r="P59" i="47"/>
  <c r="P61" i="47"/>
  <c r="N112" i="47"/>
  <c r="H77" i="21" l="1"/>
  <c r="P77" i="21"/>
  <c r="N77" i="21"/>
  <c r="T76" i="21"/>
  <c r="H76" i="21"/>
  <c r="P76" i="21"/>
  <c r="N76" i="21"/>
  <c r="H75" i="21"/>
  <c r="P75" i="21"/>
  <c r="N75" i="21"/>
  <c r="P61" i="21"/>
  <c r="H61" i="21"/>
  <c r="T61" i="21"/>
  <c r="T60" i="21"/>
  <c r="H60" i="21"/>
  <c r="P60" i="21"/>
  <c r="T59" i="21"/>
  <c r="P59" i="21"/>
  <c r="H59" i="21"/>
  <c r="G45" i="21"/>
  <c r="O45" i="21"/>
  <c r="O44" i="21"/>
  <c r="G44" i="21"/>
  <c r="K105" i="47"/>
  <c r="K44" i="21"/>
  <c r="O43" i="21"/>
  <c r="G43" i="21"/>
  <c r="K104" i="47"/>
  <c r="K138" i="47" s="1"/>
  <c r="K43" i="21"/>
  <c r="U29" i="21"/>
  <c r="P29" i="21"/>
  <c r="H29" i="21"/>
  <c r="T28" i="21"/>
  <c r="H28" i="21"/>
  <c r="P28" i="21"/>
  <c r="T27" i="21"/>
  <c r="P27" i="21"/>
  <c r="H27" i="21"/>
  <c r="O13" i="21"/>
  <c r="G13" i="21"/>
  <c r="G12" i="21"/>
  <c r="O12" i="21"/>
  <c r="O11" i="21"/>
  <c r="G11" i="21"/>
  <c r="CN89" i="47"/>
  <c r="J106" i="47"/>
  <c r="CN88" i="47"/>
  <c r="O24" i="47"/>
  <c r="O105" i="47"/>
  <c r="O56" i="47"/>
  <c r="O104" i="47"/>
  <c r="O132" i="47"/>
  <c r="O124" i="47"/>
  <c r="G104" i="47"/>
  <c r="G105" i="47"/>
  <c r="CN32" i="47"/>
  <c r="H25" i="47"/>
  <c r="H22" i="47"/>
  <c r="H16" i="47"/>
  <c r="H24" i="47"/>
  <c r="I10" i="47"/>
  <c r="S165" i="47"/>
  <c r="S162" i="47"/>
  <c r="S164" i="47"/>
  <c r="S156" i="47"/>
  <c r="P56" i="47"/>
  <c r="P57" i="47"/>
  <c r="P48" i="47"/>
  <c r="P54" i="47"/>
  <c r="Q42" i="47"/>
  <c r="N132" i="47"/>
  <c r="M117" i="47"/>
  <c r="N8" i="47"/>
  <c r="M32" i="47"/>
  <c r="N26" i="47"/>
  <c r="CN80" i="47"/>
  <c r="P124" i="47"/>
  <c r="P125" i="47"/>
  <c r="P122" i="47"/>
  <c r="P116" i="47"/>
  <c r="P118" i="47" s="1"/>
  <c r="Q110" i="47"/>
  <c r="P25" i="47"/>
  <c r="P22" i="47"/>
  <c r="P16" i="47"/>
  <c r="P24" i="47"/>
  <c r="Q10" i="47"/>
  <c r="Y126" i="47"/>
  <c r="U126" i="47"/>
  <c r="V126" i="47" s="1"/>
  <c r="W126" i="47" s="1"/>
  <c r="X126" i="47" s="1"/>
  <c r="Y164" i="47"/>
  <c r="Y165" i="47"/>
  <c r="Y156" i="47"/>
  <c r="Z150" i="47"/>
  <c r="AD150" i="47"/>
  <c r="R117" i="47"/>
  <c r="S8" i="47"/>
  <c r="I94" i="47"/>
  <c r="I95" i="47"/>
  <c r="AE137" i="47"/>
  <c r="AF137" i="47" s="1"/>
  <c r="AG137" i="47" s="1"/>
  <c r="AH137" i="47" s="1"/>
  <c r="AI137" i="47"/>
  <c r="U117" i="47"/>
  <c r="V8" i="47"/>
  <c r="CN40" i="47"/>
  <c r="T24" i="47"/>
  <c r="T16" i="47"/>
  <c r="T25" i="47"/>
  <c r="T22" i="47"/>
  <c r="U10" i="47"/>
  <c r="Y10" i="47"/>
  <c r="U72" i="47"/>
  <c r="U73" i="47"/>
  <c r="U70" i="47"/>
  <c r="V58" i="47"/>
  <c r="U64" i="47"/>
  <c r="U164" i="47"/>
  <c r="U165" i="47"/>
  <c r="U156" i="47"/>
  <c r="U162" i="47"/>
  <c r="V150" i="47"/>
  <c r="Y117" i="47"/>
  <c r="Z8" i="47"/>
  <c r="AD8" i="47"/>
  <c r="AD89" i="47"/>
  <c r="AD80" i="47"/>
  <c r="AE74" i="47"/>
  <c r="AD88" i="47"/>
  <c r="AI74" i="47"/>
  <c r="L95" i="47"/>
  <c r="M90" i="47"/>
  <c r="L94" i="47"/>
  <c r="U149" i="47"/>
  <c r="U145" i="47"/>
  <c r="U142" i="47"/>
  <c r="V141" i="47"/>
  <c r="Z131" i="47"/>
  <c r="AA131" i="47" s="1"/>
  <c r="AB131" i="47" s="1"/>
  <c r="AC131" i="47" s="1"/>
  <c r="AD131" i="47"/>
  <c r="Q149" i="47"/>
  <c r="Q145" i="47"/>
  <c r="Q142" i="47"/>
  <c r="R141" i="47"/>
  <c r="W88" i="47"/>
  <c r="W80" i="47"/>
  <c r="W89" i="47"/>
  <c r="X74" i="47"/>
  <c r="AD41" i="47"/>
  <c r="AD32" i="47"/>
  <c r="AD40" i="47"/>
  <c r="AE26" i="47"/>
  <c r="AI26" i="47"/>
  <c r="CN41" i="47"/>
  <c r="Q41" i="47"/>
  <c r="Q40" i="47"/>
  <c r="Q38" i="47"/>
  <c r="R26" i="47"/>
  <c r="Q32" i="47"/>
  <c r="T124" i="47"/>
  <c r="T125" i="47"/>
  <c r="T116" i="47"/>
  <c r="T118" i="47" s="1"/>
  <c r="U110" i="47"/>
  <c r="T122" i="47"/>
  <c r="Y110" i="47"/>
  <c r="I149" i="47"/>
  <c r="I145" i="47"/>
  <c r="I142" i="47"/>
  <c r="I144" i="47"/>
  <c r="I143" i="47"/>
  <c r="J143" i="47" s="1"/>
  <c r="N58" i="47"/>
  <c r="M64" i="47"/>
  <c r="V41" i="47"/>
  <c r="V40" i="47"/>
  <c r="V32" i="47"/>
  <c r="W26" i="47"/>
  <c r="Z88" i="47"/>
  <c r="Z80" i="47"/>
  <c r="Z89" i="47"/>
  <c r="AA74" i="47"/>
  <c r="Z103" i="47"/>
  <c r="AA103" i="47" s="1"/>
  <c r="AB103" i="47" s="1"/>
  <c r="AC103" i="47" s="1"/>
  <c r="AD103" i="47"/>
  <c r="H124" i="47"/>
  <c r="H125" i="47"/>
  <c r="H122" i="47"/>
  <c r="H116" i="47"/>
  <c r="I110" i="47"/>
  <c r="L127" i="47"/>
  <c r="L128" i="47" s="1"/>
  <c r="L121" i="47"/>
  <c r="L123" i="47" s="1"/>
  <c r="L45" i="47"/>
  <c r="L45" i="21" s="1"/>
  <c r="L44" i="47"/>
  <c r="L48" i="47"/>
  <c r="L43" i="47"/>
  <c r="L54" i="47"/>
  <c r="M42" i="47"/>
  <c r="Y149" i="47"/>
  <c r="Y145" i="47"/>
  <c r="Y142" i="47"/>
  <c r="Z141" i="47"/>
  <c r="AD141" i="47"/>
  <c r="T57" i="47"/>
  <c r="T56" i="47"/>
  <c r="U42" i="47"/>
  <c r="T48" i="47"/>
  <c r="T54" i="47"/>
  <c r="Y42" i="47"/>
  <c r="T102" i="47"/>
  <c r="T99" i="47"/>
  <c r="T95" i="47"/>
  <c r="T101" i="47"/>
  <c r="T100" i="47"/>
  <c r="U90" i="47"/>
  <c r="T94" i="47"/>
  <c r="Y90" i="47"/>
  <c r="L149" i="47"/>
  <c r="L145" i="47"/>
  <c r="M141" i="47"/>
  <c r="L142" i="47"/>
  <c r="H56" i="47"/>
  <c r="H57" i="47"/>
  <c r="H48" i="47"/>
  <c r="H54" i="47"/>
  <c r="I42" i="47"/>
  <c r="L162" i="47"/>
  <c r="L152" i="47"/>
  <c r="L156" i="47"/>
  <c r="L151" i="47"/>
  <c r="L153" i="47"/>
  <c r="M150" i="47"/>
  <c r="Q88" i="47"/>
  <c r="Q80" i="47"/>
  <c r="Q89" i="47"/>
  <c r="Q86" i="47"/>
  <c r="R74" i="47"/>
  <c r="P102" i="47"/>
  <c r="P101" i="47"/>
  <c r="P100" i="47"/>
  <c r="P94" i="47"/>
  <c r="P99" i="47"/>
  <c r="P95" i="47"/>
  <c r="Q90" i="47"/>
  <c r="Q70" i="47"/>
  <c r="Q72" i="47"/>
  <c r="Q73" i="47"/>
  <c r="R58" i="47"/>
  <c r="Q64" i="47"/>
  <c r="Z41" i="47"/>
  <c r="Z40" i="47"/>
  <c r="Z32" i="47"/>
  <c r="AA26" i="47"/>
  <c r="Y72" i="47"/>
  <c r="CN72" i="47" s="1"/>
  <c r="Y73" i="47"/>
  <c r="CN73" i="47" s="1"/>
  <c r="AD58" i="47"/>
  <c r="Z58" i="47"/>
  <c r="Y64" i="47"/>
  <c r="H164" i="47"/>
  <c r="H165" i="47"/>
  <c r="H162" i="47"/>
  <c r="H156" i="47"/>
  <c r="H158" i="47" s="1"/>
  <c r="I150" i="47"/>
  <c r="L118" i="47"/>
  <c r="M16" i="47"/>
  <c r="N10" i="47"/>
  <c r="F106" i="47"/>
  <c r="Y153" i="47"/>
  <c r="Q27" i="47"/>
  <c r="U151" i="47"/>
  <c r="U76" i="47"/>
  <c r="Q61" i="47"/>
  <c r="Q76" i="47"/>
  <c r="H45" i="47"/>
  <c r="M11" i="47"/>
  <c r="T13" i="47"/>
  <c r="P11" i="47"/>
  <c r="S152" i="47"/>
  <c r="U60" i="47"/>
  <c r="AD76" i="47"/>
  <c r="M60" i="47"/>
  <c r="Q28" i="47"/>
  <c r="P44" i="47"/>
  <c r="V28" i="47"/>
  <c r="I77" i="47"/>
  <c r="Y152" i="47"/>
  <c r="Z77" i="47"/>
  <c r="T12" i="47"/>
  <c r="U152" i="47"/>
  <c r="Y28" i="47"/>
  <c r="U77" i="47"/>
  <c r="T111" i="47"/>
  <c r="Q60" i="47"/>
  <c r="U27" i="47"/>
  <c r="P107" i="47"/>
  <c r="Y77" i="47"/>
  <c r="Z29" i="47"/>
  <c r="I27" i="47"/>
  <c r="Y60" i="47"/>
  <c r="H107" i="47"/>
  <c r="T44" i="47"/>
  <c r="P113" i="47"/>
  <c r="P13" i="47"/>
  <c r="I59" i="47"/>
  <c r="Z28" i="47"/>
  <c r="U75" i="47"/>
  <c r="Y75" i="47"/>
  <c r="AD29" i="47"/>
  <c r="H112" i="47"/>
  <c r="H151" i="47"/>
  <c r="H153" i="47"/>
  <c r="AD27" i="47"/>
  <c r="AD77" i="47"/>
  <c r="Y76" i="47"/>
  <c r="Z76" i="47"/>
  <c r="M61" i="47"/>
  <c r="H44" i="47"/>
  <c r="U61" i="47"/>
  <c r="M27" i="47"/>
  <c r="T11" i="47"/>
  <c r="Q59" i="47"/>
  <c r="M29" i="47"/>
  <c r="U59" i="47"/>
  <c r="Q29" i="47"/>
  <c r="Y151" i="47"/>
  <c r="Y61" i="47"/>
  <c r="H12" i="47"/>
  <c r="H113" i="47"/>
  <c r="AD28" i="47"/>
  <c r="P45" i="47"/>
  <c r="I60" i="47"/>
  <c r="H111" i="47"/>
  <c r="I75" i="47"/>
  <c r="Z75" i="47"/>
  <c r="T45" i="47"/>
  <c r="V29" i="47"/>
  <c r="I76" i="47"/>
  <c r="Q75" i="47"/>
  <c r="P43" i="47"/>
  <c r="P112" i="47"/>
  <c r="AD75" i="47"/>
  <c r="I61" i="47"/>
  <c r="M59" i="47"/>
  <c r="U153" i="47"/>
  <c r="U28" i="47"/>
  <c r="M12" i="47"/>
  <c r="P12" i="47"/>
  <c r="T107" i="47"/>
  <c r="Y29" i="47"/>
  <c r="T43" i="47"/>
  <c r="Z27" i="47"/>
  <c r="H152" i="47"/>
  <c r="I29" i="47"/>
  <c r="H11" i="47"/>
  <c r="T113" i="47"/>
  <c r="Y27" i="47"/>
  <c r="I28" i="47"/>
  <c r="V27" i="47"/>
  <c r="P111" i="47"/>
  <c r="Y59" i="47"/>
  <c r="Q77" i="47"/>
  <c r="T112" i="47"/>
  <c r="H43" i="47"/>
  <c r="H13" i="47"/>
  <c r="M13" i="47"/>
  <c r="M28" i="47"/>
  <c r="J144" i="47" l="1"/>
  <c r="K143" i="47"/>
  <c r="Q77" i="21"/>
  <c r="I77" i="21"/>
  <c r="U77" i="21"/>
  <c r="Q76" i="21"/>
  <c r="U76" i="21"/>
  <c r="I76" i="21"/>
  <c r="Q75" i="21"/>
  <c r="U75" i="21"/>
  <c r="I75" i="21"/>
  <c r="U61" i="21"/>
  <c r="I61" i="21"/>
  <c r="Q61" i="21"/>
  <c r="M61" i="21"/>
  <c r="I60" i="21"/>
  <c r="Q60" i="21"/>
  <c r="U60" i="21"/>
  <c r="M60" i="21"/>
  <c r="I59" i="21"/>
  <c r="Q59" i="21"/>
  <c r="U59" i="21"/>
  <c r="M59" i="21"/>
  <c r="T45" i="21"/>
  <c r="H45" i="21"/>
  <c r="P45" i="21"/>
  <c r="K106" i="47"/>
  <c r="T44" i="21"/>
  <c r="H44" i="21"/>
  <c r="P44" i="21"/>
  <c r="L105" i="47"/>
  <c r="L44" i="21"/>
  <c r="P43" i="21"/>
  <c r="T43" i="21"/>
  <c r="H43" i="21"/>
  <c r="L104" i="47"/>
  <c r="L43" i="21"/>
  <c r="Q29" i="21"/>
  <c r="I29" i="21"/>
  <c r="M29" i="21"/>
  <c r="I28" i="21"/>
  <c r="Q28" i="21"/>
  <c r="U28" i="21"/>
  <c r="M28" i="21"/>
  <c r="I27" i="21"/>
  <c r="Q27" i="21"/>
  <c r="U27" i="21"/>
  <c r="M27" i="21"/>
  <c r="P13" i="21"/>
  <c r="T13" i="21"/>
  <c r="H13" i="21"/>
  <c r="M13" i="21"/>
  <c r="P12" i="21"/>
  <c r="T12" i="21"/>
  <c r="H12" i="21"/>
  <c r="M12" i="21"/>
  <c r="H11" i="21"/>
  <c r="T11" i="21"/>
  <c r="P11" i="21"/>
  <c r="M11" i="21"/>
  <c r="P104" i="47"/>
  <c r="CN29" i="47"/>
  <c r="T105" i="47"/>
  <c r="CN77" i="47"/>
  <c r="CN151" i="47"/>
  <c r="CN59" i="47"/>
  <c r="CN76" i="47"/>
  <c r="H105" i="47"/>
  <c r="CN75" i="47"/>
  <c r="I72" i="47"/>
  <c r="J72" i="47" s="1"/>
  <c r="K72" i="47" s="1"/>
  <c r="L72" i="47" s="1"/>
  <c r="M72" i="47" s="1"/>
  <c r="N72" i="47" s="1"/>
  <c r="CN152" i="47"/>
  <c r="P132" i="47"/>
  <c r="CN60" i="47"/>
  <c r="CN61" i="47"/>
  <c r="CN28" i="47"/>
  <c r="CN153" i="47"/>
  <c r="I88" i="47"/>
  <c r="J88" i="47" s="1"/>
  <c r="K88" i="47" s="1"/>
  <c r="L88" i="47" s="1"/>
  <c r="M88" i="47" s="1"/>
  <c r="N88" i="47" s="1"/>
  <c r="P105" i="47"/>
  <c r="I40" i="47"/>
  <c r="J40" i="47" s="1"/>
  <c r="K40" i="47" s="1"/>
  <c r="L40" i="47" s="1"/>
  <c r="M40" i="47" s="1"/>
  <c r="N40" i="47" s="1"/>
  <c r="T104" i="47"/>
  <c r="CN27" i="47"/>
  <c r="H104" i="47"/>
  <c r="W41" i="47"/>
  <c r="W40" i="47"/>
  <c r="W32" i="47"/>
  <c r="X26" i="47"/>
  <c r="AI32" i="47"/>
  <c r="AI40" i="47"/>
  <c r="AI38" i="47"/>
  <c r="AI41" i="47"/>
  <c r="AN26" i="47"/>
  <c r="AJ26" i="47"/>
  <c r="AD117" i="47"/>
  <c r="AI8" i="47"/>
  <c r="AE8" i="47"/>
  <c r="V164" i="47"/>
  <c r="V165" i="47"/>
  <c r="V156" i="47"/>
  <c r="W150" i="47"/>
  <c r="Z164" i="47"/>
  <c r="Z165" i="47"/>
  <c r="Z156" i="47"/>
  <c r="AA150" i="47"/>
  <c r="Q22" i="47"/>
  <c r="Q24" i="47"/>
  <c r="Q16" i="47"/>
  <c r="Q25" i="47"/>
  <c r="R10" i="47"/>
  <c r="N38" i="47"/>
  <c r="N32" i="47"/>
  <c r="O106" i="47"/>
  <c r="Y102" i="47"/>
  <c r="CN102" i="47" s="1"/>
  <c r="Y101" i="47"/>
  <c r="CN101" i="47" s="1"/>
  <c r="Y100" i="47"/>
  <c r="CN100" i="47" s="1"/>
  <c r="Y99" i="47"/>
  <c r="CN99" i="47" s="1"/>
  <c r="AD90" i="47"/>
  <c r="Z90" i="47"/>
  <c r="CN64" i="47"/>
  <c r="Z149" i="47"/>
  <c r="Z145" i="47"/>
  <c r="AA141" i="47"/>
  <c r="Z142" i="47"/>
  <c r="Y125" i="47"/>
  <c r="CN125" i="47" s="1"/>
  <c r="Y116" i="47"/>
  <c r="AD110" i="47"/>
  <c r="Y124" i="47"/>
  <c r="CN124" i="47" s="1"/>
  <c r="Z110" i="47"/>
  <c r="R149" i="47"/>
  <c r="R145" i="47"/>
  <c r="S141" i="47"/>
  <c r="R142" i="47"/>
  <c r="AI131" i="47"/>
  <c r="AE131" i="47"/>
  <c r="AF131" i="47" s="1"/>
  <c r="AG131" i="47" s="1"/>
  <c r="AH131" i="47" s="1"/>
  <c r="Z117" i="47"/>
  <c r="AA8" i="47"/>
  <c r="Y24" i="47"/>
  <c r="CN24" i="47" s="1"/>
  <c r="Y16" i="47"/>
  <c r="AD10" i="47"/>
  <c r="Z10" i="47"/>
  <c r="Y25" i="47"/>
  <c r="CN25" i="47" s="1"/>
  <c r="M118" i="47"/>
  <c r="N16" i="47"/>
  <c r="N22" i="47"/>
  <c r="Q102" i="47"/>
  <c r="Q101" i="47"/>
  <c r="Q100" i="47"/>
  <c r="Q94" i="47"/>
  <c r="Q99" i="47"/>
  <c r="Q95" i="47"/>
  <c r="R90" i="47"/>
  <c r="U56" i="47"/>
  <c r="U48" i="47"/>
  <c r="U57" i="47"/>
  <c r="U54" i="47"/>
  <c r="V42" i="47"/>
  <c r="AD149" i="47"/>
  <c r="AI141" i="47"/>
  <c r="AD142" i="47"/>
  <c r="AD145" i="47"/>
  <c r="AE141" i="47"/>
  <c r="Z73" i="47"/>
  <c r="Z72" i="47"/>
  <c r="AA58" i="47"/>
  <c r="Z64" i="47"/>
  <c r="M149" i="47"/>
  <c r="M145" i="47"/>
  <c r="M142" i="47"/>
  <c r="N141" i="47"/>
  <c r="U102" i="47"/>
  <c r="U95" i="47"/>
  <c r="U101" i="47"/>
  <c r="U100" i="47"/>
  <c r="U94" i="47"/>
  <c r="V90" i="47"/>
  <c r="U99" i="47"/>
  <c r="M48" i="47"/>
  <c r="N42" i="47"/>
  <c r="AE41" i="47"/>
  <c r="AE32" i="47"/>
  <c r="AE40" i="47"/>
  <c r="AE38" i="47"/>
  <c r="AF26" i="47"/>
  <c r="X88" i="47"/>
  <c r="X80" i="47"/>
  <c r="X89" i="47"/>
  <c r="X86" i="47"/>
  <c r="CN156" i="47"/>
  <c r="Q125" i="47"/>
  <c r="Q116" i="47"/>
  <c r="Q118" i="47" s="1"/>
  <c r="Q124" i="47"/>
  <c r="Q122" i="47"/>
  <c r="R110" i="47"/>
  <c r="N117" i="47"/>
  <c r="AI103" i="47"/>
  <c r="AE103" i="47"/>
  <c r="AF103" i="47" s="1"/>
  <c r="AG103" i="47" s="1"/>
  <c r="AH103" i="47" s="1"/>
  <c r="V149" i="47"/>
  <c r="V145" i="47"/>
  <c r="V142" i="47"/>
  <c r="W141" i="47"/>
  <c r="AI88" i="47"/>
  <c r="AI80" i="47"/>
  <c r="AI89" i="47"/>
  <c r="AI86" i="47"/>
  <c r="AN74" i="47"/>
  <c r="AJ74" i="47"/>
  <c r="U24" i="47"/>
  <c r="U16" i="47"/>
  <c r="U25" i="47"/>
  <c r="U22" i="47"/>
  <c r="V10" i="47"/>
  <c r="R88" i="47"/>
  <c r="R80" i="47"/>
  <c r="R89" i="47"/>
  <c r="S74" i="47"/>
  <c r="U124" i="47"/>
  <c r="U125" i="47"/>
  <c r="U122" i="47"/>
  <c r="U116" i="47"/>
  <c r="U118" i="47" s="1"/>
  <c r="V110" i="47"/>
  <c r="R73" i="47"/>
  <c r="R72" i="47"/>
  <c r="S58" i="47"/>
  <c r="R64" i="47"/>
  <c r="Y56" i="47"/>
  <c r="CN56" i="47" s="1"/>
  <c r="Y57" i="47"/>
  <c r="CN57" i="47" s="1"/>
  <c r="Y48" i="47"/>
  <c r="Z42" i="47"/>
  <c r="AD42" i="47"/>
  <c r="N64" i="47"/>
  <c r="N70" i="47"/>
  <c r="Q56" i="47"/>
  <c r="Q57" i="47"/>
  <c r="Q48" i="47"/>
  <c r="Q54" i="47"/>
  <c r="R42" i="47"/>
  <c r="I116" i="47"/>
  <c r="I118" i="47" s="1"/>
  <c r="I133" i="47" s="1"/>
  <c r="I134" i="47" s="1"/>
  <c r="I135" i="47" s="1"/>
  <c r="I136" i="47" s="1"/>
  <c r="AD72" i="47"/>
  <c r="AD73" i="47"/>
  <c r="AD64" i="47"/>
  <c r="AI58" i="47"/>
  <c r="AE58" i="47"/>
  <c r="AA88" i="47"/>
  <c r="AA80" i="47"/>
  <c r="AA89" i="47"/>
  <c r="AA86" i="47"/>
  <c r="AB74" i="47"/>
  <c r="M95" i="47"/>
  <c r="M94" i="47"/>
  <c r="N90" i="47"/>
  <c r="AE86" i="47"/>
  <c r="AE88" i="47"/>
  <c r="AE80" i="47"/>
  <c r="AE89" i="47"/>
  <c r="AF74" i="47"/>
  <c r="V72" i="47"/>
  <c r="V73" i="47"/>
  <c r="V64" i="47"/>
  <c r="W58" i="47"/>
  <c r="S117" i="47"/>
  <c r="G106" i="47"/>
  <c r="AA40" i="47"/>
  <c r="AA32" i="47"/>
  <c r="AA41" i="47"/>
  <c r="AA38" i="47"/>
  <c r="AB26" i="47"/>
  <c r="M156" i="47"/>
  <c r="N150" i="47"/>
  <c r="CN165" i="47"/>
  <c r="R41" i="47"/>
  <c r="R40" i="47"/>
  <c r="R32" i="47"/>
  <c r="S26" i="47"/>
  <c r="V117" i="47"/>
  <c r="W8" i="47"/>
  <c r="AN137" i="47"/>
  <c r="AJ137" i="47"/>
  <c r="AK137" i="47" s="1"/>
  <c r="AL137" i="47" s="1"/>
  <c r="AM137" i="47" s="1"/>
  <c r="AD164" i="47"/>
  <c r="AD165" i="47"/>
  <c r="AI150" i="47"/>
  <c r="AE150" i="47"/>
  <c r="AD156" i="47"/>
  <c r="CN164" i="47"/>
  <c r="Z126" i="47"/>
  <c r="AA126" i="47" s="1"/>
  <c r="AB126" i="47" s="1"/>
  <c r="AC126" i="47" s="1"/>
  <c r="AD126" i="47"/>
  <c r="Q107" i="47"/>
  <c r="AD61" i="47"/>
  <c r="N27" i="47"/>
  <c r="Q13" i="47"/>
  <c r="R60" i="47"/>
  <c r="Z153" i="47"/>
  <c r="I44" i="47"/>
  <c r="Y44" i="47"/>
  <c r="AE76" i="47"/>
  <c r="AI76" i="47"/>
  <c r="R29" i="47"/>
  <c r="Q12" i="47"/>
  <c r="Y111" i="47"/>
  <c r="W27" i="47"/>
  <c r="N28" i="47"/>
  <c r="I152" i="47"/>
  <c r="Q111" i="47"/>
  <c r="Q11" i="47"/>
  <c r="Z151" i="47"/>
  <c r="U13" i="47"/>
  <c r="U11" i="47"/>
  <c r="N13" i="47"/>
  <c r="AA76" i="47"/>
  <c r="Y11" i="47"/>
  <c r="AE77" i="47"/>
  <c r="R28" i="47"/>
  <c r="U112" i="47"/>
  <c r="Q45" i="47"/>
  <c r="Y43" i="47"/>
  <c r="AD59" i="47"/>
  <c r="I12" i="47"/>
  <c r="R61" i="47"/>
  <c r="AI29" i="47"/>
  <c r="AI27" i="47"/>
  <c r="N12" i="47"/>
  <c r="U107" i="47"/>
  <c r="R75" i="47"/>
  <c r="I113" i="47"/>
  <c r="Q112" i="47"/>
  <c r="I107" i="47"/>
  <c r="V60" i="47"/>
  <c r="Q113" i="47"/>
  <c r="S153" i="47"/>
  <c r="N29" i="47"/>
  <c r="AA28" i="47"/>
  <c r="AE29" i="47"/>
  <c r="M152" i="47"/>
  <c r="AE27" i="47"/>
  <c r="U12" i="47"/>
  <c r="U45" i="47"/>
  <c r="V61" i="47"/>
  <c r="V77" i="47"/>
  <c r="Y113" i="47"/>
  <c r="AE28" i="47"/>
  <c r="I153" i="47"/>
  <c r="V75" i="47"/>
  <c r="U111" i="47"/>
  <c r="N61" i="47"/>
  <c r="V151" i="47"/>
  <c r="Y12" i="47"/>
  <c r="Z61" i="47"/>
  <c r="S151" i="47"/>
  <c r="V76" i="47"/>
  <c r="V153" i="47"/>
  <c r="Q43" i="47"/>
  <c r="V152" i="47"/>
  <c r="Y112" i="47"/>
  <c r="U44" i="47"/>
  <c r="N11" i="47"/>
  <c r="Y107" i="47"/>
  <c r="Y45" i="47"/>
  <c r="Z59" i="47"/>
  <c r="AI75" i="47"/>
  <c r="V59" i="47"/>
  <c r="M151" i="47"/>
  <c r="I151" i="47"/>
  <c r="R76" i="47"/>
  <c r="M43" i="47"/>
  <c r="I112" i="47"/>
  <c r="AD152" i="47"/>
  <c r="I11" i="47"/>
  <c r="AA75" i="47"/>
  <c r="N60" i="47"/>
  <c r="M153" i="47"/>
  <c r="U43" i="47"/>
  <c r="I43" i="47"/>
  <c r="Q44" i="47"/>
  <c r="M45" i="47"/>
  <c r="R59" i="47"/>
  <c r="AD60" i="47"/>
  <c r="AA27" i="47"/>
  <c r="R27" i="47"/>
  <c r="AE75" i="47"/>
  <c r="Y13" i="47"/>
  <c r="AD153" i="47"/>
  <c r="N59" i="47"/>
  <c r="I111" i="47"/>
  <c r="AD151" i="47"/>
  <c r="I45" i="47"/>
  <c r="U113" i="47"/>
  <c r="AI77" i="47"/>
  <c r="AA77" i="47"/>
  <c r="I13" i="47"/>
  <c r="R77" i="47"/>
  <c r="M44" i="47"/>
  <c r="Z152" i="47"/>
  <c r="AA29" i="47"/>
  <c r="Z60" i="47"/>
  <c r="K144" i="47" l="1"/>
  <c r="L143" i="47"/>
  <c r="R77" i="21"/>
  <c r="R76" i="21"/>
  <c r="R75" i="21"/>
  <c r="R61" i="21"/>
  <c r="N61" i="21"/>
  <c r="R60" i="21"/>
  <c r="N60" i="21"/>
  <c r="R59" i="21"/>
  <c r="N59" i="21"/>
  <c r="Q45" i="21"/>
  <c r="I45" i="21"/>
  <c r="U45" i="21"/>
  <c r="M45" i="21"/>
  <c r="U44" i="21"/>
  <c r="I44" i="21"/>
  <c r="Q44" i="21"/>
  <c r="M44" i="21"/>
  <c r="L106" i="47"/>
  <c r="L138" i="47"/>
  <c r="I43" i="21"/>
  <c r="Q43" i="21"/>
  <c r="U43" i="21"/>
  <c r="M43" i="21"/>
  <c r="R29" i="21"/>
  <c r="N29" i="21"/>
  <c r="R28" i="21"/>
  <c r="N28" i="21"/>
  <c r="R27" i="21"/>
  <c r="N27" i="21"/>
  <c r="Q13" i="21"/>
  <c r="U13" i="21"/>
  <c r="I13" i="21"/>
  <c r="N13" i="21"/>
  <c r="Q12" i="21"/>
  <c r="U12" i="21"/>
  <c r="I12" i="21"/>
  <c r="N12" i="21"/>
  <c r="U11" i="21"/>
  <c r="Q11" i="21"/>
  <c r="I11" i="21"/>
  <c r="N11" i="21"/>
  <c r="M105" i="47"/>
  <c r="M104" i="47"/>
  <c r="M138" i="47" s="1"/>
  <c r="I132" i="47"/>
  <c r="J132" i="47"/>
  <c r="J133" i="47" s="1"/>
  <c r="I124" i="47"/>
  <c r="J124" i="47" s="1"/>
  <c r="K124" i="47" s="1"/>
  <c r="L124" i="47" s="1"/>
  <c r="M124" i="47" s="1"/>
  <c r="N124" i="47" s="1"/>
  <c r="CN45" i="47"/>
  <c r="I104" i="47"/>
  <c r="U105" i="47"/>
  <c r="CN113" i="47"/>
  <c r="CN11" i="47"/>
  <c r="CN43" i="47"/>
  <c r="Y104" i="47"/>
  <c r="Q132" i="47"/>
  <c r="I119" i="47"/>
  <c r="M119" i="47"/>
  <c r="P119" i="47"/>
  <c r="J119" i="47"/>
  <c r="L119" i="47"/>
  <c r="T119" i="47"/>
  <c r="O119" i="47"/>
  <c r="I164" i="47"/>
  <c r="J164" i="47" s="1"/>
  <c r="K164" i="47" s="1"/>
  <c r="L164" i="47" s="1"/>
  <c r="M164" i="47" s="1"/>
  <c r="N164" i="47" s="1"/>
  <c r="Q104" i="47"/>
  <c r="U132" i="47"/>
  <c r="Q119" i="47"/>
  <c r="U104" i="47"/>
  <c r="I105" i="47"/>
  <c r="CN12" i="47"/>
  <c r="CN111" i="47"/>
  <c r="Q105" i="47"/>
  <c r="CN112" i="47"/>
  <c r="Y119" i="47"/>
  <c r="CN44" i="47"/>
  <c r="Y105" i="47"/>
  <c r="CN105" i="47" s="1"/>
  <c r="I56" i="47"/>
  <c r="J56" i="47" s="1"/>
  <c r="K56" i="47" s="1"/>
  <c r="L56" i="47" s="1"/>
  <c r="M56" i="47" s="1"/>
  <c r="N56" i="47" s="1"/>
  <c r="U119" i="47"/>
  <c r="I24" i="47"/>
  <c r="J24" i="47" s="1"/>
  <c r="K24" i="47" s="1"/>
  <c r="L24" i="47" s="1"/>
  <c r="M24" i="47" s="1"/>
  <c r="N24" i="47" s="1"/>
  <c r="CN13" i="47"/>
  <c r="Y118" i="47"/>
  <c r="CN116" i="47"/>
  <c r="AE164" i="47"/>
  <c r="AE165" i="47"/>
  <c r="AE162" i="47"/>
  <c r="AE156" i="47"/>
  <c r="AF150" i="47"/>
  <c r="AF88" i="47"/>
  <c r="AF80" i="47"/>
  <c r="AF89" i="47"/>
  <c r="AG74" i="47"/>
  <c r="AF86" i="47"/>
  <c r="R56" i="47"/>
  <c r="R57" i="47"/>
  <c r="S42" i="47"/>
  <c r="R48" i="47"/>
  <c r="AJ88" i="47"/>
  <c r="AJ80" i="47"/>
  <c r="AJ89" i="47"/>
  <c r="AJ86" i="47"/>
  <c r="AK74" i="47"/>
  <c r="AD24" i="47"/>
  <c r="AD16" i="47"/>
  <c r="AD25" i="47"/>
  <c r="AE10" i="47"/>
  <c r="AI10" i="47"/>
  <c r="R24" i="47"/>
  <c r="R16" i="47"/>
  <c r="R25" i="47"/>
  <c r="S10" i="47"/>
  <c r="AA165" i="47"/>
  <c r="AA162" i="47"/>
  <c r="AA156" i="47"/>
  <c r="AA164" i="47"/>
  <c r="AB150" i="47"/>
  <c r="W164" i="47"/>
  <c r="W165" i="47"/>
  <c r="W156" i="47"/>
  <c r="X150" i="47"/>
  <c r="Z56" i="47"/>
  <c r="Z57" i="47"/>
  <c r="AA42" i="47"/>
  <c r="Z48" i="47"/>
  <c r="AI72" i="47"/>
  <c r="AI70" i="47"/>
  <c r="AJ58" i="47"/>
  <c r="AI73" i="47"/>
  <c r="AI64" i="47"/>
  <c r="AN58" i="47"/>
  <c r="S72" i="47"/>
  <c r="S70" i="47"/>
  <c r="S64" i="47"/>
  <c r="S73" i="47"/>
  <c r="V24" i="47"/>
  <c r="V16" i="47"/>
  <c r="V25" i="47"/>
  <c r="W10" i="47"/>
  <c r="AJ141" i="47"/>
  <c r="AI145" i="47"/>
  <c r="AN141" i="47"/>
  <c r="AI142" i="47"/>
  <c r="AI149" i="47"/>
  <c r="V56" i="47"/>
  <c r="V57" i="47"/>
  <c r="W42" i="47"/>
  <c r="V48" i="47"/>
  <c r="CN16" i="47"/>
  <c r="Z124" i="47"/>
  <c r="Z125" i="47"/>
  <c r="Z116" i="47"/>
  <c r="Z118" i="47" s="1"/>
  <c r="AA110" i="47"/>
  <c r="Z101" i="47"/>
  <c r="Z100" i="47"/>
  <c r="Z99" i="47"/>
  <c r="Z102" i="47"/>
  <c r="AA90" i="47"/>
  <c r="T106" i="47"/>
  <c r="V124" i="47"/>
  <c r="V125" i="47"/>
  <c r="V116" i="47"/>
  <c r="V118" i="47" s="1"/>
  <c r="W110" i="47"/>
  <c r="AI165" i="47"/>
  <c r="AI162" i="47"/>
  <c r="AI156" i="47"/>
  <c r="AI164" i="47"/>
  <c r="AJ150" i="47"/>
  <c r="AN150" i="47"/>
  <c r="W72" i="47"/>
  <c r="W73" i="47"/>
  <c r="X58" i="47"/>
  <c r="W64" i="47"/>
  <c r="N94" i="47"/>
  <c r="N95" i="47"/>
  <c r="S88" i="47"/>
  <c r="S80" i="47"/>
  <c r="S89" i="47"/>
  <c r="S86" i="47"/>
  <c r="AN88" i="47"/>
  <c r="AN80" i="47"/>
  <c r="AN89" i="47"/>
  <c r="AO74" i="47"/>
  <c r="AN86" i="47"/>
  <c r="AS74" i="47"/>
  <c r="AN131" i="47"/>
  <c r="AJ131" i="47"/>
  <c r="AK131" i="47" s="1"/>
  <c r="AL131" i="47" s="1"/>
  <c r="AM131" i="47" s="1"/>
  <c r="AB141" i="47"/>
  <c r="AA149" i="47"/>
  <c r="AA142" i="47"/>
  <c r="AA145" i="47"/>
  <c r="AD102" i="47"/>
  <c r="AD101" i="47"/>
  <c r="AD100" i="47"/>
  <c r="AD99" i="47"/>
  <c r="AE90" i="47"/>
  <c r="AI90" i="47"/>
  <c r="AE117" i="47"/>
  <c r="AF8" i="47"/>
  <c r="H106" i="47"/>
  <c r="AS137" i="47"/>
  <c r="AO137" i="47"/>
  <c r="AP137" i="47" s="1"/>
  <c r="AQ137" i="47" s="1"/>
  <c r="AR137" i="47" s="1"/>
  <c r="CN48" i="47"/>
  <c r="W149" i="47"/>
  <c r="W145" i="47"/>
  <c r="W142" i="47"/>
  <c r="X141" i="47"/>
  <c r="AF32" i="47"/>
  <c r="AF40" i="47"/>
  <c r="AF38" i="47"/>
  <c r="AG26" i="47"/>
  <c r="AF41" i="47"/>
  <c r="R101" i="47"/>
  <c r="R102" i="47"/>
  <c r="R100" i="47"/>
  <c r="R99" i="47"/>
  <c r="S90" i="47"/>
  <c r="AI117" i="47"/>
  <c r="AJ8" i="47"/>
  <c r="AN8" i="47"/>
  <c r="AJ40" i="47"/>
  <c r="AJ38" i="47"/>
  <c r="AJ41" i="47"/>
  <c r="AJ32" i="47"/>
  <c r="AK26" i="47"/>
  <c r="X41" i="47"/>
  <c r="X40" i="47"/>
  <c r="X32" i="47"/>
  <c r="X38" i="47"/>
  <c r="R124" i="47"/>
  <c r="R125" i="47"/>
  <c r="R116" i="47"/>
  <c r="R118" i="47" s="1"/>
  <c r="S110" i="47"/>
  <c r="F144" i="47"/>
  <c r="Z24" i="47"/>
  <c r="Z16" i="47"/>
  <c r="Z25" i="47"/>
  <c r="AA10" i="47"/>
  <c r="AD124" i="47"/>
  <c r="AD125" i="47"/>
  <c r="AD116" i="47"/>
  <c r="AD118" i="47" s="1"/>
  <c r="AE110" i="47"/>
  <c r="AI110" i="47"/>
  <c r="AN40" i="47"/>
  <c r="AN41" i="47"/>
  <c r="AN32" i="47"/>
  <c r="AN38" i="47"/>
  <c r="AO26" i="47"/>
  <c r="AS26" i="47"/>
  <c r="N162" i="47"/>
  <c r="N156" i="47"/>
  <c r="S40" i="47"/>
  <c r="S32" i="47"/>
  <c r="S38" i="47"/>
  <c r="S41" i="47"/>
  <c r="AD56" i="47"/>
  <c r="AD57" i="47"/>
  <c r="AE42" i="47"/>
  <c r="AD48" i="47"/>
  <c r="AI42" i="47"/>
  <c r="AJ103" i="47"/>
  <c r="AK103" i="47" s="1"/>
  <c r="AL103" i="47" s="1"/>
  <c r="AM103" i="47" s="1"/>
  <c r="AN103" i="47"/>
  <c r="V101" i="47"/>
  <c r="V100" i="47"/>
  <c r="V99" i="47"/>
  <c r="W90" i="47"/>
  <c r="V102" i="47"/>
  <c r="S145" i="47"/>
  <c r="S142" i="47"/>
  <c r="S149" i="47"/>
  <c r="AI126" i="47"/>
  <c r="AE126" i="47"/>
  <c r="AF126" i="47" s="1"/>
  <c r="AG126" i="47" s="1"/>
  <c r="AH126" i="47" s="1"/>
  <c r="W117" i="47"/>
  <c r="X8" i="47"/>
  <c r="AB40" i="47"/>
  <c r="AB41" i="47"/>
  <c r="AB38" i="47"/>
  <c r="AC26" i="47"/>
  <c r="AB32" i="47"/>
  <c r="AB88" i="47"/>
  <c r="AB80" i="47"/>
  <c r="AB89" i="47"/>
  <c r="AB86" i="47"/>
  <c r="AC74" i="47"/>
  <c r="AE72" i="47"/>
  <c r="AE73" i="47"/>
  <c r="AE70" i="47"/>
  <c r="AF58" i="47"/>
  <c r="AE64" i="47"/>
  <c r="N119" i="47"/>
  <c r="N118" i="47"/>
  <c r="N48" i="47"/>
  <c r="N54" i="47"/>
  <c r="N149" i="47"/>
  <c r="N142" i="47"/>
  <c r="N145" i="47"/>
  <c r="G144" i="47"/>
  <c r="AA72" i="47"/>
  <c r="AB58" i="47"/>
  <c r="AA64" i="47"/>
  <c r="AA73" i="47"/>
  <c r="AA70" i="47"/>
  <c r="AE149" i="47"/>
  <c r="AE142" i="47"/>
  <c r="AF141" i="47"/>
  <c r="AE145" i="47"/>
  <c r="AA117" i="47"/>
  <c r="AB8" i="47"/>
  <c r="P138" i="47"/>
  <c r="P106" i="47"/>
  <c r="AI151" i="47"/>
  <c r="X29" i="47"/>
  <c r="V107" i="47"/>
  <c r="R43" i="47"/>
  <c r="Z45" i="47"/>
  <c r="AD11" i="47"/>
  <c r="Z13" i="47"/>
  <c r="AA61" i="47"/>
  <c r="AD45" i="47"/>
  <c r="AA153" i="47"/>
  <c r="S59" i="47"/>
  <c r="AE59" i="47"/>
  <c r="AF77" i="47"/>
  <c r="AA60" i="47"/>
  <c r="W61" i="47"/>
  <c r="AE60" i="47"/>
  <c r="AD107" i="47"/>
  <c r="Z113" i="47"/>
  <c r="W152" i="47"/>
  <c r="W153" i="47"/>
  <c r="V13" i="47"/>
  <c r="W77" i="47"/>
  <c r="AD44" i="47"/>
  <c r="AD12" i="47"/>
  <c r="Z11" i="47"/>
  <c r="AI152" i="47"/>
  <c r="AE61" i="47"/>
  <c r="V112" i="47"/>
  <c r="AF75" i="47"/>
  <c r="S76" i="47"/>
  <c r="Z43" i="47"/>
  <c r="AA152" i="47"/>
  <c r="R12" i="47"/>
  <c r="S61" i="47"/>
  <c r="W60" i="47"/>
  <c r="AE151" i="47"/>
  <c r="R113" i="47"/>
  <c r="S77" i="47"/>
  <c r="AN27" i="47"/>
  <c r="R13" i="47"/>
  <c r="AN76" i="47"/>
  <c r="Z107" i="47"/>
  <c r="N44" i="47"/>
  <c r="N152" i="47"/>
  <c r="Z44" i="47"/>
  <c r="AI61" i="47"/>
  <c r="AF28" i="47"/>
  <c r="V45" i="47"/>
  <c r="Z111" i="47"/>
  <c r="V43" i="47"/>
  <c r="S75" i="47"/>
  <c r="AB28" i="47"/>
  <c r="S60" i="47"/>
  <c r="N153" i="47"/>
  <c r="AN29" i="47"/>
  <c r="AI60" i="47"/>
  <c r="AI153" i="47"/>
  <c r="N45" i="47"/>
  <c r="Z112" i="47"/>
  <c r="S29" i="47"/>
  <c r="R45" i="47"/>
  <c r="AD13" i="47"/>
  <c r="AN75" i="47"/>
  <c r="S27" i="47"/>
  <c r="N43" i="47"/>
  <c r="AA151" i="47"/>
  <c r="V113" i="47"/>
  <c r="AB77" i="47"/>
  <c r="AE153" i="47"/>
  <c r="W75" i="47"/>
  <c r="N151" i="47"/>
  <c r="V11" i="47"/>
  <c r="AN28" i="47"/>
  <c r="AE152" i="47"/>
  <c r="W59" i="47"/>
  <c r="AD112" i="47"/>
  <c r="AD113" i="47"/>
  <c r="AA59" i="47"/>
  <c r="AD43" i="47"/>
  <c r="W76" i="47"/>
  <c r="W28" i="47"/>
  <c r="R44" i="47"/>
  <c r="R107" i="47"/>
  <c r="Z12" i="47"/>
  <c r="V111" i="47"/>
  <c r="R112" i="47"/>
  <c r="AI28" i="47"/>
  <c r="R11" i="47"/>
  <c r="AD111" i="47"/>
  <c r="V12" i="47"/>
  <c r="V44" i="47"/>
  <c r="W151" i="47"/>
  <c r="AI59" i="47"/>
  <c r="S28" i="47"/>
  <c r="R111" i="47"/>
  <c r="W29" i="47"/>
  <c r="L144" i="47" l="1"/>
  <c r="M143" i="47"/>
  <c r="S77" i="21"/>
  <c r="S76" i="21"/>
  <c r="S75" i="21"/>
  <c r="S61" i="21"/>
  <c r="S60" i="21"/>
  <c r="S59" i="21"/>
  <c r="R45" i="21"/>
  <c r="N45" i="21"/>
  <c r="R44" i="21"/>
  <c r="N44" i="21"/>
  <c r="R43" i="21"/>
  <c r="N43" i="21"/>
  <c r="S29" i="21"/>
  <c r="S28" i="21"/>
  <c r="S27" i="21"/>
  <c r="R13" i="21"/>
  <c r="R12" i="21"/>
  <c r="R11" i="21"/>
  <c r="M106" i="47"/>
  <c r="N105" i="47"/>
  <c r="N104" i="47"/>
  <c r="CP75" i="47"/>
  <c r="CO75" i="47"/>
  <c r="CO27" i="47"/>
  <c r="CP27" i="47"/>
  <c r="AD119" i="47"/>
  <c r="R119" i="47"/>
  <c r="CP76" i="47"/>
  <c r="CO76" i="47"/>
  <c r="R132" i="47"/>
  <c r="Z119" i="47"/>
  <c r="Z105" i="47"/>
  <c r="V119" i="47"/>
  <c r="V105" i="47"/>
  <c r="R105" i="47"/>
  <c r="AD104" i="47"/>
  <c r="Z132" i="47"/>
  <c r="V104" i="47"/>
  <c r="CP29" i="47"/>
  <c r="CO29" i="47"/>
  <c r="R104" i="47"/>
  <c r="AD105" i="47"/>
  <c r="CP28" i="47"/>
  <c r="CO28" i="47"/>
  <c r="V132" i="47"/>
  <c r="Z104" i="47"/>
  <c r="AS32" i="47"/>
  <c r="AX26" i="47"/>
  <c r="AT26" i="47"/>
  <c r="AK40" i="47"/>
  <c r="AK41" i="47"/>
  <c r="AK38" i="47"/>
  <c r="AK32" i="47"/>
  <c r="AL26" i="47"/>
  <c r="AJ117" i="47"/>
  <c r="AK8" i="47"/>
  <c r="AG40" i="47"/>
  <c r="AG41" i="47"/>
  <c r="AG38" i="47"/>
  <c r="AH26" i="47"/>
  <c r="AG32" i="47"/>
  <c r="CP89" i="47"/>
  <c r="CO89" i="47"/>
  <c r="AN164" i="47"/>
  <c r="AN165" i="47"/>
  <c r="AN162" i="47"/>
  <c r="AN156" i="47"/>
  <c r="AS150" i="47"/>
  <c r="AO150" i="47"/>
  <c r="AA56" i="47"/>
  <c r="AA57" i="47"/>
  <c r="AA54" i="47"/>
  <c r="AB42" i="47"/>
  <c r="AA48" i="47"/>
  <c r="AC40" i="47"/>
  <c r="AC41" i="47"/>
  <c r="AC38" i="47"/>
  <c r="AC32" i="47"/>
  <c r="AN73" i="47"/>
  <c r="AN70" i="47"/>
  <c r="AN72" i="47"/>
  <c r="AS58" i="47"/>
  <c r="AO58" i="47"/>
  <c r="AN64" i="47"/>
  <c r="AF73" i="47"/>
  <c r="AF70" i="47"/>
  <c r="AF72" i="47"/>
  <c r="AG58" i="47"/>
  <c r="AF64" i="47"/>
  <c r="AI56" i="47"/>
  <c r="AI57" i="47"/>
  <c r="AI54" i="47"/>
  <c r="AN42" i="47"/>
  <c r="AJ42" i="47"/>
  <c r="AI48" i="47"/>
  <c r="AP26" i="47"/>
  <c r="AO32" i="47"/>
  <c r="AO131" i="47"/>
  <c r="AP131" i="47" s="1"/>
  <c r="AQ131" i="47" s="1"/>
  <c r="AR131" i="47" s="1"/>
  <c r="AS131" i="47"/>
  <c r="CP80" i="47"/>
  <c r="CO80" i="47"/>
  <c r="X73" i="47"/>
  <c r="X70" i="47"/>
  <c r="X72" i="47"/>
  <c r="X64" i="47"/>
  <c r="AJ162" i="47"/>
  <c r="AJ164" i="47"/>
  <c r="AJ165" i="47"/>
  <c r="AJ156" i="47"/>
  <c r="AK150" i="47"/>
  <c r="W56" i="47"/>
  <c r="W57" i="47"/>
  <c r="X42" i="47"/>
  <c r="W48" i="47"/>
  <c r="AN149" i="47"/>
  <c r="AN145" i="47"/>
  <c r="AN142" i="47"/>
  <c r="AO141" i="47"/>
  <c r="AS141" i="47"/>
  <c r="J134" i="47"/>
  <c r="J135" i="47" s="1"/>
  <c r="J136" i="47" s="1"/>
  <c r="K133" i="47"/>
  <c r="AE24" i="47"/>
  <c r="AE16" i="47"/>
  <c r="AE25" i="47"/>
  <c r="AE22" i="47"/>
  <c r="AF10" i="47"/>
  <c r="AK88" i="47"/>
  <c r="AK80" i="47"/>
  <c r="AK89" i="47"/>
  <c r="AK86" i="47"/>
  <c r="AL74" i="47"/>
  <c r="AC88" i="47"/>
  <c r="AC80" i="47"/>
  <c r="AC89" i="47"/>
  <c r="AC86" i="47"/>
  <c r="CP38" i="47"/>
  <c r="AI124" i="47"/>
  <c r="AI125" i="47"/>
  <c r="AI116" i="47"/>
  <c r="AI118" i="47" s="1"/>
  <c r="AI122" i="47"/>
  <c r="AJ110" i="47"/>
  <c r="AN110" i="47"/>
  <c r="S124" i="47"/>
  <c r="S125" i="47"/>
  <c r="S116" i="47"/>
  <c r="S118" i="47" s="1"/>
  <c r="S122" i="47"/>
  <c r="S102" i="47"/>
  <c r="S100" i="47"/>
  <c r="S94" i="47"/>
  <c r="S99" i="47"/>
  <c r="S95" i="47"/>
  <c r="S101" i="47"/>
  <c r="X149" i="47"/>
  <c r="X145" i="47"/>
  <c r="X142" i="47"/>
  <c r="AF117" i="47"/>
  <c r="AG8" i="47"/>
  <c r="CP88" i="47"/>
  <c r="CO88" i="47"/>
  <c r="W24" i="47"/>
  <c r="W16" i="47"/>
  <c r="W25" i="47"/>
  <c r="X10" i="47"/>
  <c r="AG88" i="47"/>
  <c r="AG80" i="47"/>
  <c r="AG89" i="47"/>
  <c r="AG86" i="47"/>
  <c r="AH74" i="47"/>
  <c r="Q138" i="47"/>
  <c r="Q106" i="47"/>
  <c r="CP32" i="47"/>
  <c r="CO32" i="47"/>
  <c r="AB149" i="47"/>
  <c r="AB145" i="47"/>
  <c r="AC141" i="47"/>
  <c r="AB142" i="47"/>
  <c r="AS80" i="47"/>
  <c r="AX74" i="47"/>
  <c r="AT74" i="47"/>
  <c r="AJ72" i="47"/>
  <c r="AJ73" i="47"/>
  <c r="AJ70" i="47"/>
  <c r="AK58" i="47"/>
  <c r="AJ64" i="47"/>
  <c r="S24" i="47"/>
  <c r="S16" i="47"/>
  <c r="S25" i="47"/>
  <c r="S22" i="47"/>
  <c r="W124" i="47"/>
  <c r="W125" i="47"/>
  <c r="W116" i="47"/>
  <c r="W118" i="47" s="1"/>
  <c r="X110" i="47"/>
  <c r="AB72" i="47"/>
  <c r="AB73" i="47"/>
  <c r="AC58" i="47"/>
  <c r="AB64" i="47"/>
  <c r="AB70" i="47"/>
  <c r="X117" i="47"/>
  <c r="CO41" i="47"/>
  <c r="CP41" i="47"/>
  <c r="AT137" i="47"/>
  <c r="AU137" i="47" s="1"/>
  <c r="AV137" i="47" s="1"/>
  <c r="AW137" i="47" s="1"/>
  <c r="AX137" i="47"/>
  <c r="CP86" i="47"/>
  <c r="AA124" i="47"/>
  <c r="AA125" i="47"/>
  <c r="AA116" i="47"/>
  <c r="AA118" i="47" s="1"/>
  <c r="AA122" i="47"/>
  <c r="AB110" i="47"/>
  <c r="AJ149" i="47"/>
  <c r="AJ145" i="47"/>
  <c r="AK141" i="47"/>
  <c r="AJ142" i="47"/>
  <c r="U138" i="47"/>
  <c r="U106" i="47"/>
  <c r="AF149" i="47"/>
  <c r="AF145" i="47"/>
  <c r="AF142" i="47"/>
  <c r="AG141" i="47"/>
  <c r="AB117" i="47"/>
  <c r="AC8" i="47"/>
  <c r="E144" i="47"/>
  <c r="W101" i="47"/>
  <c r="W100" i="47"/>
  <c r="W99" i="47"/>
  <c r="W102" i="47"/>
  <c r="X90" i="47"/>
  <c r="AS103" i="47"/>
  <c r="AO103" i="47"/>
  <c r="AP103" i="47" s="1"/>
  <c r="AQ103" i="47" s="1"/>
  <c r="AR103" i="47" s="1"/>
  <c r="AE56" i="47"/>
  <c r="AE57" i="47"/>
  <c r="AF42" i="47"/>
  <c r="AE48" i="47"/>
  <c r="AE54" i="47"/>
  <c r="AI24" i="47"/>
  <c r="AI16" i="47"/>
  <c r="AI25" i="47"/>
  <c r="AI22" i="47"/>
  <c r="AN10" i="47"/>
  <c r="AJ10" i="47"/>
  <c r="AF164" i="47"/>
  <c r="AF165" i="47"/>
  <c r="AF162" i="47"/>
  <c r="AF156" i="47"/>
  <c r="AG150" i="47"/>
  <c r="Y106" i="47"/>
  <c r="CN106" i="47" s="1"/>
  <c r="CN104" i="47"/>
  <c r="I138" i="47"/>
  <c r="I106" i="47"/>
  <c r="J138" i="47"/>
  <c r="AE102" i="47"/>
  <c r="AE101" i="47"/>
  <c r="AE100" i="47"/>
  <c r="AE94" i="47"/>
  <c r="AE99" i="47"/>
  <c r="AE95" i="47"/>
  <c r="AF90" i="47"/>
  <c r="AN126" i="47"/>
  <c r="AJ126" i="47"/>
  <c r="AK126" i="47" s="1"/>
  <c r="AL126" i="47" s="1"/>
  <c r="AM126" i="47" s="1"/>
  <c r="CP40" i="47"/>
  <c r="CO40" i="47"/>
  <c r="AE124" i="47"/>
  <c r="AE125" i="47"/>
  <c r="AE116" i="47"/>
  <c r="AE118" i="47" s="1"/>
  <c r="AE122" i="47"/>
  <c r="AF110" i="47"/>
  <c r="AA24" i="47"/>
  <c r="AA16" i="47"/>
  <c r="AA25" i="47"/>
  <c r="AA22" i="47"/>
  <c r="AB10" i="47"/>
  <c r="AN117" i="47"/>
  <c r="AO8" i="47"/>
  <c r="AS8" i="47"/>
  <c r="AI102" i="47"/>
  <c r="AI100" i="47"/>
  <c r="AI94" i="47"/>
  <c r="AI99" i="47"/>
  <c r="AI95" i="47"/>
  <c r="AN90" i="47"/>
  <c r="AI101" i="47"/>
  <c r="AJ90" i="47"/>
  <c r="AO80" i="47"/>
  <c r="AP74" i="47"/>
  <c r="AA100" i="47"/>
  <c r="AA94" i="47"/>
  <c r="AA99" i="47"/>
  <c r="AA95" i="47"/>
  <c r="AA102" i="47"/>
  <c r="AB90" i="47"/>
  <c r="AA101" i="47"/>
  <c r="X164" i="47"/>
  <c r="X165" i="47"/>
  <c r="X162" i="47"/>
  <c r="X156" i="47"/>
  <c r="AB162" i="47"/>
  <c r="AB164" i="47"/>
  <c r="AB165" i="47"/>
  <c r="AB156" i="47"/>
  <c r="AC150" i="47"/>
  <c r="S56" i="47"/>
  <c r="S57" i="47"/>
  <c r="S54" i="47"/>
  <c r="S48" i="47"/>
  <c r="AI113" i="47"/>
  <c r="S43" i="47"/>
  <c r="W44" i="47"/>
  <c r="W45" i="47"/>
  <c r="AE45" i="47"/>
  <c r="AN60" i="47"/>
  <c r="AB60" i="47"/>
  <c r="AB76" i="47"/>
  <c r="X77" i="47"/>
  <c r="AS77" i="47"/>
  <c r="AJ76" i="47"/>
  <c r="AI43" i="47"/>
  <c r="AF60" i="47"/>
  <c r="AJ60" i="47"/>
  <c r="S107" i="47"/>
  <c r="AB29" i="47"/>
  <c r="W13" i="47"/>
  <c r="S44" i="47"/>
  <c r="X60" i="47"/>
  <c r="AF29" i="47"/>
  <c r="AA45" i="47"/>
  <c r="W107" i="47"/>
  <c r="AA112" i="47"/>
  <c r="AA44" i="47"/>
  <c r="AF151" i="47"/>
  <c r="AI45" i="47"/>
  <c r="AE13" i="47"/>
  <c r="AF153" i="47"/>
  <c r="AK76" i="47"/>
  <c r="AE111" i="47"/>
  <c r="X153" i="47"/>
  <c r="AN153" i="47"/>
  <c r="X28" i="47"/>
  <c r="AO77" i="47"/>
  <c r="AF76" i="47"/>
  <c r="AF59" i="47"/>
  <c r="AN61" i="47"/>
  <c r="S13" i="47"/>
  <c r="AS27" i="47"/>
  <c r="W12" i="47"/>
  <c r="AA107" i="47"/>
  <c r="AA43" i="47"/>
  <c r="AI11" i="47"/>
  <c r="X27" i="47"/>
  <c r="W43" i="47"/>
  <c r="AI112" i="47"/>
  <c r="AJ151" i="47"/>
  <c r="AJ77" i="47"/>
  <c r="S112" i="47"/>
  <c r="AB61" i="47"/>
  <c r="AE11" i="47"/>
  <c r="AF27" i="47"/>
  <c r="AN77" i="47"/>
  <c r="AJ75" i="47"/>
  <c r="AB59" i="47"/>
  <c r="AI13" i="47"/>
  <c r="AB75" i="47"/>
  <c r="AE113" i="47"/>
  <c r="X75" i="47"/>
  <c r="AJ61" i="47"/>
  <c r="AJ28" i="47"/>
  <c r="S12" i="47"/>
  <c r="X61" i="47"/>
  <c r="AF61" i="47"/>
  <c r="S111" i="47"/>
  <c r="AB152" i="47"/>
  <c r="AE112" i="47"/>
  <c r="S113" i="47"/>
  <c r="AE12" i="47"/>
  <c r="AA11" i="47"/>
  <c r="AA13" i="47"/>
  <c r="AK27" i="47"/>
  <c r="AN152" i="47"/>
  <c r="W111" i="47"/>
  <c r="AA111" i="47"/>
  <c r="AG77" i="47"/>
  <c r="AI111" i="47"/>
  <c r="AO75" i="47"/>
  <c r="AJ153" i="47"/>
  <c r="S45" i="47"/>
  <c r="AJ27" i="47"/>
  <c r="AB27" i="47"/>
  <c r="X152" i="47"/>
  <c r="AE44" i="47"/>
  <c r="X151" i="47"/>
  <c r="AB153" i="47"/>
  <c r="AE107" i="47"/>
  <c r="AB151" i="47"/>
  <c r="AN59" i="47"/>
  <c r="AA113" i="47"/>
  <c r="AI44" i="47"/>
  <c r="AJ29" i="47"/>
  <c r="AK29" i="47"/>
  <c r="AJ59" i="47"/>
  <c r="W11" i="47"/>
  <c r="AK77" i="47"/>
  <c r="AJ152" i="47"/>
  <c r="W112" i="47"/>
  <c r="W113" i="47"/>
  <c r="AE43" i="47"/>
  <c r="X59" i="47"/>
  <c r="AK75" i="47"/>
  <c r="AC29" i="47"/>
  <c r="AI107" i="47"/>
  <c r="AO28" i="47"/>
  <c r="AG76" i="47"/>
  <c r="S11" i="47"/>
  <c r="AI12" i="47"/>
  <c r="AA12" i="47"/>
  <c r="AN151" i="47"/>
  <c r="X76" i="47"/>
  <c r="AF152" i="47"/>
  <c r="M144" i="47" l="1"/>
  <c r="N143" i="47"/>
  <c r="S45" i="21"/>
  <c r="S44" i="21"/>
  <c r="S43" i="21"/>
  <c r="S13" i="21"/>
  <c r="S12" i="21"/>
  <c r="S11" i="21"/>
  <c r="N106" i="47"/>
  <c r="N138" i="47"/>
  <c r="O138" i="47"/>
  <c r="AE105" i="47"/>
  <c r="AA132" i="47"/>
  <c r="CP153" i="47"/>
  <c r="CO153" i="47"/>
  <c r="AI119" i="47"/>
  <c r="W104" i="47"/>
  <c r="AA105" i="47"/>
  <c r="S104" i="47"/>
  <c r="S105" i="47"/>
  <c r="CP77" i="47"/>
  <c r="CO77" i="47"/>
  <c r="AI104" i="47"/>
  <c r="CP59" i="47"/>
  <c r="CO59" i="47"/>
  <c r="CP151" i="47"/>
  <c r="CO151" i="47"/>
  <c r="AE119" i="47"/>
  <c r="AE104" i="47"/>
  <c r="W119" i="47"/>
  <c r="CP61" i="47"/>
  <c r="CO61" i="47"/>
  <c r="AE132" i="47"/>
  <c r="W132" i="47"/>
  <c r="S119" i="47"/>
  <c r="W105" i="47"/>
  <c r="AI105" i="47"/>
  <c r="AA104" i="47"/>
  <c r="AA119" i="47"/>
  <c r="S132" i="47"/>
  <c r="T132" i="47"/>
  <c r="CP60" i="47"/>
  <c r="CO60" i="47"/>
  <c r="CO152" i="47"/>
  <c r="CP152" i="47"/>
  <c r="AF56" i="47"/>
  <c r="AF57" i="47"/>
  <c r="AF48" i="47"/>
  <c r="AF54" i="47"/>
  <c r="AG42" i="47"/>
  <c r="AB102" i="47"/>
  <c r="AB99" i="47"/>
  <c r="AB95" i="47"/>
  <c r="AB101" i="47"/>
  <c r="AB100" i="47"/>
  <c r="AC90" i="47"/>
  <c r="AB94" i="47"/>
  <c r="AP80" i="47"/>
  <c r="AQ74" i="47"/>
  <c r="AB124" i="47"/>
  <c r="AB125" i="47"/>
  <c r="AB122" i="47"/>
  <c r="AB116" i="47"/>
  <c r="AB118" i="47" s="1"/>
  <c r="AC110" i="47"/>
  <c r="X124" i="47"/>
  <c r="X125" i="47"/>
  <c r="X122" i="47"/>
  <c r="X116" i="47"/>
  <c r="X118" i="47" s="1"/>
  <c r="AK72" i="47"/>
  <c r="AK73" i="47"/>
  <c r="AK70" i="47"/>
  <c r="AL58" i="47"/>
  <c r="AK64" i="47"/>
  <c r="AG117" i="47"/>
  <c r="AH8" i="47"/>
  <c r="AN124" i="47"/>
  <c r="AN125" i="47"/>
  <c r="AN122" i="47"/>
  <c r="AN116" i="47"/>
  <c r="AS110" i="47"/>
  <c r="AO110" i="47"/>
  <c r="AP32" i="47"/>
  <c r="AQ26" i="47"/>
  <c r="AT58" i="47"/>
  <c r="AS64" i="47"/>
  <c r="AX58" i="47"/>
  <c r="AB57" i="47"/>
  <c r="AB56" i="47"/>
  <c r="AC42" i="47"/>
  <c r="AB48" i="47"/>
  <c r="AB54" i="47"/>
  <c r="CP162" i="47"/>
  <c r="AL41" i="47"/>
  <c r="AL38" i="47"/>
  <c r="AL40" i="47"/>
  <c r="AL32" i="47"/>
  <c r="AM26" i="47"/>
  <c r="AT32" i="47"/>
  <c r="AU26" i="47"/>
  <c r="AS149" i="47"/>
  <c r="AS145" i="47"/>
  <c r="AX141" i="47"/>
  <c r="AS142" i="47"/>
  <c r="AT141" i="47"/>
  <c r="AF124" i="47"/>
  <c r="AF125" i="47"/>
  <c r="AF122" i="47"/>
  <c r="AF116" i="47"/>
  <c r="AF118" i="47" s="1"/>
  <c r="AG110" i="47"/>
  <c r="AC72" i="47"/>
  <c r="AC73" i="47"/>
  <c r="AC70" i="47"/>
  <c r="AC64" i="47"/>
  <c r="AO149" i="47"/>
  <c r="AO145" i="47"/>
  <c r="AO142" i="47"/>
  <c r="AP141" i="47"/>
  <c r="AG70" i="47"/>
  <c r="AG72" i="47"/>
  <c r="AG73" i="47"/>
  <c r="AH58" i="47"/>
  <c r="AG64" i="47"/>
  <c r="CP72" i="47"/>
  <c r="CO72" i="47"/>
  <c r="CP165" i="47"/>
  <c r="CO165" i="47"/>
  <c r="AH41" i="47"/>
  <c r="AH32" i="47"/>
  <c r="AH40" i="47"/>
  <c r="AH38" i="47"/>
  <c r="BH31" i="47"/>
  <c r="W31" i="47"/>
  <c r="AX32" i="47"/>
  <c r="BC26" i="47"/>
  <c r="AY26" i="47"/>
  <c r="S30" i="47"/>
  <c r="AF25" i="47"/>
  <c r="AF22" i="47"/>
  <c r="AF16" i="47"/>
  <c r="AF24" i="47"/>
  <c r="AG10" i="47"/>
  <c r="AS117" i="47"/>
  <c r="AX8" i="47"/>
  <c r="AT8" i="47"/>
  <c r="CO117" i="47"/>
  <c r="AJ24" i="47"/>
  <c r="AJ16" i="47"/>
  <c r="AJ25" i="47"/>
  <c r="AJ22" i="47"/>
  <c r="AK10" i="47"/>
  <c r="AH88" i="47"/>
  <c r="AH80" i="47"/>
  <c r="AH89" i="47"/>
  <c r="AH86" i="47"/>
  <c r="T78" i="47"/>
  <c r="CP70" i="47"/>
  <c r="AO162" i="47"/>
  <c r="AO156" i="47"/>
  <c r="AP150" i="47"/>
  <c r="CO164" i="47"/>
  <c r="CP164" i="47"/>
  <c r="AD106" i="47"/>
  <c r="AG164" i="47"/>
  <c r="AG165" i="47"/>
  <c r="AG162" i="47"/>
  <c r="AG156" i="47"/>
  <c r="AH150" i="47"/>
  <c r="X102" i="47"/>
  <c r="X101" i="47"/>
  <c r="X100" i="47"/>
  <c r="X94" i="47"/>
  <c r="X99" i="47"/>
  <c r="X95" i="47"/>
  <c r="AO117" i="47"/>
  <c r="AP8" i="47"/>
  <c r="AB24" i="47"/>
  <c r="AB16" i="47"/>
  <c r="AB25" i="47"/>
  <c r="AB22" i="47"/>
  <c r="AC10" i="47"/>
  <c r="AF102" i="47"/>
  <c r="AF101" i="47"/>
  <c r="AF100" i="47"/>
  <c r="AF94" i="47"/>
  <c r="AF99" i="47"/>
  <c r="AF95" i="47"/>
  <c r="AG90" i="47"/>
  <c r="AC117" i="47"/>
  <c r="BC137" i="47"/>
  <c r="AY137" i="47"/>
  <c r="AZ137" i="47" s="1"/>
  <c r="BA137" i="47" s="1"/>
  <c r="BB137" i="47" s="1"/>
  <c r="AC149" i="47"/>
  <c r="AC145" i="47"/>
  <c r="AC142" i="47"/>
  <c r="AJ124" i="47"/>
  <c r="AJ125" i="47"/>
  <c r="AJ116" i="47"/>
  <c r="AJ118" i="47" s="1"/>
  <c r="AJ122" i="47"/>
  <c r="AK110" i="47"/>
  <c r="AD78" i="47"/>
  <c r="T145" i="47"/>
  <c r="AK164" i="47"/>
  <c r="AK165" i="47"/>
  <c r="AK156" i="47"/>
  <c r="AK162" i="47"/>
  <c r="AL150" i="47"/>
  <c r="AX131" i="47"/>
  <c r="AT131" i="47"/>
  <c r="AU131" i="47" s="1"/>
  <c r="AV131" i="47" s="1"/>
  <c r="AW131" i="47" s="1"/>
  <c r="CO73" i="47"/>
  <c r="CP73" i="47"/>
  <c r="Z138" i="47"/>
  <c r="Z106" i="47"/>
  <c r="X30" i="47"/>
  <c r="AN25" i="47"/>
  <c r="AN22" i="47"/>
  <c r="AS10" i="47"/>
  <c r="AN24" i="47"/>
  <c r="AN16" i="47"/>
  <c r="AO10" i="47"/>
  <c r="X56" i="47"/>
  <c r="X57" i="47"/>
  <c r="X48" i="47"/>
  <c r="X54" i="47"/>
  <c r="AJ57" i="47"/>
  <c r="AJ56" i="47"/>
  <c r="AK42" i="47"/>
  <c r="AJ48" i="47"/>
  <c r="AJ54" i="47"/>
  <c r="CP64" i="47"/>
  <c r="CO64" i="47"/>
  <c r="AS156" i="47"/>
  <c r="AS162" i="47"/>
  <c r="AX150" i="47"/>
  <c r="AT150" i="47"/>
  <c r="R138" i="47"/>
  <c r="R106" i="47"/>
  <c r="V138" i="47"/>
  <c r="V106" i="47"/>
  <c r="AN102" i="47"/>
  <c r="AN101" i="47"/>
  <c r="AN100" i="47"/>
  <c r="AN94" i="47"/>
  <c r="AN99" i="47"/>
  <c r="AN95" i="47"/>
  <c r="AS90" i="47"/>
  <c r="AO90" i="47"/>
  <c r="AX80" i="47"/>
  <c r="BC74" i="47"/>
  <c r="AY74" i="47"/>
  <c r="AO126" i="47"/>
  <c r="AP126" i="47" s="1"/>
  <c r="AQ126" i="47" s="1"/>
  <c r="AR126" i="47" s="1"/>
  <c r="AS126" i="47"/>
  <c r="AJ102" i="47"/>
  <c r="AJ99" i="47"/>
  <c r="AJ95" i="47"/>
  <c r="AJ101" i="47"/>
  <c r="AJ100" i="47"/>
  <c r="AK90" i="47"/>
  <c r="AJ94" i="47"/>
  <c r="AU74" i="47"/>
  <c r="AT80" i="47"/>
  <c r="R78" i="47"/>
  <c r="X25" i="47"/>
  <c r="X22" i="47"/>
  <c r="X16" i="47"/>
  <c r="X24" i="47"/>
  <c r="AL89" i="47"/>
  <c r="AL86" i="47"/>
  <c r="AL80" i="47"/>
  <c r="AM74" i="47"/>
  <c r="AL88" i="47"/>
  <c r="AP58" i="47"/>
  <c r="AO64" i="47"/>
  <c r="CP156" i="47"/>
  <c r="CO156" i="47"/>
  <c r="AG149" i="47"/>
  <c r="AG145" i="47"/>
  <c r="AG142" i="47"/>
  <c r="AH141" i="47"/>
  <c r="AK149" i="47"/>
  <c r="AK145" i="47"/>
  <c r="AK142" i="47"/>
  <c r="AL141" i="47"/>
  <c r="AC164" i="47"/>
  <c r="AC165" i="47"/>
  <c r="AC156" i="47"/>
  <c r="AC162" i="47"/>
  <c r="AX103" i="47"/>
  <c r="AT103" i="47"/>
  <c r="AU103" i="47" s="1"/>
  <c r="AV103" i="47" s="1"/>
  <c r="AW103" i="47" s="1"/>
  <c r="Y78" i="47"/>
  <c r="P78" i="47"/>
  <c r="CG79" i="47"/>
  <c r="K134" i="47"/>
  <c r="K135" i="47" s="1"/>
  <c r="K136" i="47" s="1"/>
  <c r="L133" i="47"/>
  <c r="AN56" i="47"/>
  <c r="AN57" i="47"/>
  <c r="AN48" i="47"/>
  <c r="AN54" i="47"/>
  <c r="AS42" i="47"/>
  <c r="AO42" i="47"/>
  <c r="AK117" i="47"/>
  <c r="AL8" i="47"/>
  <c r="S78" i="47"/>
  <c r="M16" i="46"/>
  <c r="M17" i="46"/>
  <c r="M18" i="46"/>
  <c r="M19" i="46"/>
  <c r="M20" i="46"/>
  <c r="M15" i="46"/>
  <c r="E32" i="20"/>
  <c r="F32" i="20"/>
  <c r="G32" i="20"/>
  <c r="H32" i="20"/>
  <c r="I32" i="20"/>
  <c r="J32" i="20"/>
  <c r="K32" i="20"/>
  <c r="K37" i="20" s="1"/>
  <c r="L32" i="20"/>
  <c r="L37" i="20" s="1"/>
  <c r="M32" i="20"/>
  <c r="N32" i="20"/>
  <c r="O32" i="20"/>
  <c r="P32" i="20"/>
  <c r="Q32" i="20"/>
  <c r="R32" i="20"/>
  <c r="S32" i="20"/>
  <c r="S37" i="20" s="1"/>
  <c r="T32" i="20"/>
  <c r="T37" i="20" s="1"/>
  <c r="U32" i="20"/>
  <c r="V32" i="20"/>
  <c r="W32" i="20"/>
  <c r="X32" i="20"/>
  <c r="Y32" i="20"/>
  <c r="Z32" i="20"/>
  <c r="AA32" i="20"/>
  <c r="AA37" i="20" s="1"/>
  <c r="AB32" i="20"/>
  <c r="AB37" i="20" s="1"/>
  <c r="AC32" i="20"/>
  <c r="AD32" i="20"/>
  <c r="AE32" i="20"/>
  <c r="AF32" i="20"/>
  <c r="AG32" i="20"/>
  <c r="AH32" i="20"/>
  <c r="AI32" i="20"/>
  <c r="AI37" i="20" s="1"/>
  <c r="AJ32" i="20"/>
  <c r="AJ37" i="20" s="1"/>
  <c r="AK32" i="20"/>
  <c r="AL32" i="20"/>
  <c r="AM32" i="20"/>
  <c r="AN32"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E35" i="20"/>
  <c r="F35" i="20"/>
  <c r="G35" i="20"/>
  <c r="H35" i="20"/>
  <c r="I35" i="20"/>
  <c r="J35" i="20"/>
  <c r="K35" i="20"/>
  <c r="L35" i="20"/>
  <c r="M35" i="20"/>
  <c r="N35" i="20"/>
  <c r="O35" i="20"/>
  <c r="P35" i="20"/>
  <c r="Q35" i="20"/>
  <c r="R35" i="20"/>
  <c r="S35" i="20"/>
  <c r="T35" i="20"/>
  <c r="U35" i="20"/>
  <c r="V35" i="20"/>
  <c r="W35" i="20"/>
  <c r="W37" i="20" s="1"/>
  <c r="X35" i="20"/>
  <c r="Y35" i="20"/>
  <c r="Z35" i="20"/>
  <c r="AA35" i="20"/>
  <c r="AB35" i="20"/>
  <c r="AC35" i="20"/>
  <c r="AD35" i="20"/>
  <c r="AE35" i="20"/>
  <c r="AF35" i="20"/>
  <c r="AG35" i="20"/>
  <c r="AH35" i="20"/>
  <c r="AI35" i="20"/>
  <c r="AJ35" i="20"/>
  <c r="AK35" i="20"/>
  <c r="AL35" i="20"/>
  <c r="AM35" i="20"/>
  <c r="AN35"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E37" i="20"/>
  <c r="F37" i="20"/>
  <c r="G37" i="20"/>
  <c r="H37" i="20"/>
  <c r="I37" i="20"/>
  <c r="J37" i="20"/>
  <c r="M37" i="20"/>
  <c r="N37" i="20"/>
  <c r="O37" i="20"/>
  <c r="P37" i="20"/>
  <c r="Q37" i="20"/>
  <c r="R37" i="20"/>
  <c r="U37" i="20"/>
  <c r="V37" i="20"/>
  <c r="X37" i="20"/>
  <c r="Y37" i="20"/>
  <c r="Z37" i="20"/>
  <c r="AC37" i="20"/>
  <c r="AD37" i="20"/>
  <c r="AE37" i="20"/>
  <c r="AF37" i="20"/>
  <c r="AG37" i="20"/>
  <c r="AH37" i="20"/>
  <c r="AK37" i="20"/>
  <c r="AL37" i="20"/>
  <c r="AM37" i="20"/>
  <c r="AN37" i="20"/>
  <c r="E38" i="20"/>
  <c r="F38" i="20"/>
  <c r="G38" i="20"/>
  <c r="H38" i="20"/>
  <c r="I38" i="20"/>
  <c r="E39" i="20"/>
  <c r="F39" i="20"/>
  <c r="G39" i="20"/>
  <c r="H39" i="20"/>
  <c r="I39"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E43" i="20"/>
  <c r="F43" i="20"/>
  <c r="G43" i="20"/>
  <c r="H43" i="20"/>
  <c r="I43" i="20"/>
  <c r="E44" i="20"/>
  <c r="F44" i="20"/>
  <c r="G44" i="20"/>
  <c r="H44" i="20"/>
  <c r="I44" i="20"/>
  <c r="E45" i="20"/>
  <c r="F45" i="20"/>
  <c r="G45" i="20"/>
  <c r="H45" i="20"/>
  <c r="I45"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E49" i="20"/>
  <c r="F49" i="20"/>
  <c r="G49" i="20"/>
  <c r="H49" i="20"/>
  <c r="I49" i="20"/>
  <c r="AH28" i="47"/>
  <c r="AK61" i="47"/>
  <c r="AG60" i="47"/>
  <c r="AC28" i="47"/>
  <c r="AS76" i="47"/>
  <c r="X13" i="47"/>
  <c r="AH27" i="47"/>
  <c r="AJ107" i="47"/>
  <c r="AF11" i="47"/>
  <c r="AK28" i="47"/>
  <c r="AO151" i="47"/>
  <c r="AB12" i="47"/>
  <c r="AL75" i="47"/>
  <c r="AG29" i="47"/>
  <c r="AN112" i="47"/>
  <c r="AK153" i="47"/>
  <c r="AG75" i="47"/>
  <c r="AG151" i="47"/>
  <c r="AF12" i="47"/>
  <c r="AN44" i="47"/>
  <c r="X11" i="47"/>
  <c r="AJ12" i="47"/>
  <c r="AS29" i="47"/>
  <c r="AS59" i="47"/>
  <c r="AN107" i="47"/>
  <c r="AJ43" i="47"/>
  <c r="AS61" i="47"/>
  <c r="AN11" i="47"/>
  <c r="AB113" i="47"/>
  <c r="AF44" i="47"/>
  <c r="AJ112" i="47"/>
  <c r="AG152" i="47"/>
  <c r="AJ113" i="47"/>
  <c r="AK59" i="47"/>
  <c r="AB45" i="47"/>
  <c r="AH75" i="47"/>
  <c r="AC60" i="47"/>
  <c r="AK152" i="47"/>
  <c r="AL77" i="47"/>
  <c r="AP28" i="47"/>
  <c r="AJ13" i="47"/>
  <c r="AG61" i="47"/>
  <c r="AJ44" i="47"/>
  <c r="AT76" i="47"/>
  <c r="AO153" i="47"/>
  <c r="AC153" i="47"/>
  <c r="AS152" i="47"/>
  <c r="AF107" i="47"/>
  <c r="AF43" i="47"/>
  <c r="AB107" i="47"/>
  <c r="AC151" i="47"/>
  <c r="X111" i="47"/>
  <c r="AF112" i="47"/>
  <c r="AH29" i="47"/>
  <c r="AK60" i="47"/>
  <c r="AG153" i="47"/>
  <c r="AH76" i="47"/>
  <c r="AG27" i="47"/>
  <c r="AT77" i="47"/>
  <c r="X43" i="47"/>
  <c r="AB11" i="47"/>
  <c r="X44" i="47"/>
  <c r="AN113" i="47"/>
  <c r="AB13" i="47"/>
  <c r="AS28" i="47"/>
  <c r="AG28" i="47"/>
  <c r="AS151" i="47"/>
  <c r="AN111" i="47"/>
  <c r="X107" i="47"/>
  <c r="AC75" i="47"/>
  <c r="AC77" i="47"/>
  <c r="AK151" i="47"/>
  <c r="AC59" i="47"/>
  <c r="AJ11" i="47"/>
  <c r="AJ45" i="47"/>
  <c r="AO152" i="47"/>
  <c r="AO76" i="47"/>
  <c r="AO61" i="47"/>
  <c r="AN13" i="47"/>
  <c r="AJ111" i="47"/>
  <c r="AN12" i="47"/>
  <c r="AO29" i="47"/>
  <c r="AC27" i="47"/>
  <c r="AX77" i="47"/>
  <c r="AT28" i="47"/>
  <c r="AF13" i="47"/>
  <c r="AF111" i="47"/>
  <c r="AN45" i="47"/>
  <c r="AG59" i="47"/>
  <c r="AB112" i="47"/>
  <c r="AF45" i="47"/>
  <c r="AB44" i="47"/>
  <c r="AC76" i="47"/>
  <c r="AT75" i="47"/>
  <c r="X45" i="47"/>
  <c r="AF113" i="47"/>
  <c r="X112" i="47"/>
  <c r="AS60" i="47"/>
  <c r="AB43" i="47"/>
  <c r="AO27" i="47"/>
  <c r="X113" i="47"/>
  <c r="AO60" i="47"/>
  <c r="AO59" i="47"/>
  <c r="AN43" i="47"/>
  <c r="AL29" i="47"/>
  <c r="AH77" i="47"/>
  <c r="AC152" i="47"/>
  <c r="AS75" i="47"/>
  <c r="AC61" i="47"/>
  <c r="AB111" i="47"/>
  <c r="X12" i="47"/>
  <c r="AX76" i="47"/>
  <c r="AS153" i="47"/>
  <c r="O143" i="47" l="1"/>
  <c r="N144" i="47"/>
  <c r="AL30" i="47"/>
  <c r="CP111" i="47"/>
  <c r="CO111" i="47"/>
  <c r="CP45" i="47"/>
  <c r="CO45" i="47"/>
  <c r="AC78" i="47"/>
  <c r="X105" i="47"/>
  <c r="CP112" i="47"/>
  <c r="CO112" i="47"/>
  <c r="AN119" i="47"/>
  <c r="X119" i="47"/>
  <c r="CP11" i="47"/>
  <c r="CO11" i="47"/>
  <c r="AH30" i="47"/>
  <c r="AB119" i="47"/>
  <c r="AF105" i="47"/>
  <c r="AT78" i="47"/>
  <c r="AJ104" i="47"/>
  <c r="CP12" i="47"/>
  <c r="CO12" i="47"/>
  <c r="AH78" i="47"/>
  <c r="AF119" i="47"/>
  <c r="AB104" i="47"/>
  <c r="CP113" i="47"/>
  <c r="CO113" i="47"/>
  <c r="AB132" i="47"/>
  <c r="AO30" i="47"/>
  <c r="AL78" i="47"/>
  <c r="AX78" i="47"/>
  <c r="X104" i="47"/>
  <c r="AJ119" i="47"/>
  <c r="CP43" i="47"/>
  <c r="CO43" i="47"/>
  <c r="AN104" i="47"/>
  <c r="AS30" i="47"/>
  <c r="CO13" i="47"/>
  <c r="CP13" i="47"/>
  <c r="AJ132" i="47"/>
  <c r="AF104" i="47"/>
  <c r="AG30" i="47"/>
  <c r="AJ105" i="47"/>
  <c r="AB105" i="47"/>
  <c r="X132" i="47"/>
  <c r="Y132" i="47"/>
  <c r="CO44" i="47"/>
  <c r="CP44" i="47"/>
  <c r="AN105" i="47"/>
  <c r="AF132" i="47"/>
  <c r="AT162" i="47"/>
  <c r="AT156" i="47"/>
  <c r="AU150" i="47"/>
  <c r="AX117" i="47"/>
  <c r="AY8" i="47"/>
  <c r="BC8" i="47"/>
  <c r="S138" i="47"/>
  <c r="S106" i="47"/>
  <c r="T138" i="47"/>
  <c r="AQ58" i="47"/>
  <c r="AP64" i="47"/>
  <c r="AM86" i="47"/>
  <c r="AM88" i="47"/>
  <c r="AM80" i="47"/>
  <c r="AM89" i="47"/>
  <c r="AA78" i="47"/>
  <c r="V78" i="47"/>
  <c r="BJ79" i="47"/>
  <c r="U78" i="47"/>
  <c r="Z78" i="47"/>
  <c r="AE78" i="47"/>
  <c r="Q78" i="47"/>
  <c r="AI78" i="47"/>
  <c r="AI79" i="47"/>
  <c r="AU80" i="47"/>
  <c r="AV74" i="47"/>
  <c r="BC80" i="47"/>
  <c r="BD74" i="47"/>
  <c r="BH74" i="47"/>
  <c r="CO99" i="47"/>
  <c r="CP99" i="47"/>
  <c r="AX162" i="47"/>
  <c r="AX156" i="47"/>
  <c r="AY150" i="47"/>
  <c r="BC150" i="47"/>
  <c r="CP22" i="47"/>
  <c r="AK124" i="47"/>
  <c r="AK125" i="47"/>
  <c r="AK122" i="47"/>
  <c r="AK116" i="47"/>
  <c r="AK118" i="47" s="1"/>
  <c r="AL110" i="47"/>
  <c r="AY32" i="47"/>
  <c r="AZ26" i="47"/>
  <c r="AP149" i="47"/>
  <c r="AP145" i="47"/>
  <c r="AQ141" i="47"/>
  <c r="AP142" i="47"/>
  <c r="AM40" i="47"/>
  <c r="AM41" i="47"/>
  <c r="AM32" i="47"/>
  <c r="AM38" i="47"/>
  <c r="R30" i="47"/>
  <c r="BZ31" i="47"/>
  <c r="AI30" i="47"/>
  <c r="AI31" i="47"/>
  <c r="Y30" i="47"/>
  <c r="N30" i="47"/>
  <c r="BK31" i="47"/>
  <c r="P30" i="47"/>
  <c r="CF31" i="47"/>
  <c r="AQ31" i="47"/>
  <c r="I30" i="47"/>
  <c r="AV31" i="47"/>
  <c r="M30" i="47"/>
  <c r="BG31" i="47"/>
  <c r="AE30" i="47"/>
  <c r="S31" i="47"/>
  <c r="Z31" i="47"/>
  <c r="AC31" i="47"/>
  <c r="AD30" i="47"/>
  <c r="Z30" i="47"/>
  <c r="N31" i="47"/>
  <c r="AU31" i="47"/>
  <c r="Q30" i="47"/>
  <c r="T30" i="47"/>
  <c r="H30" i="47"/>
  <c r="AN30" i="47"/>
  <c r="T31" i="47"/>
  <c r="Y31" i="47"/>
  <c r="CK31" i="47"/>
  <c r="U30" i="47"/>
  <c r="CL31" i="47"/>
  <c r="AA30" i="47"/>
  <c r="BX31" i="47"/>
  <c r="W30" i="47"/>
  <c r="V30" i="47"/>
  <c r="AC102" i="47"/>
  <c r="AC95" i="47"/>
  <c r="AC101" i="47"/>
  <c r="AC100" i="47"/>
  <c r="AC94" i="47"/>
  <c r="AC99" i="47"/>
  <c r="AG56" i="47"/>
  <c r="AG57" i="47"/>
  <c r="AG48" i="47"/>
  <c r="AG54" i="47"/>
  <c r="AH42" i="47"/>
  <c r="X154" i="47"/>
  <c r="AJ30" i="47"/>
  <c r="AL117" i="47"/>
  <c r="AM8" i="47"/>
  <c r="AS48" i="47"/>
  <c r="AT42" i="47"/>
  <c r="AX42" i="47"/>
  <c r="I78" i="47"/>
  <c r="AO16" i="47"/>
  <c r="AP10" i="47"/>
  <c r="CP25" i="47"/>
  <c r="CO25" i="47"/>
  <c r="AL164" i="47"/>
  <c r="AL165" i="47"/>
  <c r="AL162" i="47"/>
  <c r="AL156" i="47"/>
  <c r="AM150" i="47"/>
  <c r="AC154" i="47" s="1"/>
  <c r="BD137" i="47"/>
  <c r="BE137" i="47" s="1"/>
  <c r="BF137" i="47" s="1"/>
  <c r="BG137" i="47" s="1"/>
  <c r="BH137" i="47"/>
  <c r="BC32" i="47"/>
  <c r="BD26" i="47"/>
  <c r="BH26" i="47"/>
  <c r="AT64" i="47"/>
  <c r="AU58" i="47"/>
  <c r="AN118" i="47"/>
  <c r="CP116" i="47"/>
  <c r="CO116" i="47"/>
  <c r="AQ80" i="47"/>
  <c r="AR74" i="47"/>
  <c r="AO78" i="47"/>
  <c r="AJ78" i="47"/>
  <c r="AO48" i="47"/>
  <c r="AP42" i="47"/>
  <c r="CP54" i="47"/>
  <c r="BC103" i="47"/>
  <c r="AY103" i="47"/>
  <c r="AZ103" i="47" s="1"/>
  <c r="BA103" i="47" s="1"/>
  <c r="BB103" i="47" s="1"/>
  <c r="CP100" i="47"/>
  <c r="CO100" i="47"/>
  <c r="AP117" i="47"/>
  <c r="AQ8" i="47"/>
  <c r="AU32" i="47"/>
  <c r="AV26" i="47"/>
  <c r="AA138" i="47"/>
  <c r="AA106" i="47"/>
  <c r="W138" i="47"/>
  <c r="W106" i="47"/>
  <c r="AX126" i="47"/>
  <c r="AT126" i="47"/>
  <c r="AU126" i="47" s="1"/>
  <c r="AV126" i="47" s="1"/>
  <c r="AW126" i="47" s="1"/>
  <c r="CP101" i="47"/>
  <c r="CO101" i="47"/>
  <c r="CP16" i="47"/>
  <c r="CO16" i="47"/>
  <c r="AG102" i="47"/>
  <c r="AG101" i="47"/>
  <c r="AG100" i="47"/>
  <c r="AG94" i="47"/>
  <c r="AG99" i="47"/>
  <c r="AG95" i="47"/>
  <c r="AH90" i="47"/>
  <c r="AC24" i="47"/>
  <c r="AC16" i="47"/>
  <c r="AC25" i="47"/>
  <c r="AC22" i="47"/>
  <c r="AT149" i="47"/>
  <c r="AT145" i="47"/>
  <c r="AT142" i="47"/>
  <c r="AU141" i="47"/>
  <c r="CP122" i="47"/>
  <c r="AB30" i="47"/>
  <c r="AE138" i="47"/>
  <c r="AE106" i="47"/>
  <c r="AN78" i="47"/>
  <c r="CP48" i="47"/>
  <c r="CO48" i="47"/>
  <c r="AL149" i="47"/>
  <c r="AL145" i="47"/>
  <c r="AL142" i="47"/>
  <c r="AM141" i="47"/>
  <c r="AK102" i="47"/>
  <c r="AK95" i="47"/>
  <c r="AK101" i="47"/>
  <c r="AK100" i="47"/>
  <c r="AK94" i="47"/>
  <c r="AL90" i="47"/>
  <c r="AK99" i="47"/>
  <c r="CP102" i="47"/>
  <c r="CO102" i="47"/>
  <c r="AK56" i="47"/>
  <c r="AK57" i="47"/>
  <c r="AK48" i="47"/>
  <c r="AK54" i="47"/>
  <c r="AL42" i="47"/>
  <c r="AB78" i="47"/>
  <c r="AK24" i="47"/>
  <c r="AK16" i="47"/>
  <c r="AK25" i="47"/>
  <c r="AK22" i="47"/>
  <c r="AL10" i="47"/>
  <c r="AG22" i="47"/>
  <c r="AG24" i="47"/>
  <c r="AG16" i="47"/>
  <c r="AH10" i="47"/>
  <c r="AG25" i="47"/>
  <c r="AC56" i="47"/>
  <c r="AC57" i="47"/>
  <c r="AC48" i="47"/>
  <c r="AC54" i="47"/>
  <c r="AQ32" i="47"/>
  <c r="AR26" i="47"/>
  <c r="AO116" i="47"/>
  <c r="AO118" i="47" s="1"/>
  <c r="AP110" i="47"/>
  <c r="CP125" i="47"/>
  <c r="CO125" i="47"/>
  <c r="AL72" i="47"/>
  <c r="AL73" i="47"/>
  <c r="AL64" i="47"/>
  <c r="AM58" i="47"/>
  <c r="AB62" i="47" s="1"/>
  <c r="AL70" i="47"/>
  <c r="AF30" i="47"/>
  <c r="X78" i="47"/>
  <c r="AC30" i="47"/>
  <c r="CP57" i="47"/>
  <c r="CO57" i="47"/>
  <c r="AO102" i="47"/>
  <c r="AO101" i="47"/>
  <c r="AO100" i="47"/>
  <c r="AO94" i="47"/>
  <c r="AO99" i="47"/>
  <c r="AO95" i="47"/>
  <c r="AP90" i="47"/>
  <c r="CP24" i="47"/>
  <c r="CO24" i="47"/>
  <c r="AY131" i="47"/>
  <c r="AZ131" i="47" s="1"/>
  <c r="BA131" i="47" s="1"/>
  <c r="BB131" i="47" s="1"/>
  <c r="BC131" i="47"/>
  <c r="AH164" i="47"/>
  <c r="AH165" i="47"/>
  <c r="AH162" i="47"/>
  <c r="AH156" i="47"/>
  <c r="CA155" i="47"/>
  <c r="W78" i="47"/>
  <c r="AI154" i="47"/>
  <c r="AG125" i="47"/>
  <c r="AG124" i="47"/>
  <c r="AG116" i="47"/>
  <c r="AG118" i="47" s="1"/>
  <c r="AG122" i="47"/>
  <c r="AH110" i="47"/>
  <c r="AX149" i="47"/>
  <c r="AX145" i="47"/>
  <c r="AY141" i="47"/>
  <c r="AX142" i="47"/>
  <c r="BC141" i="47"/>
  <c r="AT110" i="47"/>
  <c r="AS116" i="47"/>
  <c r="AS118" i="47" s="1"/>
  <c r="AX110" i="47"/>
  <c r="CP124" i="47"/>
  <c r="CO124" i="47"/>
  <c r="AK78" i="47"/>
  <c r="AF154" i="47"/>
  <c r="AG78" i="47"/>
  <c r="AS78" i="47"/>
  <c r="CP56" i="47"/>
  <c r="CO56" i="47"/>
  <c r="L134" i="47"/>
  <c r="L135" i="47" s="1"/>
  <c r="L136" i="47" s="1"/>
  <c r="M133" i="47"/>
  <c r="AH149" i="47"/>
  <c r="AH145" i="47"/>
  <c r="AH142" i="47"/>
  <c r="AY80" i="47"/>
  <c r="AZ74" i="47"/>
  <c r="AS102" i="47"/>
  <c r="AS95" i="47"/>
  <c r="AS101" i="47"/>
  <c r="AS100" i="47"/>
  <c r="AS94" i="47"/>
  <c r="AT90" i="47"/>
  <c r="AS99" i="47"/>
  <c r="AX90" i="47"/>
  <c r="AS16" i="47"/>
  <c r="AT10" i="47"/>
  <c r="AX10" i="47"/>
  <c r="AP162" i="47"/>
  <c r="AP156" i="47"/>
  <c r="AQ150" i="47"/>
  <c r="AT117" i="47"/>
  <c r="AU8" i="47"/>
  <c r="AH73" i="47"/>
  <c r="AH70" i="47"/>
  <c r="AH72" i="47"/>
  <c r="AH64" i="47"/>
  <c r="AD62" i="47"/>
  <c r="CH63" i="47"/>
  <c r="U62" i="47"/>
  <c r="E63" i="47"/>
  <c r="CF63" i="47"/>
  <c r="V62" i="47"/>
  <c r="CK63" i="47"/>
  <c r="H62" i="47"/>
  <c r="T62" i="47"/>
  <c r="CD63" i="47"/>
  <c r="AE63" i="47"/>
  <c r="CI63" i="47"/>
  <c r="BN63" i="47"/>
  <c r="AD63" i="47"/>
  <c r="BI63" i="47"/>
  <c r="BA63" i="47"/>
  <c r="R62" i="47"/>
  <c r="CG63" i="47"/>
  <c r="AF78" i="47"/>
  <c r="AY58" i="47"/>
  <c r="AX64" i="47"/>
  <c r="BC58" i="47"/>
  <c r="AH117" i="47"/>
  <c r="AC124" i="47"/>
  <c r="AC125" i="47"/>
  <c r="AC122" i="47"/>
  <c r="AC116" i="47"/>
  <c r="AC118" i="47" s="1"/>
  <c r="AJ154" i="47"/>
  <c r="AI106" i="47"/>
  <c r="AK30" i="47"/>
  <c r="CM143" i="21"/>
  <c r="E145" i="21"/>
  <c r="E149" i="21"/>
  <c r="AX29" i="47"/>
  <c r="AH151" i="47"/>
  <c r="AG112" i="47"/>
  <c r="AK43" i="47"/>
  <c r="BC75" i="47"/>
  <c r="AS43" i="47"/>
  <c r="AO43" i="47"/>
  <c r="AX75" i="47"/>
  <c r="AX27" i="47"/>
  <c r="AO112" i="47"/>
  <c r="AG44" i="47"/>
  <c r="AT151" i="47"/>
  <c r="AP77" i="47"/>
  <c r="AO44" i="47"/>
  <c r="AL152" i="47"/>
  <c r="AO111" i="47"/>
  <c r="AT59" i="47"/>
  <c r="AT27" i="47"/>
  <c r="AS44" i="47"/>
  <c r="AK11" i="47"/>
  <c r="AX60" i="47"/>
  <c r="AS13" i="47"/>
  <c r="AQ27" i="47"/>
  <c r="AU75" i="47"/>
  <c r="AO113" i="47"/>
  <c r="AY76" i="47"/>
  <c r="AP152" i="47"/>
  <c r="AH153" i="47"/>
  <c r="AL61" i="47"/>
  <c r="AL153" i="47"/>
  <c r="AX61" i="47"/>
  <c r="AG45" i="47"/>
  <c r="BC76" i="47"/>
  <c r="AH61" i="47"/>
  <c r="BC28" i="47"/>
  <c r="AP153" i="47"/>
  <c r="AG13" i="47"/>
  <c r="AK111" i="47"/>
  <c r="AT29" i="47"/>
  <c r="AY29" i="47"/>
  <c r="AL27" i="47"/>
  <c r="AG12" i="47"/>
  <c r="BC27" i="47"/>
  <c r="AP60" i="47"/>
  <c r="AT153" i="47"/>
  <c r="AS111" i="47"/>
  <c r="AT60" i="47"/>
  <c r="AP75" i="47"/>
  <c r="AL59" i="47"/>
  <c r="AC12" i="47"/>
  <c r="AS107" i="47"/>
  <c r="AM27" i="47"/>
  <c r="AS11" i="47"/>
  <c r="AK44" i="47"/>
  <c r="AX28" i="47"/>
  <c r="AK12" i="47"/>
  <c r="AC43" i="47"/>
  <c r="AP151" i="47"/>
  <c r="AL60" i="47"/>
  <c r="BC29" i="47"/>
  <c r="AQ76" i="47"/>
  <c r="AP61" i="47"/>
  <c r="AC111" i="47"/>
  <c r="AS112" i="47"/>
  <c r="AP76" i="47"/>
  <c r="AH60" i="47"/>
  <c r="AL151" i="47"/>
  <c r="AK13" i="47"/>
  <c r="AC113" i="47"/>
  <c r="AK107" i="47"/>
  <c r="AC44" i="47"/>
  <c r="AS45" i="47"/>
  <c r="AP59" i="47"/>
  <c r="AM28" i="47"/>
  <c r="AC107" i="47"/>
  <c r="AO13" i="47"/>
  <c r="AT152" i="47"/>
  <c r="AG43" i="47"/>
  <c r="AY77" i="47"/>
  <c r="AT61" i="47"/>
  <c r="AS12" i="47"/>
  <c r="AC11" i="47"/>
  <c r="AX153" i="47"/>
  <c r="AQ28" i="47"/>
  <c r="BC77" i="47"/>
  <c r="AX59" i="47"/>
  <c r="AH152" i="47"/>
  <c r="AC112" i="47"/>
  <c r="AG107" i="47"/>
  <c r="AG11" i="47"/>
  <c r="AG111" i="47"/>
  <c r="AO11" i="47"/>
  <c r="AH59" i="47"/>
  <c r="AY75" i="47"/>
  <c r="AK45" i="47"/>
  <c r="AP29" i="47"/>
  <c r="AX151" i="47"/>
  <c r="AY27" i="47"/>
  <c r="AC13" i="47"/>
  <c r="AO45" i="47"/>
  <c r="AL28" i="47"/>
  <c r="AC45" i="47"/>
  <c r="AO12" i="47"/>
  <c r="AQ29" i="47"/>
  <c r="AK112" i="47"/>
  <c r="AL76" i="47"/>
  <c r="AK113" i="47"/>
  <c r="AO107" i="47"/>
  <c r="AS113" i="47"/>
  <c r="AG113" i="47"/>
  <c r="AX152" i="47"/>
  <c r="AP27" i="47"/>
  <c r="P143" i="47" l="1"/>
  <c r="O144" i="47"/>
  <c r="AH154" i="47"/>
  <c r="AC105" i="47"/>
  <c r="AO105" i="47"/>
  <c r="BC30" i="47"/>
  <c r="AL154" i="47"/>
  <c r="AG105" i="47"/>
  <c r="AK119" i="47"/>
  <c r="BC78" i="47"/>
  <c r="AP78" i="47"/>
  <c r="AS119" i="47"/>
  <c r="AK104" i="47"/>
  <c r="AK132" i="47"/>
  <c r="AC132" i="47"/>
  <c r="AD132" i="47"/>
  <c r="AX62" i="47"/>
  <c r="AH62" i="47"/>
  <c r="AY78" i="47"/>
  <c r="AC104" i="47"/>
  <c r="AT30" i="47"/>
  <c r="AO46" i="47"/>
  <c r="AS105" i="47"/>
  <c r="AX30" i="47"/>
  <c r="AO104" i="47"/>
  <c r="AG104" i="47"/>
  <c r="AO132" i="47"/>
  <c r="AO114" i="47"/>
  <c r="AS104" i="47"/>
  <c r="AT154" i="47"/>
  <c r="AP30" i="47"/>
  <c r="AP154" i="47"/>
  <c r="AL62" i="47"/>
  <c r="AO119" i="47"/>
  <c r="AQ30" i="47"/>
  <c r="AP62" i="47"/>
  <c r="AC119" i="47"/>
  <c r="AG119" i="47"/>
  <c r="AT62" i="47"/>
  <c r="AG132" i="47"/>
  <c r="AK105" i="47"/>
  <c r="AY30" i="47"/>
  <c r="AX154" i="47"/>
  <c r="X14" i="47"/>
  <c r="AZ58" i="47"/>
  <c r="AY64" i="47"/>
  <c r="AZ141" i="47"/>
  <c r="AY149" i="47"/>
  <c r="AY145" i="47"/>
  <c r="AY142" i="47"/>
  <c r="AH124" i="47"/>
  <c r="AH125" i="47"/>
  <c r="AH122" i="47"/>
  <c r="AH116" i="47"/>
  <c r="AH118" i="47" s="1"/>
  <c r="Z115" i="47"/>
  <c r="AD115" i="47"/>
  <c r="AF62" i="47"/>
  <c r="AV32" i="47"/>
  <c r="AW26" i="47"/>
  <c r="AP16" i="47"/>
  <c r="AQ10" i="47"/>
  <c r="AN154" i="47"/>
  <c r="AC62" i="47"/>
  <c r="AO62" i="47"/>
  <c r="AG154" i="47"/>
  <c r="AQ162" i="47"/>
  <c r="AQ156" i="47"/>
  <c r="AR150" i="47"/>
  <c r="AT102" i="47"/>
  <c r="AT101" i="47"/>
  <c r="AT100" i="47"/>
  <c r="AT94" i="47"/>
  <c r="AT99" i="47"/>
  <c r="AU90" i="47"/>
  <c r="AT95" i="47"/>
  <c r="AQ42" i="47"/>
  <c r="AP48" i="47"/>
  <c r="BC42" i="47"/>
  <c r="AY42" i="47"/>
  <c r="AX48" i="47"/>
  <c r="AM117" i="47"/>
  <c r="AU162" i="47"/>
  <c r="AU156" i="47"/>
  <c r="AV150" i="47"/>
  <c r="AK154" i="47"/>
  <c r="AO154" i="47"/>
  <c r="AX16" i="47"/>
  <c r="BC10" i="47"/>
  <c r="AY10" i="47"/>
  <c r="AP101" i="47"/>
  <c r="AP100" i="47"/>
  <c r="AP94" i="47"/>
  <c r="AP99" i="47"/>
  <c r="AP95" i="47"/>
  <c r="AP102" i="47"/>
  <c r="AQ90" i="47"/>
  <c r="AR32" i="47"/>
  <c r="AB154" i="47"/>
  <c r="AL124" i="47"/>
  <c r="AL125" i="47"/>
  <c r="AL116" i="47"/>
  <c r="AL118" i="47" s="1"/>
  <c r="AM110" i="47"/>
  <c r="AC114" i="47" s="1"/>
  <c r="AL122" i="47"/>
  <c r="BC162" i="47"/>
  <c r="BC156" i="47"/>
  <c r="BH150" i="47"/>
  <c r="BD150" i="47"/>
  <c r="AA114" i="47"/>
  <c r="AB14" i="47"/>
  <c r="X138" i="47"/>
  <c r="X106" i="47"/>
  <c r="Y138" i="47"/>
  <c r="AN114" i="47"/>
  <c r="AU117" i="47"/>
  <c r="AV8" i="47"/>
  <c r="AX101" i="47"/>
  <c r="AX102" i="47"/>
  <c r="AX100" i="47"/>
  <c r="AX94" i="47"/>
  <c r="AX99" i="47"/>
  <c r="AX95" i="47"/>
  <c r="BC90" i="47"/>
  <c r="AY90" i="47"/>
  <c r="AZ80" i="47"/>
  <c r="BA74" i="47"/>
  <c r="AT116" i="47"/>
  <c r="AT118" i="47" s="1"/>
  <c r="AU110" i="47"/>
  <c r="AM72" i="47"/>
  <c r="AM73" i="47"/>
  <c r="AM70" i="47"/>
  <c r="AM64" i="47"/>
  <c r="S62" i="47"/>
  <c r="I62" i="47"/>
  <c r="AA62" i="47"/>
  <c r="BZ63" i="47"/>
  <c r="Y62" i="47"/>
  <c r="AE62" i="47"/>
  <c r="AI62" i="47"/>
  <c r="Z62" i="47"/>
  <c r="W62" i="47"/>
  <c r="M63" i="47"/>
  <c r="Q62" i="47"/>
  <c r="N62" i="47"/>
  <c r="AL101" i="47"/>
  <c r="AL100" i="47"/>
  <c r="AL94" i="47"/>
  <c r="AL99" i="47"/>
  <c r="AL95" i="47"/>
  <c r="AL102" i="47"/>
  <c r="AM90" i="47"/>
  <c r="AM149" i="47"/>
  <c r="AM145" i="47"/>
  <c r="AM142" i="47"/>
  <c r="AU149" i="47"/>
  <c r="AU142" i="47"/>
  <c r="AV141" i="47"/>
  <c r="AU145" i="47"/>
  <c r="AR80" i="47"/>
  <c r="CO118" i="47"/>
  <c r="BM26" i="47"/>
  <c r="BH32" i="47"/>
  <c r="BI26" i="47"/>
  <c r="BI137" i="47"/>
  <c r="BJ137" i="47" s="1"/>
  <c r="BK137" i="47" s="1"/>
  <c r="BL137" i="47" s="1"/>
  <c r="BM137" i="47"/>
  <c r="AU42" i="47"/>
  <c r="AT48" i="47"/>
  <c r="AJ62" i="47"/>
  <c r="AY162" i="47"/>
  <c r="AY156" i="47"/>
  <c r="AZ150" i="47"/>
  <c r="BH80" i="47"/>
  <c r="BM74" i="47"/>
  <c r="BI74" i="47"/>
  <c r="AV80" i="47"/>
  <c r="AW74" i="47"/>
  <c r="AR58" i="47"/>
  <c r="AQ64" i="47"/>
  <c r="X114" i="47"/>
  <c r="AK62" i="47"/>
  <c r="CO119" i="47"/>
  <c r="BD131" i="47"/>
  <c r="BE131" i="47" s="1"/>
  <c r="BF131" i="47" s="1"/>
  <c r="BG131" i="47" s="1"/>
  <c r="BH131" i="47"/>
  <c r="AY126" i="47"/>
  <c r="AZ126" i="47" s="1"/>
  <c r="BA126" i="47" s="1"/>
  <c r="BB126" i="47" s="1"/>
  <c r="BC126" i="47"/>
  <c r="AV58" i="47"/>
  <c r="AU64" i="47"/>
  <c r="BA26" i="47"/>
  <c r="AZ32" i="47"/>
  <c r="AN62" i="47"/>
  <c r="AT16" i="47"/>
  <c r="AU10" i="47"/>
  <c r="BH58" i="47"/>
  <c r="BD58" i="47"/>
  <c r="BC64" i="47"/>
  <c r="AH24" i="47"/>
  <c r="AH16" i="47"/>
  <c r="AH25" i="47"/>
  <c r="AH22" i="47"/>
  <c r="P14" i="47"/>
  <c r="G14" i="47"/>
  <c r="AQ117" i="47"/>
  <c r="AR8" i="47"/>
  <c r="BH103" i="47"/>
  <c r="BD103" i="47"/>
  <c r="BE103" i="47" s="1"/>
  <c r="BF103" i="47" s="1"/>
  <c r="BG103" i="47" s="1"/>
  <c r="BD32" i="47"/>
  <c r="BE26" i="47"/>
  <c r="AM164" i="47"/>
  <c r="AM165" i="47"/>
  <c r="AM162" i="47"/>
  <c r="AM156" i="47"/>
  <c r="AF155" i="47"/>
  <c r="BM155" i="47"/>
  <c r="AA155" i="47"/>
  <c r="AS155" i="47"/>
  <c r="AE154" i="47"/>
  <c r="T154" i="47"/>
  <c r="AK155" i="47"/>
  <c r="CJ155" i="47"/>
  <c r="U155" i="47"/>
  <c r="U154" i="47"/>
  <c r="BH155" i="47"/>
  <c r="AZ155" i="47"/>
  <c r="BU155" i="47"/>
  <c r="AD154" i="47"/>
  <c r="AU155" i="47"/>
  <c r="AX155" i="47"/>
  <c r="BZ155" i="47"/>
  <c r="M154" i="47"/>
  <c r="S155" i="47"/>
  <c r="AP155" i="47"/>
  <c r="BI155" i="47"/>
  <c r="BX155" i="47"/>
  <c r="BC155" i="47"/>
  <c r="BK155" i="47"/>
  <c r="AA154" i="47"/>
  <c r="R154" i="47"/>
  <c r="AB155" i="47"/>
  <c r="I155" i="47"/>
  <c r="Q154" i="47"/>
  <c r="V154" i="47"/>
  <c r="CG155" i="47"/>
  <c r="Z154" i="47"/>
  <c r="BP155" i="47"/>
  <c r="CE155" i="47"/>
  <c r="N155" i="47"/>
  <c r="I154" i="47"/>
  <c r="AR155" i="47"/>
  <c r="L154" i="47"/>
  <c r="V155" i="47"/>
  <c r="AD155" i="47"/>
  <c r="T155" i="47"/>
  <c r="BJ155" i="47"/>
  <c r="N154" i="47"/>
  <c r="CH155" i="47"/>
  <c r="H154" i="47"/>
  <c r="Y154" i="47"/>
  <c r="BA155" i="47"/>
  <c r="L155" i="47"/>
  <c r="X155" i="47"/>
  <c r="AR141" i="47"/>
  <c r="AQ145" i="47"/>
  <c r="AQ149" i="47"/>
  <c r="AQ142" i="47"/>
  <c r="BD80" i="47"/>
  <c r="BE74" i="47"/>
  <c r="AF138" i="47"/>
  <c r="AF106" i="47"/>
  <c r="CO104" i="47"/>
  <c r="AN106" i="47"/>
  <c r="CP104" i="47"/>
  <c r="AJ138" i="47"/>
  <c r="AJ106" i="47"/>
  <c r="X46" i="47"/>
  <c r="M134" i="47"/>
  <c r="M135" i="47" s="1"/>
  <c r="M136" i="47" s="1"/>
  <c r="N133" i="47"/>
  <c r="BC110" i="47"/>
  <c r="AX116" i="47"/>
  <c r="AX118" i="47" s="1"/>
  <c r="AY110" i="47"/>
  <c r="BC149" i="47"/>
  <c r="BH141" i="47"/>
  <c r="BC142" i="47"/>
  <c r="BC145" i="47"/>
  <c r="BD141" i="47"/>
  <c r="AP116" i="47"/>
  <c r="AP118" i="47" s="1"/>
  <c r="AQ110" i="47"/>
  <c r="AL24" i="47"/>
  <c r="AL16" i="47"/>
  <c r="AL25" i="47"/>
  <c r="AL22" i="47"/>
  <c r="AM10" i="47"/>
  <c r="AS14" i="47" s="1"/>
  <c r="AL56" i="47"/>
  <c r="AL57" i="47"/>
  <c r="AM42" i="47"/>
  <c r="AC46" i="47" s="1"/>
  <c r="AL48" i="47"/>
  <c r="AL54" i="47"/>
  <c r="X62" i="47"/>
  <c r="AH101" i="47"/>
  <c r="AH102" i="47"/>
  <c r="AH100" i="47"/>
  <c r="AH94" i="47"/>
  <c r="AH99" i="47"/>
  <c r="AH95" i="47"/>
  <c r="W154" i="47"/>
  <c r="BC117" i="47"/>
  <c r="BH8" i="47"/>
  <c r="BD8" i="47"/>
  <c r="AB46" i="47"/>
  <c r="AS62" i="47"/>
  <c r="AF46" i="47"/>
  <c r="AB138" i="47"/>
  <c r="AB106" i="47"/>
  <c r="AS154" i="47"/>
  <c r="AH56" i="47"/>
  <c r="AH57" i="47"/>
  <c r="AH54" i="47"/>
  <c r="AH48" i="47"/>
  <c r="X47" i="47"/>
  <c r="I47" i="47"/>
  <c r="CF47" i="47"/>
  <c r="Q47" i="47"/>
  <c r="AC47" i="47"/>
  <c r="H46" i="47"/>
  <c r="BU47" i="47"/>
  <c r="CJ47" i="47"/>
  <c r="V46" i="47"/>
  <c r="BM47" i="47"/>
  <c r="AK47" i="47"/>
  <c r="BN47" i="47"/>
  <c r="AA46" i="47"/>
  <c r="BS47" i="47"/>
  <c r="G47" i="47"/>
  <c r="BR47" i="47"/>
  <c r="AP47" i="47"/>
  <c r="BF47" i="47"/>
  <c r="Y46" i="47"/>
  <c r="CA47" i="47"/>
  <c r="M46" i="47"/>
  <c r="Z46" i="47"/>
  <c r="BD47" i="47"/>
  <c r="AA47" i="47"/>
  <c r="BW47" i="47"/>
  <c r="Z47" i="47"/>
  <c r="AD46" i="47"/>
  <c r="F46" i="47"/>
  <c r="S47" i="47"/>
  <c r="AX47" i="47"/>
  <c r="F47" i="47"/>
  <c r="P46" i="47"/>
  <c r="CK47" i="47"/>
  <c r="BL47" i="47"/>
  <c r="BX47" i="47"/>
  <c r="AW47" i="47"/>
  <c r="AI47" i="47"/>
  <c r="AI114" i="47"/>
  <c r="AY117" i="47"/>
  <c r="AZ8" i="47"/>
  <c r="CP105" i="47"/>
  <c r="CO105" i="47"/>
  <c r="AJ114" i="47"/>
  <c r="AB114" i="47"/>
  <c r="AG62" i="47"/>
  <c r="B66" i="40"/>
  <c r="B64" i="40"/>
  <c r="D92" i="5"/>
  <c r="D150" i="5"/>
  <c r="B85" i="5"/>
  <c r="B66" i="41"/>
  <c r="C23" i="44"/>
  <c r="D23" i="44" s="1"/>
  <c r="E23" i="44" s="1"/>
  <c r="F23" i="44" s="1"/>
  <c r="G23" i="44" s="1"/>
  <c r="H23" i="44" s="1"/>
  <c r="I23" i="44" s="1"/>
  <c r="J23" i="44" s="1"/>
  <c r="K23" i="44" s="1"/>
  <c r="L23" i="44" s="1"/>
  <c r="M23" i="44" s="1"/>
  <c r="N23" i="44" s="1"/>
  <c r="O23" i="44" s="1"/>
  <c r="P23" i="44" s="1"/>
  <c r="Q23" i="44" s="1"/>
  <c r="R23" i="44" s="1"/>
  <c r="S23" i="44" s="1"/>
  <c r="T23" i="44" s="1"/>
  <c r="U23" i="44" s="1"/>
  <c r="V23" i="44" s="1"/>
  <c r="W23" i="44" s="1"/>
  <c r="X23" i="44" s="1"/>
  <c r="Y23" i="44" s="1"/>
  <c r="Z23" i="44" s="1"/>
  <c r="AA23" i="44" s="1"/>
  <c r="AB23" i="44" s="1"/>
  <c r="AC23" i="44" s="1"/>
  <c r="AD23" i="44" s="1"/>
  <c r="AE23" i="44" s="1"/>
  <c r="AF23" i="44" s="1"/>
  <c r="AG23" i="44" s="1"/>
  <c r="AH23" i="44" s="1"/>
  <c r="D24" i="44"/>
  <c r="D29" i="44" s="1"/>
  <c r="D6" i="44" s="1"/>
  <c r="E24" i="44"/>
  <c r="E29" i="44" s="1"/>
  <c r="E6" i="44" s="1"/>
  <c r="F24" i="44"/>
  <c r="G24" i="44"/>
  <c r="H24" i="44"/>
  <c r="I24" i="44"/>
  <c r="J24" i="44"/>
  <c r="K24" i="44"/>
  <c r="K29" i="44" s="1"/>
  <c r="K6" i="44" s="1"/>
  <c r="L24" i="44"/>
  <c r="L29" i="44" s="1"/>
  <c r="L6" i="44" s="1"/>
  <c r="M24" i="44"/>
  <c r="M29" i="44" s="1"/>
  <c r="M6" i="44" s="1"/>
  <c r="N24" i="44"/>
  <c r="O24" i="44"/>
  <c r="P24" i="44"/>
  <c r="Q24" i="44"/>
  <c r="R24" i="44"/>
  <c r="S24" i="44"/>
  <c r="S29" i="44" s="1"/>
  <c r="S6" i="44" s="1"/>
  <c r="T24" i="44"/>
  <c r="T29" i="44" s="1"/>
  <c r="T6" i="44" s="1"/>
  <c r="U24" i="44"/>
  <c r="U29" i="44" s="1"/>
  <c r="U6" i="44" s="1"/>
  <c r="V24" i="44"/>
  <c r="W24" i="44"/>
  <c r="X24" i="44"/>
  <c r="Y24" i="44"/>
  <c r="Z24" i="44"/>
  <c r="AA24" i="44"/>
  <c r="AB24" i="44"/>
  <c r="AB29" i="44" s="1"/>
  <c r="AB6" i="44" s="1"/>
  <c r="AC24" i="44"/>
  <c r="AD24" i="44"/>
  <c r="AE24" i="44"/>
  <c r="AF24" i="44"/>
  <c r="AG24" i="44"/>
  <c r="AH24" i="44"/>
  <c r="D25" i="44"/>
  <c r="E25" i="44"/>
  <c r="F25" i="44"/>
  <c r="G25" i="44"/>
  <c r="H25" i="44"/>
  <c r="I25" i="44"/>
  <c r="J25" i="44"/>
  <c r="K25" i="44"/>
  <c r="L25" i="44"/>
  <c r="M25" i="44"/>
  <c r="N25" i="44"/>
  <c r="O25" i="44"/>
  <c r="P25" i="44"/>
  <c r="Q25" i="44"/>
  <c r="R25" i="44"/>
  <c r="S25" i="44"/>
  <c r="T25" i="44"/>
  <c r="U25" i="44"/>
  <c r="V25" i="44"/>
  <c r="W25" i="44"/>
  <c r="X25" i="44"/>
  <c r="Y25" i="44"/>
  <c r="Z25" i="44"/>
  <c r="AA25" i="44"/>
  <c r="AB25" i="44"/>
  <c r="AC25" i="44"/>
  <c r="AD25" i="44"/>
  <c r="AE25" i="44"/>
  <c r="AF25" i="44"/>
  <c r="AG25" i="44"/>
  <c r="AH25" i="44"/>
  <c r="D26" i="44"/>
  <c r="E26" i="44"/>
  <c r="F26" i="44"/>
  <c r="G26" i="44"/>
  <c r="H26" i="44"/>
  <c r="I26" i="44"/>
  <c r="J26" i="44"/>
  <c r="K26" i="44"/>
  <c r="L26" i="44"/>
  <c r="M26" i="44"/>
  <c r="N26" i="44"/>
  <c r="O26" i="44"/>
  <c r="P26" i="44"/>
  <c r="Q26" i="44"/>
  <c r="R26" i="44"/>
  <c r="S26" i="44"/>
  <c r="T26" i="44"/>
  <c r="U26" i="44"/>
  <c r="V26" i="44"/>
  <c r="W26" i="44"/>
  <c r="X26" i="44"/>
  <c r="Y26" i="44"/>
  <c r="Z26" i="44"/>
  <c r="AA26" i="44"/>
  <c r="AB26" i="44"/>
  <c r="AC26" i="44"/>
  <c r="AD26" i="44"/>
  <c r="AE26" i="44"/>
  <c r="AF26" i="44"/>
  <c r="AG26" i="44"/>
  <c r="AH26" i="44"/>
  <c r="D27" i="44"/>
  <c r="E27" i="44"/>
  <c r="F27" i="44"/>
  <c r="G27" i="44"/>
  <c r="H27" i="44"/>
  <c r="I27" i="44"/>
  <c r="J27" i="44"/>
  <c r="K27" i="44"/>
  <c r="L27" i="44"/>
  <c r="M27" i="44"/>
  <c r="N27" i="44"/>
  <c r="O27" i="44"/>
  <c r="P27" i="44"/>
  <c r="Q27" i="44"/>
  <c r="R27" i="44"/>
  <c r="S27" i="44"/>
  <c r="T27" i="44"/>
  <c r="U27" i="44"/>
  <c r="V27" i="44"/>
  <c r="W27" i="44"/>
  <c r="X27" i="44"/>
  <c r="Y27" i="44"/>
  <c r="Z27" i="44"/>
  <c r="AA27" i="44"/>
  <c r="AB27" i="44"/>
  <c r="AC27" i="44"/>
  <c r="AD27" i="44"/>
  <c r="AE27" i="44"/>
  <c r="AF27" i="44"/>
  <c r="AG27" i="44"/>
  <c r="AH27" i="44"/>
  <c r="D28" i="44"/>
  <c r="E28" i="44"/>
  <c r="F28" i="44"/>
  <c r="G28" i="44"/>
  <c r="H28" i="44"/>
  <c r="I28" i="44"/>
  <c r="J28" i="44"/>
  <c r="K28" i="44"/>
  <c r="L28" i="44"/>
  <c r="M28" i="44"/>
  <c r="N28" i="44"/>
  <c r="O28" i="44"/>
  <c r="P28" i="44"/>
  <c r="Q28" i="44"/>
  <c r="R28" i="44"/>
  <c r="S28" i="44"/>
  <c r="T28" i="44"/>
  <c r="U28" i="44"/>
  <c r="V28" i="44"/>
  <c r="W28" i="44"/>
  <c r="X28" i="44"/>
  <c r="Y28" i="44"/>
  <c r="Z28" i="44"/>
  <c r="AA28" i="44"/>
  <c r="AA29" i="44" s="1"/>
  <c r="AA6" i="44" s="1"/>
  <c r="AB28" i="44"/>
  <c r="AC28" i="44"/>
  <c r="AD28" i="44"/>
  <c r="AE28" i="44"/>
  <c r="AF28" i="44"/>
  <c r="AG28" i="44"/>
  <c r="AH28" i="44"/>
  <c r="AC29" i="44"/>
  <c r="AC6" i="44" s="1"/>
  <c r="C25" i="44"/>
  <c r="C26" i="44"/>
  <c r="C27" i="44"/>
  <c r="C28" i="44"/>
  <c r="C24" i="44"/>
  <c r="C29" i="44" s="1"/>
  <c r="C6" i="44" s="1"/>
  <c r="C15" i="44"/>
  <c r="D15" i="44"/>
  <c r="E15" i="44" s="1"/>
  <c r="F15" i="44" s="1"/>
  <c r="G15" i="44" s="1"/>
  <c r="H15" i="44" s="1"/>
  <c r="I15" i="44" s="1"/>
  <c r="J15" i="44" s="1"/>
  <c r="K15" i="44" s="1"/>
  <c r="L15" i="44" s="1"/>
  <c r="M15" i="44" s="1"/>
  <c r="N15" i="44" s="1"/>
  <c r="O15" i="44" s="1"/>
  <c r="P15" i="44" s="1"/>
  <c r="Q15" i="44" s="1"/>
  <c r="R15" i="44" s="1"/>
  <c r="S15" i="44" s="1"/>
  <c r="T15" i="44" s="1"/>
  <c r="U15" i="44" s="1"/>
  <c r="V15" i="44" s="1"/>
  <c r="W15" i="44" s="1"/>
  <c r="X15" i="44" s="1"/>
  <c r="Y15" i="44" s="1"/>
  <c r="Z15" i="44" s="1"/>
  <c r="AA15" i="44" s="1"/>
  <c r="AB15" i="44" s="1"/>
  <c r="AC15" i="44" s="1"/>
  <c r="AD15" i="44" s="1"/>
  <c r="AE15" i="44" s="1"/>
  <c r="AF15" i="44" s="1"/>
  <c r="AG15" i="44" s="1"/>
  <c r="AH15" i="44" s="1"/>
  <c r="C8" i="44"/>
  <c r="D8" i="44" s="1"/>
  <c r="E8" i="44" s="1"/>
  <c r="F8" i="44" s="1"/>
  <c r="G8" i="44" s="1"/>
  <c r="H8" i="44" s="1"/>
  <c r="I8" i="44" s="1"/>
  <c r="J8" i="44" s="1"/>
  <c r="K8" i="44" s="1"/>
  <c r="L8" i="44" s="1"/>
  <c r="M8" i="44" s="1"/>
  <c r="N8" i="44" s="1"/>
  <c r="O8" i="44" s="1"/>
  <c r="P8" i="44" s="1"/>
  <c r="Q8" i="44" s="1"/>
  <c r="R8" i="44" s="1"/>
  <c r="S8" i="44" s="1"/>
  <c r="T8" i="44" s="1"/>
  <c r="U8" i="44" s="1"/>
  <c r="V8" i="44" s="1"/>
  <c r="W8" i="44" s="1"/>
  <c r="X8" i="44" s="1"/>
  <c r="Y8" i="44" s="1"/>
  <c r="Z8" i="44" s="1"/>
  <c r="AA8" i="44" s="1"/>
  <c r="AB8" i="44" s="1"/>
  <c r="AC8" i="44" s="1"/>
  <c r="AD8" i="44" s="1"/>
  <c r="AE8" i="44" s="1"/>
  <c r="AF8" i="44" s="1"/>
  <c r="AG8" i="44" s="1"/>
  <c r="AH8" i="44" s="1"/>
  <c r="C5" i="44"/>
  <c r="D5" i="44" s="1"/>
  <c r="E5" i="44" s="1"/>
  <c r="F5" i="44" s="1"/>
  <c r="G5" i="44" s="1"/>
  <c r="H5" i="44" s="1"/>
  <c r="I5" i="44" s="1"/>
  <c r="J5" i="44" s="1"/>
  <c r="K5" i="44" s="1"/>
  <c r="L5" i="44" s="1"/>
  <c r="M5" i="44" s="1"/>
  <c r="N5" i="44" s="1"/>
  <c r="O5" i="44" s="1"/>
  <c r="P5" i="44" s="1"/>
  <c r="Q5" i="44" s="1"/>
  <c r="R5" i="44" s="1"/>
  <c r="S5" i="44" s="1"/>
  <c r="T5" i="44" s="1"/>
  <c r="U5" i="44" s="1"/>
  <c r="V5" i="44" s="1"/>
  <c r="W5" i="44" s="1"/>
  <c r="X5" i="44" s="1"/>
  <c r="Y5" i="44" s="1"/>
  <c r="Z5" i="44" s="1"/>
  <c r="AA5" i="44" s="1"/>
  <c r="AB5" i="44" s="1"/>
  <c r="AC5" i="44" s="1"/>
  <c r="AD5" i="44" s="1"/>
  <c r="AE5" i="44" s="1"/>
  <c r="AF5" i="44" s="1"/>
  <c r="AG5" i="44" s="1"/>
  <c r="AH5" i="44" s="1"/>
  <c r="AM59" i="47"/>
  <c r="AL43" i="47"/>
  <c r="AQ59" i="47"/>
  <c r="AZ75" i="47"/>
  <c r="AX107" i="47"/>
  <c r="AU76" i="47"/>
  <c r="BC61" i="47"/>
  <c r="AM153" i="47"/>
  <c r="AX12" i="47"/>
  <c r="AH11" i="47"/>
  <c r="AL44" i="47"/>
  <c r="AT43" i="47"/>
  <c r="AP112" i="47"/>
  <c r="AP13" i="47"/>
  <c r="AT44" i="47"/>
  <c r="AX111" i="47"/>
  <c r="AU77" i="47"/>
  <c r="AR76" i="47"/>
  <c r="AY60" i="47"/>
  <c r="AY153" i="47"/>
  <c r="BC153" i="47"/>
  <c r="AP12" i="47"/>
  <c r="AP43" i="47"/>
  <c r="AP11" i="47"/>
  <c r="AL12" i="47"/>
  <c r="AT111" i="47"/>
  <c r="AT12" i="47"/>
  <c r="AY152" i="47"/>
  <c r="AU151" i="47"/>
  <c r="AU60" i="47"/>
  <c r="AU27" i="47"/>
  <c r="BC60" i="47"/>
  <c r="AL11" i="47"/>
  <c r="AQ75" i="47"/>
  <c r="BH75" i="47"/>
  <c r="AP111" i="47"/>
  <c r="AP107" i="47"/>
  <c r="AT45" i="47"/>
  <c r="AH112" i="47"/>
  <c r="AX11" i="47"/>
  <c r="AM75" i="47"/>
  <c r="AU28" i="47"/>
  <c r="BD28" i="47"/>
  <c r="BD29" i="47"/>
  <c r="AH107" i="47"/>
  <c r="AL13" i="47"/>
  <c r="AQ60" i="47"/>
  <c r="AX45" i="47"/>
  <c r="AT13" i="47"/>
  <c r="AY28" i="47"/>
  <c r="AX43" i="47"/>
  <c r="AH12" i="47"/>
  <c r="AQ77" i="47"/>
  <c r="BC151" i="47"/>
  <c r="AH113" i="47"/>
  <c r="AP45" i="47"/>
  <c r="AH13" i="47"/>
  <c r="AP113" i="47"/>
  <c r="AL107" i="47"/>
  <c r="AR27" i="47"/>
  <c r="AM60" i="47"/>
  <c r="AR77" i="47"/>
  <c r="AU29" i="47"/>
  <c r="AT112" i="47"/>
  <c r="AQ61" i="47"/>
  <c r="BC59" i="47"/>
  <c r="AH43" i="47"/>
  <c r="AL112" i="47"/>
  <c r="AY59" i="47"/>
  <c r="AX13" i="47"/>
  <c r="AH111" i="47"/>
  <c r="AV27" i="47"/>
  <c r="AL111" i="47"/>
  <c r="AX112" i="47"/>
  <c r="AU153" i="47"/>
  <c r="AQ151" i="47"/>
  <c r="AH45" i="47"/>
  <c r="AP44" i="47"/>
  <c r="AR28" i="47"/>
  <c r="AU61" i="47"/>
  <c r="AH44" i="47"/>
  <c r="AM29" i="47"/>
  <c r="AQ152" i="47"/>
  <c r="AX44" i="47"/>
  <c r="AT11" i="47"/>
  <c r="AU59" i="47"/>
  <c r="AY151" i="47"/>
  <c r="AM151" i="47"/>
  <c r="AL113" i="47"/>
  <c r="AM77" i="47"/>
  <c r="AT107" i="47"/>
  <c r="AQ153" i="47"/>
  <c r="AM76" i="47"/>
  <c r="AY61" i="47"/>
  <c r="AM152" i="47"/>
  <c r="AX113" i="47"/>
  <c r="BC152" i="47"/>
  <c r="AM61" i="47"/>
  <c r="AL45" i="47"/>
  <c r="AT113" i="47"/>
  <c r="AU152" i="47"/>
  <c r="Q143" i="47" l="1"/>
  <c r="P144" i="47"/>
  <c r="BD30" i="47"/>
  <c r="AH105" i="47"/>
  <c r="AL104" i="47"/>
  <c r="AL14" i="47"/>
  <c r="AM154" i="47"/>
  <c r="AH14" i="47"/>
  <c r="AQ62" i="47"/>
  <c r="AL132" i="47"/>
  <c r="AL114" i="47"/>
  <c r="AP14" i="47"/>
  <c r="AH132" i="47"/>
  <c r="AH114" i="47"/>
  <c r="AI132" i="47"/>
  <c r="AH104" i="47"/>
  <c r="AT14" i="47"/>
  <c r="AH46" i="47"/>
  <c r="AP119" i="47"/>
  <c r="AQ78" i="47"/>
  <c r="AU30" i="47"/>
  <c r="AU154" i="47"/>
  <c r="AX104" i="47"/>
  <c r="AX119" i="47"/>
  <c r="AT46" i="47"/>
  <c r="AT132" i="47"/>
  <c r="AT114" i="47"/>
  <c r="BC154" i="47"/>
  <c r="AL46" i="47"/>
  <c r="AL105" i="47"/>
  <c r="AT104" i="47"/>
  <c r="AM62" i="47"/>
  <c r="AP104" i="47"/>
  <c r="AQ154" i="47"/>
  <c r="AU78" i="47"/>
  <c r="AY154" i="47"/>
  <c r="AP132" i="47"/>
  <c r="AP114" i="47"/>
  <c r="AX114" i="47"/>
  <c r="BC62" i="47"/>
  <c r="AU62" i="47"/>
  <c r="AX14" i="47"/>
  <c r="AX105" i="47"/>
  <c r="AY62" i="47"/>
  <c r="AT119" i="47"/>
  <c r="AM78" i="47"/>
  <c r="AL119" i="47"/>
  <c r="AM30" i="47"/>
  <c r="AX46" i="47"/>
  <c r="AP105" i="47"/>
  <c r="AT105" i="47"/>
  <c r="AR78" i="47"/>
  <c r="AP46" i="47"/>
  <c r="AH119" i="47"/>
  <c r="BH162" i="47"/>
  <c r="BH156" i="47"/>
  <c r="BI150" i="47"/>
  <c r="BM150" i="47"/>
  <c r="AD120" i="47"/>
  <c r="BD149" i="47"/>
  <c r="BD145" i="47"/>
  <c r="BD142" i="47"/>
  <c r="BE141" i="47"/>
  <c r="N134" i="47"/>
  <c r="N135" i="47" s="1"/>
  <c r="N136" i="47" s="1"/>
  <c r="O133" i="47"/>
  <c r="Y14" i="47"/>
  <c r="BD126" i="47"/>
  <c r="BE126" i="47" s="1"/>
  <c r="BF126" i="47" s="1"/>
  <c r="BG126" i="47" s="1"/>
  <c r="BH126" i="47"/>
  <c r="AZ162" i="47"/>
  <c r="AZ156" i="47"/>
  <c r="BA150" i="47"/>
  <c r="BN26" i="47"/>
  <c r="BM32" i="47"/>
  <c r="BR26" i="47"/>
  <c r="Z14" i="47"/>
  <c r="BC101" i="47"/>
  <c r="BC100" i="47"/>
  <c r="BC94" i="47"/>
  <c r="BC99" i="47"/>
  <c r="BC102" i="47"/>
  <c r="BC95" i="47"/>
  <c r="BD90" i="47"/>
  <c r="BH90" i="47"/>
  <c r="AF14" i="47"/>
  <c r="Y114" i="47"/>
  <c r="AS46" i="47"/>
  <c r="AY102" i="47"/>
  <c r="AY100" i="47"/>
  <c r="AY94" i="47"/>
  <c r="AY99" i="47"/>
  <c r="AY95" i="47"/>
  <c r="AY101" i="47"/>
  <c r="AZ90" i="47"/>
  <c r="Z120" i="47"/>
  <c r="BE80" i="47"/>
  <c r="BF74" i="47"/>
  <c r="N14" i="47"/>
  <c r="AU16" i="47"/>
  <c r="AV10" i="47"/>
  <c r="BI80" i="47"/>
  <c r="BJ74" i="47"/>
  <c r="AM101" i="47"/>
  <c r="AM100" i="47"/>
  <c r="AM94" i="47"/>
  <c r="AM99" i="47"/>
  <c r="AM102" i="47"/>
  <c r="AM95" i="47"/>
  <c r="AM124" i="47"/>
  <c r="AM125" i="47"/>
  <c r="AM116" i="47"/>
  <c r="AM118" i="47" s="1"/>
  <c r="AM122" i="47"/>
  <c r="R114" i="47"/>
  <c r="Q114" i="47"/>
  <c r="AE114" i="47"/>
  <c r="Z114" i="47"/>
  <c r="W114" i="47"/>
  <c r="AF114" i="47"/>
  <c r="I114" i="47"/>
  <c r="AZ149" i="47"/>
  <c r="AZ145" i="47"/>
  <c r="AZ142" i="47"/>
  <c r="BA141" i="47"/>
  <c r="AS106" i="47"/>
  <c r="AG138" i="47"/>
  <c r="AG106" i="47"/>
  <c r="AC138" i="47"/>
  <c r="AC106" i="47"/>
  <c r="AD138" i="47"/>
  <c r="BD117" i="47"/>
  <c r="BE8" i="47"/>
  <c r="AM56" i="47"/>
  <c r="AM57" i="47"/>
  <c r="AM48" i="47"/>
  <c r="AM54" i="47"/>
  <c r="AI46" i="47"/>
  <c r="U46" i="47"/>
  <c r="R46" i="47"/>
  <c r="AE46" i="47"/>
  <c r="O46" i="47"/>
  <c r="T46" i="47"/>
  <c r="W46" i="47"/>
  <c r="AM24" i="47"/>
  <c r="AM16" i="47"/>
  <c r="AM25" i="47"/>
  <c r="AM22" i="47"/>
  <c r="W14" i="47"/>
  <c r="AI14" i="47"/>
  <c r="S14" i="47"/>
  <c r="CP106" i="47"/>
  <c r="CO106" i="47"/>
  <c r="AE14" i="47"/>
  <c r="R14" i="47"/>
  <c r="BE58" i="47"/>
  <c r="BD64" i="47"/>
  <c r="AW58" i="47"/>
  <c r="AV64" i="47"/>
  <c r="AJ14" i="47"/>
  <c r="BR137" i="47"/>
  <c r="BN137" i="47"/>
  <c r="BO137" i="47" s="1"/>
  <c r="BP137" i="47" s="1"/>
  <c r="BQ137" i="47" s="1"/>
  <c r="I46" i="47"/>
  <c r="BA80" i="47"/>
  <c r="BB74" i="47"/>
  <c r="AQ100" i="47"/>
  <c r="AQ94" i="47"/>
  <c r="AQ99" i="47"/>
  <c r="AQ95" i="47"/>
  <c r="AQ102" i="47"/>
  <c r="AQ101" i="47"/>
  <c r="AR90" i="47"/>
  <c r="AY16" i="47"/>
  <c r="AZ10" i="47"/>
  <c r="S114" i="47"/>
  <c r="V114" i="47"/>
  <c r="BA58" i="47"/>
  <c r="AZ64" i="47"/>
  <c r="AO138" i="47"/>
  <c r="AO106" i="47"/>
  <c r="AS114" i="47"/>
  <c r="AK114" i="47"/>
  <c r="AG14" i="47"/>
  <c r="BI103" i="47"/>
  <c r="BJ103" i="47" s="1"/>
  <c r="BK103" i="47" s="1"/>
  <c r="BL103" i="47" s="1"/>
  <c r="BM103" i="47"/>
  <c r="H14" i="47"/>
  <c r="BB26" i="47"/>
  <c r="BA32" i="47"/>
  <c r="BM131" i="47"/>
  <c r="BI131" i="47"/>
  <c r="BJ131" i="47" s="1"/>
  <c r="BK131" i="47" s="1"/>
  <c r="BL131" i="47" s="1"/>
  <c r="S46" i="47"/>
  <c r="AW80" i="47"/>
  <c r="BM80" i="47"/>
  <c r="BN74" i="47"/>
  <c r="BR74" i="47"/>
  <c r="AV149" i="47"/>
  <c r="AV145" i="47"/>
  <c r="AV142" i="47"/>
  <c r="AW141" i="47"/>
  <c r="N46" i="47"/>
  <c r="AU116" i="47"/>
  <c r="AU118" i="47" s="1"/>
  <c r="AV110" i="47"/>
  <c r="AD14" i="47"/>
  <c r="AZ42" i="47"/>
  <c r="AY48" i="47"/>
  <c r="AD114" i="47"/>
  <c r="AC14" i="47"/>
  <c r="AZ117" i="47"/>
  <c r="BA8" i="47"/>
  <c r="BH117" i="47"/>
  <c r="BM8" i="47"/>
  <c r="BI8" i="47"/>
  <c r="BH149" i="47"/>
  <c r="BH145" i="47"/>
  <c r="BM141" i="47"/>
  <c r="BI141" i="47"/>
  <c r="BH142" i="47"/>
  <c r="AR149" i="47"/>
  <c r="AR145" i="47"/>
  <c r="AR142" i="47"/>
  <c r="AA14" i="47"/>
  <c r="AR42" i="47"/>
  <c r="AQ48" i="47"/>
  <c r="AR162" i="47"/>
  <c r="AR156" i="47"/>
  <c r="U114" i="47"/>
  <c r="AG46" i="47"/>
  <c r="BC116" i="47"/>
  <c r="BC118" i="47" s="1"/>
  <c r="BH110" i="47"/>
  <c r="BD110" i="47"/>
  <c r="AV117" i="47"/>
  <c r="AW8" i="47"/>
  <c r="AQ116" i="47"/>
  <c r="AQ118" i="47" s="1"/>
  <c r="AR110" i="47"/>
  <c r="AY116" i="47"/>
  <c r="AY118" i="47" s="1"/>
  <c r="AZ110" i="47"/>
  <c r="BF26" i="47"/>
  <c r="BE32" i="47"/>
  <c r="AR117" i="47"/>
  <c r="BI58" i="47"/>
  <c r="BH64" i="47"/>
  <c r="BM58" i="47"/>
  <c r="AJ46" i="47"/>
  <c r="AV42" i="47"/>
  <c r="AU48" i="47"/>
  <c r="AN14" i="47"/>
  <c r="BC16" i="47"/>
  <c r="BH10" i="47"/>
  <c r="BD10" i="47"/>
  <c r="AV162" i="47"/>
  <c r="AV156" i="47"/>
  <c r="AW150" i="47"/>
  <c r="AU102" i="47"/>
  <c r="AU101" i="47"/>
  <c r="AU100" i="47"/>
  <c r="AU94" i="47"/>
  <c r="AU99" i="47"/>
  <c r="AU95" i="47"/>
  <c r="AV90" i="47"/>
  <c r="AW32" i="47"/>
  <c r="AG114" i="47"/>
  <c r="AK46" i="47"/>
  <c r="AK138" i="47"/>
  <c r="AK106" i="47"/>
  <c r="AR64" i="47"/>
  <c r="BI32" i="47"/>
  <c r="BJ26" i="47"/>
  <c r="BD162" i="47"/>
  <c r="BD156" i="47"/>
  <c r="BE150" i="47"/>
  <c r="BD42" i="47"/>
  <c r="BC48" i="47"/>
  <c r="BH42" i="47"/>
  <c r="AQ16" i="47"/>
  <c r="AR10" i="47"/>
  <c r="AN46" i="47"/>
  <c r="AK14" i="47"/>
  <c r="AO14" i="47"/>
  <c r="AH29" i="44"/>
  <c r="AH6" i="44" s="1"/>
  <c r="Z29" i="44"/>
  <c r="Z6" i="44" s="1"/>
  <c r="R29" i="44"/>
  <c r="R6" i="44" s="1"/>
  <c r="J29" i="44"/>
  <c r="J6" i="44" s="1"/>
  <c r="AG29" i="44"/>
  <c r="AG6" i="44" s="1"/>
  <c r="Y29" i="44"/>
  <c r="Y6" i="44" s="1"/>
  <c r="Q29" i="44"/>
  <c r="Q6" i="44" s="1"/>
  <c r="I29" i="44"/>
  <c r="I6" i="44" s="1"/>
  <c r="AF29" i="44"/>
  <c r="AF6" i="44" s="1"/>
  <c r="X29" i="44"/>
  <c r="X6" i="44" s="1"/>
  <c r="P29" i="44"/>
  <c r="P6" i="44" s="1"/>
  <c r="H29" i="44"/>
  <c r="H6" i="44" s="1"/>
  <c r="AE29" i="44"/>
  <c r="AE6" i="44" s="1"/>
  <c r="W29" i="44"/>
  <c r="W6" i="44" s="1"/>
  <c r="O29" i="44"/>
  <c r="O6" i="44" s="1"/>
  <c r="G29" i="44"/>
  <c r="G6" i="44" s="1"/>
  <c r="AD29" i="44"/>
  <c r="AD6" i="44" s="1"/>
  <c r="V29" i="44"/>
  <c r="V6" i="44" s="1"/>
  <c r="N29" i="44"/>
  <c r="N6" i="44" s="1"/>
  <c r="F29" i="44"/>
  <c r="F6" i="44" s="1"/>
  <c r="AR60" i="47"/>
  <c r="BD152" i="47"/>
  <c r="AY13" i="47"/>
  <c r="AZ76" i="47"/>
  <c r="BD60" i="47"/>
  <c r="AV59" i="47"/>
  <c r="AW29" i="47"/>
  <c r="AV75" i="47"/>
  <c r="AZ153" i="47"/>
  <c r="BC112" i="47"/>
  <c r="AY107" i="47"/>
  <c r="AQ112" i="47"/>
  <c r="BD76" i="47"/>
  <c r="BE29" i="47"/>
  <c r="AR151" i="47"/>
  <c r="AQ13" i="47"/>
  <c r="AV28" i="47"/>
  <c r="AU112" i="47"/>
  <c r="AY12" i="47"/>
  <c r="BH28" i="47"/>
  <c r="AZ29" i="47"/>
  <c r="AU107" i="47"/>
  <c r="AU13" i="47"/>
  <c r="AY112" i="47"/>
  <c r="AV152" i="47"/>
  <c r="BE27" i="47"/>
  <c r="AR75" i="47"/>
  <c r="AU12" i="47"/>
  <c r="AQ113" i="47"/>
  <c r="AY111" i="47"/>
  <c r="BC111" i="47"/>
  <c r="AM11" i="47"/>
  <c r="BH151" i="47"/>
  <c r="BD59" i="47"/>
  <c r="AR152" i="47"/>
  <c r="AV29" i="47"/>
  <c r="BI27" i="47"/>
  <c r="BH60" i="47"/>
  <c r="AM43" i="47"/>
  <c r="BD153" i="47"/>
  <c r="AZ27" i="47"/>
  <c r="BE28" i="47"/>
  <c r="AQ111" i="47"/>
  <c r="BE76" i="47"/>
  <c r="AZ152" i="47"/>
  <c r="AQ45" i="47"/>
  <c r="BD61" i="47"/>
  <c r="AU113" i="47"/>
  <c r="AQ43" i="47"/>
  <c r="AW27" i="47"/>
  <c r="BI76" i="47"/>
  <c r="AQ107" i="47"/>
  <c r="AQ12" i="47"/>
  <c r="BH61" i="47"/>
  <c r="BC107" i="47"/>
  <c r="BA76" i="47"/>
  <c r="AV76" i="47"/>
  <c r="AM107" i="47"/>
  <c r="BC11" i="47"/>
  <c r="AZ77" i="47"/>
  <c r="AM113" i="47"/>
  <c r="AM12" i="47"/>
  <c r="AU44" i="47"/>
  <c r="AW28" i="47"/>
  <c r="BH152" i="47"/>
  <c r="BH153" i="47"/>
  <c r="AU111" i="47"/>
  <c r="AY45" i="47"/>
  <c r="AM44" i="47"/>
  <c r="BH77" i="47"/>
  <c r="AQ44" i="47"/>
  <c r="AV153" i="47"/>
  <c r="AV60" i="47"/>
  <c r="AZ61" i="47"/>
  <c r="AM13" i="47"/>
  <c r="AQ11" i="47"/>
  <c r="AR59" i="47"/>
  <c r="AY11" i="47"/>
  <c r="BD27" i="47"/>
  <c r="AZ151" i="47"/>
  <c r="AU43" i="47"/>
  <c r="AW77" i="47"/>
  <c r="AM111" i="47"/>
  <c r="BH59" i="47"/>
  <c r="AY44" i="47"/>
  <c r="AY43" i="47"/>
  <c r="AZ28" i="47"/>
  <c r="AV61" i="47"/>
  <c r="AR153" i="47"/>
  <c r="BC113" i="47"/>
  <c r="AR61" i="47"/>
  <c r="AY113" i="47"/>
  <c r="BH76" i="47"/>
  <c r="BD151" i="47"/>
  <c r="AV151" i="47"/>
  <c r="BC12" i="47"/>
  <c r="BI28" i="47"/>
  <c r="AZ59" i="47"/>
  <c r="BC43" i="47"/>
  <c r="AV77" i="47"/>
  <c r="AU11" i="47"/>
  <c r="AU45" i="47"/>
  <c r="BC44" i="47"/>
  <c r="AZ60" i="47"/>
  <c r="BH29" i="47"/>
  <c r="BC45" i="47"/>
  <c r="AM112" i="47"/>
  <c r="AR29" i="47"/>
  <c r="BD77" i="47"/>
  <c r="AM45" i="47"/>
  <c r="BC13" i="47"/>
  <c r="BD75" i="47"/>
  <c r="BH27" i="47"/>
  <c r="R143" i="47" l="1"/>
  <c r="Q144" i="47"/>
  <c r="AD127" i="47"/>
  <c r="AD128" i="47" s="1"/>
  <c r="Z121" i="47"/>
  <c r="AW78" i="47"/>
  <c r="AY104" i="47"/>
  <c r="AM105" i="47"/>
  <c r="AM132" i="47"/>
  <c r="AM114" i="47"/>
  <c r="AN132" i="47"/>
  <c r="BC105" i="47"/>
  <c r="AY46" i="47"/>
  <c r="AZ62" i="47"/>
  <c r="BD154" i="47"/>
  <c r="AQ119" i="47"/>
  <c r="AQ46" i="47"/>
  <c r="AZ78" i="47"/>
  <c r="BH62" i="47"/>
  <c r="AQ14" i="47"/>
  <c r="AV78" i="47"/>
  <c r="AW30" i="47"/>
  <c r="BC14" i="47"/>
  <c r="AQ132" i="47"/>
  <c r="AQ114" i="47"/>
  <c r="AQ104" i="47"/>
  <c r="AU119" i="47"/>
  <c r="BH30" i="47"/>
  <c r="AZ154" i="47"/>
  <c r="BC46" i="47"/>
  <c r="AR62" i="47"/>
  <c r="AU104" i="47"/>
  <c r="AY119" i="47"/>
  <c r="BC119" i="47"/>
  <c r="AY105" i="47"/>
  <c r="AU132" i="47"/>
  <c r="AU114" i="47"/>
  <c r="BD62" i="47"/>
  <c r="AM46" i="47"/>
  <c r="AU14" i="47"/>
  <c r="BH154" i="47"/>
  <c r="AV154" i="47"/>
  <c r="BC104" i="47"/>
  <c r="AU46" i="47"/>
  <c r="AY132" i="47"/>
  <c r="AY114" i="47"/>
  <c r="AV30" i="47"/>
  <c r="BC114" i="47"/>
  <c r="AR154" i="47"/>
  <c r="BD78" i="47"/>
  <c r="AY14" i="47"/>
  <c r="AM104" i="47"/>
  <c r="AU105" i="47"/>
  <c r="AZ30" i="47"/>
  <c r="AQ105" i="47"/>
  <c r="BH78" i="47"/>
  <c r="AV62" i="47"/>
  <c r="AM14" i="47"/>
  <c r="BE30" i="47"/>
  <c r="AR30" i="47"/>
  <c r="AM119" i="47"/>
  <c r="BD116" i="47"/>
  <c r="BD118" i="47" s="1"/>
  <c r="BE110" i="47"/>
  <c r="BM117" i="47"/>
  <c r="BN8" i="47"/>
  <c r="BR8" i="47"/>
  <c r="AW149" i="47"/>
  <c r="AW145" i="47"/>
  <c r="AW142" i="47"/>
  <c r="BB32" i="47"/>
  <c r="Z127" i="47"/>
  <c r="Z128" i="47" s="1"/>
  <c r="BN32" i="47"/>
  <c r="BO26" i="47"/>
  <c r="O134" i="47"/>
  <c r="O135" i="47" s="1"/>
  <c r="O136" i="47" s="1"/>
  <c r="P133" i="47"/>
  <c r="AP138" i="47"/>
  <c r="AP106" i="47"/>
  <c r="BJ32" i="47"/>
  <c r="BK26" i="47"/>
  <c r="BR58" i="47"/>
  <c r="BN58" i="47"/>
  <c r="BM64" i="47"/>
  <c r="BA117" i="47"/>
  <c r="BB8" i="47"/>
  <c r="AV116" i="47"/>
  <c r="AV118" i="47" s="1"/>
  <c r="AW110" i="47"/>
  <c r="BN80" i="47"/>
  <c r="BO74" i="47"/>
  <c r="BM126" i="47"/>
  <c r="BI126" i="47"/>
  <c r="BJ126" i="47" s="1"/>
  <c r="BK126" i="47" s="1"/>
  <c r="BL126" i="47" s="1"/>
  <c r="BD16" i="47"/>
  <c r="BE10" i="47"/>
  <c r="BF32" i="47"/>
  <c r="BG26" i="47"/>
  <c r="BM149" i="47"/>
  <c r="BM145" i="47"/>
  <c r="BM142" i="47"/>
  <c r="BN141" i="47"/>
  <c r="BR141" i="47"/>
  <c r="BF58" i="47"/>
  <c r="BE64" i="47"/>
  <c r="BH102" i="47"/>
  <c r="BH99" i="47"/>
  <c r="BH95" i="47"/>
  <c r="BH101" i="47"/>
  <c r="BH94" i="47"/>
  <c r="BI90" i="47"/>
  <c r="BH100" i="47"/>
  <c r="BM90" i="47"/>
  <c r="BA156" i="47"/>
  <c r="BA162" i="47"/>
  <c r="BB150" i="47"/>
  <c r="BE149" i="47"/>
  <c r="BE145" i="47"/>
  <c r="BE142" i="47"/>
  <c r="BF141" i="47"/>
  <c r="BM162" i="47"/>
  <c r="BM156" i="47"/>
  <c r="BN150" i="47"/>
  <c r="BR150" i="47"/>
  <c r="AT138" i="47"/>
  <c r="AT106" i="47"/>
  <c r="AL138" i="47"/>
  <c r="AL106" i="47"/>
  <c r="BE162" i="47"/>
  <c r="BE156" i="47"/>
  <c r="BF150" i="47"/>
  <c r="BM110" i="47"/>
  <c r="BI110" i="47"/>
  <c r="BH116" i="47"/>
  <c r="BH118" i="47" s="1"/>
  <c r="BA42" i="47"/>
  <c r="AZ48" i="47"/>
  <c r="BA149" i="47"/>
  <c r="BA145" i="47"/>
  <c r="BA142" i="47"/>
  <c r="BB141" i="47"/>
  <c r="AZ102" i="47"/>
  <c r="AZ99" i="47"/>
  <c r="AZ95" i="47"/>
  <c r="AZ101" i="47"/>
  <c r="AZ94" i="47"/>
  <c r="BA90" i="47"/>
  <c r="AZ100" i="47"/>
  <c r="BD102" i="47"/>
  <c r="BD101" i="47"/>
  <c r="BD100" i="47"/>
  <c r="BD94" i="47"/>
  <c r="BD99" i="47"/>
  <c r="BD95" i="47"/>
  <c r="BE90" i="47"/>
  <c r="BI156" i="47"/>
  <c r="BI162" i="47"/>
  <c r="BJ150" i="47"/>
  <c r="AW162" i="47"/>
  <c r="AW156" i="47"/>
  <c r="BJ58" i="47"/>
  <c r="BI64" i="47"/>
  <c r="AR116" i="47"/>
  <c r="AR118" i="47" s="1"/>
  <c r="BB58" i="47"/>
  <c r="BA64" i="47"/>
  <c r="AZ16" i="47"/>
  <c r="BA10" i="47"/>
  <c r="AW64" i="47"/>
  <c r="BF80" i="47"/>
  <c r="BG74" i="47"/>
  <c r="BR32" i="47"/>
  <c r="BS26" i="47"/>
  <c r="BW26" i="47"/>
  <c r="AR16" i="47"/>
  <c r="AV102" i="47"/>
  <c r="AV101" i="47"/>
  <c r="AV100" i="47"/>
  <c r="AV94" i="47"/>
  <c r="AV99" i="47"/>
  <c r="AV95" i="47"/>
  <c r="AW90" i="47"/>
  <c r="BH16" i="47"/>
  <c r="BI10" i="47"/>
  <c r="BM10" i="47"/>
  <c r="AR48" i="47"/>
  <c r="BN131" i="47"/>
  <c r="BO131" i="47" s="1"/>
  <c r="BP131" i="47" s="1"/>
  <c r="BQ131" i="47" s="1"/>
  <c r="BR131" i="47"/>
  <c r="BK74" i="47"/>
  <c r="BJ80" i="47"/>
  <c r="AV16" i="47"/>
  <c r="AW10" i="47"/>
  <c r="AX106" i="47"/>
  <c r="AH138" i="47"/>
  <c r="AH106" i="47"/>
  <c r="AI138" i="47"/>
  <c r="AV48" i="47"/>
  <c r="AW42" i="47"/>
  <c r="BD48" i="47"/>
  <c r="BE42" i="47"/>
  <c r="BI42" i="47"/>
  <c r="BH48" i="47"/>
  <c r="BM42" i="47"/>
  <c r="AZ116" i="47"/>
  <c r="AZ118" i="47" s="1"/>
  <c r="BA110" i="47"/>
  <c r="AW117" i="47"/>
  <c r="BN103" i="47"/>
  <c r="BO103" i="47" s="1"/>
  <c r="BP103" i="47" s="1"/>
  <c r="BQ103" i="47" s="1"/>
  <c r="BR103" i="47"/>
  <c r="BS137" i="47"/>
  <c r="BT137" i="47" s="1"/>
  <c r="BU137" i="47" s="1"/>
  <c r="BV137" i="47" s="1"/>
  <c r="BW137" i="47"/>
  <c r="BE117" i="47"/>
  <c r="BF8" i="47"/>
  <c r="AD121" i="47"/>
  <c r="BI149" i="47"/>
  <c r="BI145" i="47"/>
  <c r="BI142" i="47"/>
  <c r="BJ141" i="47"/>
  <c r="BI117" i="47"/>
  <c r="BJ8" i="47"/>
  <c r="BS74" i="47"/>
  <c r="BR80" i="47"/>
  <c r="BW74" i="47"/>
  <c r="AR102" i="47"/>
  <c r="AR99" i="47"/>
  <c r="AR95" i="47"/>
  <c r="AR101" i="47"/>
  <c r="AR94" i="47"/>
  <c r="AR100" i="47"/>
  <c r="BB80" i="47"/>
  <c r="D30" i="40"/>
  <c r="C25" i="40"/>
  <c r="D27" i="41"/>
  <c r="D26" i="41"/>
  <c r="C33" i="41"/>
  <c r="C36" i="41"/>
  <c r="E28" i="10"/>
  <c r="H40" i="5"/>
  <c r="H28" i="5"/>
  <c r="D28" i="5"/>
  <c r="D30" i="5"/>
  <c r="H30" i="5"/>
  <c r="G18" i="40"/>
  <c r="G18" i="41"/>
  <c r="G18" i="5"/>
  <c r="G66" i="41"/>
  <c r="F66" i="41"/>
  <c r="E66" i="41"/>
  <c r="G66" i="40"/>
  <c r="F66" i="40"/>
  <c r="E66" i="40"/>
  <c r="G64" i="40"/>
  <c r="F64" i="40"/>
  <c r="E64" i="40"/>
  <c r="D67" i="40"/>
  <c r="K19" i="25"/>
  <c r="L19" i="25"/>
  <c r="M19" i="25"/>
  <c r="N19" i="25"/>
  <c r="O19" i="25"/>
  <c r="P19" i="25"/>
  <c r="Q19" i="25"/>
  <c r="R19" i="25"/>
  <c r="S19" i="25"/>
  <c r="T19" i="25"/>
  <c r="U19" i="25"/>
  <c r="V19" i="25"/>
  <c r="W19" i="25"/>
  <c r="X19" i="25"/>
  <c r="Y19" i="25"/>
  <c r="Z19" i="25"/>
  <c r="AA19" i="25"/>
  <c r="AB19" i="25"/>
  <c r="AC19" i="25"/>
  <c r="AD19" i="25"/>
  <c r="AE19" i="25"/>
  <c r="AF19" i="25"/>
  <c r="AG19" i="25"/>
  <c r="AH19" i="25"/>
  <c r="AI19" i="25"/>
  <c r="AJ19" i="25"/>
  <c r="AK19" i="25"/>
  <c r="AL19" i="25"/>
  <c r="AM19" i="25"/>
  <c r="AN19"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20" i="25"/>
  <c r="AM20" i="25"/>
  <c r="AN20" i="25"/>
  <c r="K21" i="25"/>
  <c r="L21" i="25"/>
  <c r="M21" i="25"/>
  <c r="N21" i="25"/>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AM17" i="25"/>
  <c r="AN17" i="25"/>
  <c r="J17" i="25"/>
  <c r="J20" i="25" s="1"/>
  <c r="BM59" i="47"/>
  <c r="AR13" i="47"/>
  <c r="AR107" i="47"/>
  <c r="BB76" i="47"/>
  <c r="BN75" i="47"/>
  <c r="BD113" i="47"/>
  <c r="BE59" i="47"/>
  <c r="AW153" i="47"/>
  <c r="BN76" i="47"/>
  <c r="BD112" i="47"/>
  <c r="AR113" i="47"/>
  <c r="AW60" i="47"/>
  <c r="AR44" i="47"/>
  <c r="BN77" i="47"/>
  <c r="AZ107" i="47"/>
  <c r="BE151" i="47"/>
  <c r="BB27" i="47"/>
  <c r="BH12" i="47"/>
  <c r="BM151" i="47"/>
  <c r="BE152" i="47"/>
  <c r="BA59" i="47"/>
  <c r="BA27" i="47"/>
  <c r="AV12" i="47"/>
  <c r="AV44" i="47"/>
  <c r="BH112" i="47"/>
  <c r="BA75" i="47"/>
  <c r="AZ13" i="47"/>
  <c r="AR111" i="47"/>
  <c r="BD44" i="47"/>
  <c r="BE153" i="47"/>
  <c r="AW152" i="47"/>
  <c r="BA153" i="47"/>
  <c r="BR27" i="47"/>
  <c r="AW59" i="47"/>
  <c r="BF77" i="47"/>
  <c r="BH45" i="47"/>
  <c r="AV11" i="47"/>
  <c r="BR75" i="47"/>
  <c r="BR28" i="47"/>
  <c r="BN28" i="47"/>
  <c r="AW61" i="47"/>
  <c r="BH113" i="47"/>
  <c r="AV107" i="47"/>
  <c r="BD12" i="47"/>
  <c r="BM76" i="47"/>
  <c r="AZ44" i="47"/>
  <c r="BB28" i="47"/>
  <c r="BM77" i="47"/>
  <c r="BH11" i="47"/>
  <c r="AV13" i="47"/>
  <c r="AW76" i="47"/>
  <c r="BI152" i="47"/>
  <c r="AZ11" i="47"/>
  <c r="BB77" i="47"/>
  <c r="AW75" i="47"/>
  <c r="BM60" i="47"/>
  <c r="BA28" i="47"/>
  <c r="BH111" i="47"/>
  <c r="BA151" i="47"/>
  <c r="AV43" i="47"/>
  <c r="AZ45" i="47"/>
  <c r="AZ43" i="47"/>
  <c r="AR43" i="47"/>
  <c r="AZ111" i="47"/>
  <c r="BH13" i="47"/>
  <c r="BF76" i="47"/>
  <c r="BI29" i="47"/>
  <c r="BM152" i="47"/>
  <c r="BM75" i="47"/>
  <c r="BM29" i="47"/>
  <c r="AZ112" i="47"/>
  <c r="BM28" i="47"/>
  <c r="BD11" i="47"/>
  <c r="BF27" i="47"/>
  <c r="BM27" i="47"/>
  <c r="AR45" i="47"/>
  <c r="BI151" i="47"/>
  <c r="BI77" i="47"/>
  <c r="AZ113" i="47"/>
  <c r="BR77" i="47"/>
  <c r="AV112" i="47"/>
  <c r="BE77" i="47"/>
  <c r="AV113" i="47"/>
  <c r="BA77" i="47"/>
  <c r="BE75" i="47"/>
  <c r="BI75" i="47"/>
  <c r="BJ77" i="47"/>
  <c r="BI61" i="47"/>
  <c r="AR112" i="47"/>
  <c r="BM61" i="47"/>
  <c r="BN29" i="47"/>
  <c r="AZ12" i="47"/>
  <c r="BR29" i="47"/>
  <c r="AW151" i="47"/>
  <c r="BI153" i="47"/>
  <c r="BB75" i="47"/>
  <c r="BD111" i="47"/>
  <c r="BE61" i="47"/>
  <c r="AV45" i="47"/>
  <c r="BD107" i="47"/>
  <c r="BA152" i="47"/>
  <c r="BD13" i="47"/>
  <c r="BI59" i="47"/>
  <c r="BF75" i="47"/>
  <c r="BD43" i="47"/>
  <c r="AV111" i="47"/>
  <c r="BI60" i="47"/>
  <c r="BA61" i="47"/>
  <c r="BH43" i="47"/>
  <c r="BH107" i="47"/>
  <c r="BA60" i="47"/>
  <c r="BH44" i="47"/>
  <c r="BR76" i="47"/>
  <c r="AR12" i="47"/>
  <c r="BN27" i="47"/>
  <c r="BA29" i="47"/>
  <c r="BD45" i="47"/>
  <c r="BM153" i="47"/>
  <c r="AR11" i="47"/>
  <c r="BE60" i="47"/>
  <c r="S143" i="47" l="1"/>
  <c r="R144" i="47"/>
  <c r="Z123" i="47"/>
  <c r="Z122" i="47"/>
  <c r="AD123" i="47"/>
  <c r="AD122" i="47"/>
  <c r="BJ78" i="47"/>
  <c r="BM154" i="47"/>
  <c r="AV119" i="47"/>
  <c r="BN30" i="47"/>
  <c r="AZ104" i="47"/>
  <c r="AV105" i="47"/>
  <c r="BD14" i="47"/>
  <c r="AV132" i="47"/>
  <c r="AV114" i="47"/>
  <c r="AW62" i="47"/>
  <c r="AV14" i="47"/>
  <c r="BF78" i="47"/>
  <c r="BN78" i="47"/>
  <c r="BM62" i="47"/>
  <c r="BD119" i="47"/>
  <c r="AZ119" i="47"/>
  <c r="BH104" i="47"/>
  <c r="BD105" i="47"/>
  <c r="AV46" i="47"/>
  <c r="AR14" i="47"/>
  <c r="BR30" i="47"/>
  <c r="BM78" i="47"/>
  <c r="BI62" i="47"/>
  <c r="AW154" i="47"/>
  <c r="AZ105" i="47"/>
  <c r="BH119" i="47"/>
  <c r="BI154" i="47"/>
  <c r="BR78" i="47"/>
  <c r="AZ132" i="47"/>
  <c r="AZ114" i="47"/>
  <c r="BD46" i="47"/>
  <c r="AV104" i="47"/>
  <c r="AZ14" i="47"/>
  <c r="AZ46" i="47"/>
  <c r="BH114" i="47"/>
  <c r="BA154" i="47"/>
  <c r="BE62" i="47"/>
  <c r="BI30" i="47"/>
  <c r="BD132" i="47"/>
  <c r="BD114" i="47"/>
  <c r="BE78" i="47"/>
  <c r="BI78" i="47"/>
  <c r="AR46" i="47"/>
  <c r="AR132" i="47"/>
  <c r="AR114" i="47"/>
  <c r="AS132" i="47"/>
  <c r="BB78" i="47"/>
  <c r="BD104" i="47"/>
  <c r="AR104" i="47"/>
  <c r="BE154" i="47"/>
  <c r="BA78" i="47"/>
  <c r="BH46" i="47"/>
  <c r="AR105" i="47"/>
  <c r="AR119" i="47"/>
  <c r="BH14" i="47"/>
  <c r="BH105" i="47"/>
  <c r="BM30" i="47"/>
  <c r="BA62" i="47"/>
  <c r="BA30" i="47"/>
  <c r="BM102" i="47"/>
  <c r="BM101" i="47"/>
  <c r="BM100" i="47"/>
  <c r="BM94" i="47"/>
  <c r="BM99" i="47"/>
  <c r="BM95" i="47"/>
  <c r="BR90" i="47"/>
  <c r="BN90" i="47"/>
  <c r="BO58" i="47"/>
  <c r="BN64" i="47"/>
  <c r="BO32" i="47"/>
  <c r="BP26" i="47"/>
  <c r="BW80" i="47"/>
  <c r="CB74" i="47"/>
  <c r="BX74" i="47"/>
  <c r="BX137" i="47"/>
  <c r="BY137" i="47" s="1"/>
  <c r="BZ137" i="47" s="1"/>
  <c r="CA137" i="47" s="1"/>
  <c r="CB137" i="47"/>
  <c r="BJ110" i="47"/>
  <c r="BI116" i="47"/>
  <c r="BI118" i="47" s="1"/>
  <c r="BJ149" i="47"/>
  <c r="BJ145" i="47"/>
  <c r="BJ142" i="47"/>
  <c r="BK141" i="47"/>
  <c r="BA116" i="47"/>
  <c r="BA118" i="47" s="1"/>
  <c r="BB110" i="47"/>
  <c r="BB64" i="47"/>
  <c r="BM116" i="47"/>
  <c r="BM118" i="47" s="1"/>
  <c r="BR110" i="47"/>
  <c r="BN110" i="47"/>
  <c r="BF162" i="47"/>
  <c r="BF156" i="47"/>
  <c r="BG150" i="47"/>
  <c r="BN126" i="47"/>
  <c r="BO126" i="47" s="1"/>
  <c r="BP126" i="47" s="1"/>
  <c r="BQ126" i="47" s="1"/>
  <c r="BR126" i="47"/>
  <c r="AQ138" i="47"/>
  <c r="AQ106" i="47"/>
  <c r="BK32" i="47"/>
  <c r="BL26" i="47"/>
  <c r="BE116" i="47"/>
  <c r="BE118" i="47" s="1"/>
  <c r="BF110" i="47"/>
  <c r="BC106" i="47"/>
  <c r="BM48" i="47"/>
  <c r="BR42" i="47"/>
  <c r="BN42" i="47"/>
  <c r="BE48" i="47"/>
  <c r="BF42" i="47"/>
  <c r="AW48" i="47"/>
  <c r="AW102" i="47"/>
  <c r="AW101" i="47"/>
  <c r="AW100" i="47"/>
  <c r="AW94" i="47"/>
  <c r="AW99" i="47"/>
  <c r="AW95" i="47"/>
  <c r="BS32" i="47"/>
  <c r="BT26" i="47"/>
  <c r="BA16" i="47"/>
  <c r="BB10" i="47"/>
  <c r="BA48" i="47"/>
  <c r="BB42" i="47"/>
  <c r="BB162" i="47"/>
  <c r="BB156" i="47"/>
  <c r="BI102" i="47"/>
  <c r="BI95" i="47"/>
  <c r="BI101" i="47"/>
  <c r="BI100" i="47"/>
  <c r="BI94" i="47"/>
  <c r="BI99" i="47"/>
  <c r="BJ90" i="47"/>
  <c r="BG58" i="47"/>
  <c r="BF64" i="47"/>
  <c r="BR149" i="47"/>
  <c r="BW141" i="47"/>
  <c r="BR142" i="47"/>
  <c r="BR145" i="47"/>
  <c r="BS141" i="47"/>
  <c r="BG32" i="47"/>
  <c r="BB117" i="47"/>
  <c r="AY138" i="47"/>
  <c r="AY106" i="47"/>
  <c r="BE16" i="47"/>
  <c r="BF10" i="47"/>
  <c r="BW131" i="47"/>
  <c r="BS131" i="47"/>
  <c r="BT131" i="47" s="1"/>
  <c r="BU131" i="47" s="1"/>
  <c r="BV131" i="47" s="1"/>
  <c r="BB149" i="47"/>
  <c r="BB142" i="47"/>
  <c r="BB145" i="47"/>
  <c r="BR162" i="47"/>
  <c r="BR156" i="47"/>
  <c r="BW150" i="47"/>
  <c r="BS150" i="47"/>
  <c r="BN149" i="47"/>
  <c r="BN145" i="47"/>
  <c r="BO141" i="47"/>
  <c r="BN142" i="47"/>
  <c r="BR64" i="47"/>
  <c r="BW58" i="47"/>
  <c r="BS58" i="47"/>
  <c r="AU138" i="47"/>
  <c r="AU106" i="47"/>
  <c r="BW103" i="47"/>
  <c r="BS103" i="47"/>
  <c r="BT103" i="47" s="1"/>
  <c r="BU103" i="47" s="1"/>
  <c r="BV103" i="47" s="1"/>
  <c r="BM16" i="47"/>
  <c r="BR10" i="47"/>
  <c r="BN10" i="47"/>
  <c r="BE102" i="47"/>
  <c r="BE101" i="47"/>
  <c r="BE100" i="47"/>
  <c r="BE94" i="47"/>
  <c r="BE99" i="47"/>
  <c r="BE95" i="47"/>
  <c r="BF90" i="47"/>
  <c r="BA102" i="47"/>
  <c r="BA95" i="47"/>
  <c r="BA101" i="47"/>
  <c r="BA100" i="47"/>
  <c r="BA94" i="47"/>
  <c r="BA99" i="47"/>
  <c r="BB90" i="47"/>
  <c r="BN162" i="47"/>
  <c r="BN156" i="47"/>
  <c r="BO150" i="47"/>
  <c r="BF149" i="47"/>
  <c r="BF145" i="47"/>
  <c r="BG141" i="47"/>
  <c r="BF142" i="47"/>
  <c r="AW116" i="47"/>
  <c r="AW118" i="47" s="1"/>
  <c r="BR117" i="47"/>
  <c r="BW8" i="47"/>
  <c r="BS8" i="47"/>
  <c r="BJ117" i="47"/>
  <c r="BK8" i="47"/>
  <c r="AW16" i="47"/>
  <c r="BI48" i="47"/>
  <c r="BJ42" i="47"/>
  <c r="P134" i="47"/>
  <c r="P135" i="47" s="1"/>
  <c r="P136" i="47" s="1"/>
  <c r="Q133" i="47"/>
  <c r="BN117" i="47"/>
  <c r="BO8" i="47"/>
  <c r="AM138" i="47"/>
  <c r="AM106" i="47"/>
  <c r="AN138" i="47"/>
  <c r="BW32" i="47"/>
  <c r="CB26" i="47"/>
  <c r="BX26" i="47"/>
  <c r="BS80" i="47"/>
  <c r="BT74" i="47"/>
  <c r="BF117" i="47"/>
  <c r="BG8" i="47"/>
  <c r="BK80" i="47"/>
  <c r="BL74" i="47"/>
  <c r="BI16" i="47"/>
  <c r="BJ10" i="47"/>
  <c r="BG80" i="47"/>
  <c r="BJ64" i="47"/>
  <c r="BK58" i="47"/>
  <c r="BJ162" i="47"/>
  <c r="BJ156" i="47"/>
  <c r="BK150" i="47"/>
  <c r="BO80" i="47"/>
  <c r="BP74" i="47"/>
  <c r="J19" i="25"/>
  <c r="J21" i="25"/>
  <c r="BI107" i="47"/>
  <c r="BF28" i="47"/>
  <c r="BA13" i="47"/>
  <c r="BJ153" i="47"/>
  <c r="BF151" i="47"/>
  <c r="BO75" i="47"/>
  <c r="BM44" i="47"/>
  <c r="BM13" i="47"/>
  <c r="BB153" i="47"/>
  <c r="BR61" i="47"/>
  <c r="BE113" i="47"/>
  <c r="BA43" i="47"/>
  <c r="BE111" i="47"/>
  <c r="BI112" i="47"/>
  <c r="BN152" i="47"/>
  <c r="AW11" i="47"/>
  <c r="BI45" i="47"/>
  <c r="BA113" i="47"/>
  <c r="BA111" i="47"/>
  <c r="AW107" i="47"/>
  <c r="BB60" i="47"/>
  <c r="BS77" i="47"/>
  <c r="BM113" i="47"/>
  <c r="BE112" i="47"/>
  <c r="BM45" i="47"/>
  <c r="BJ75" i="47"/>
  <c r="BI13" i="47"/>
  <c r="BM111" i="47"/>
  <c r="BO76" i="47"/>
  <c r="BS28" i="47"/>
  <c r="AW44" i="47"/>
  <c r="BI111" i="47"/>
  <c r="BB151" i="47"/>
  <c r="BR151" i="47"/>
  <c r="BN61" i="47"/>
  <c r="BR59" i="47"/>
  <c r="BJ28" i="47"/>
  <c r="BN151" i="47"/>
  <c r="BF61" i="47"/>
  <c r="BJ27" i="47"/>
  <c r="BG76" i="47"/>
  <c r="BJ151" i="47"/>
  <c r="BF29" i="47"/>
  <c r="BM12" i="47"/>
  <c r="BN59" i="47"/>
  <c r="AW111" i="47"/>
  <c r="BM11" i="47"/>
  <c r="BJ29" i="47"/>
  <c r="BE13" i="47"/>
  <c r="BI12" i="47"/>
  <c r="BR153" i="47"/>
  <c r="BI113" i="47"/>
  <c r="AW12" i="47"/>
  <c r="BM107" i="47"/>
  <c r="BJ59" i="47"/>
  <c r="BI11" i="47"/>
  <c r="BF152" i="47"/>
  <c r="BI43" i="47"/>
  <c r="BE12" i="47"/>
  <c r="BB29" i="47"/>
  <c r="BF59" i="47"/>
  <c r="BE45" i="47"/>
  <c r="BS76" i="47"/>
  <c r="BE44" i="47"/>
  <c r="BO77" i="47"/>
  <c r="BN60" i="47"/>
  <c r="BM112" i="47"/>
  <c r="BK28" i="47"/>
  <c r="BJ76" i="47"/>
  <c r="BA45" i="47"/>
  <c r="BE107" i="47"/>
  <c r="BA12" i="47"/>
  <c r="BI44" i="47"/>
  <c r="BJ61" i="47"/>
  <c r="BA44" i="47"/>
  <c r="BF60" i="47"/>
  <c r="BG29" i="47"/>
  <c r="BA107" i="47"/>
  <c r="BW77" i="47"/>
  <c r="BE43" i="47"/>
  <c r="BG75" i="47"/>
  <c r="AW45" i="47"/>
  <c r="BB61" i="47"/>
  <c r="BA11" i="47"/>
  <c r="BS75" i="47"/>
  <c r="AW113" i="47"/>
  <c r="BN153" i="47"/>
  <c r="BJ60" i="47"/>
  <c r="BA112" i="47"/>
  <c r="BJ152" i="47"/>
  <c r="BO29" i="47"/>
  <c r="BM43" i="47"/>
  <c r="BB152" i="47"/>
  <c r="BS27" i="47"/>
  <c r="AW43" i="47"/>
  <c r="AW112" i="47"/>
  <c r="BR152" i="47"/>
  <c r="BF153" i="47"/>
  <c r="BW27" i="47"/>
  <c r="BG77" i="47"/>
  <c r="BE11" i="47"/>
  <c r="BB59" i="47"/>
  <c r="AW13" i="47"/>
  <c r="BR60" i="47"/>
  <c r="T143" i="47" l="1"/>
  <c r="S144" i="47"/>
  <c r="BW78" i="47"/>
  <c r="BO30" i="47"/>
  <c r="BG78" i="47"/>
  <c r="BF30" i="47"/>
  <c r="BI132" i="47"/>
  <c r="BI114" i="47"/>
  <c r="AW132" i="47"/>
  <c r="AW114" i="47"/>
  <c r="AX132" i="47"/>
  <c r="BN154" i="47"/>
  <c r="BB154" i="47"/>
  <c r="BN62" i="47"/>
  <c r="BG30" i="47"/>
  <c r="BB30" i="47"/>
  <c r="BS78" i="47"/>
  <c r="BE105" i="47"/>
  <c r="BE132" i="47"/>
  <c r="BE114" i="47"/>
  <c r="BA46" i="47"/>
  <c r="BM105" i="47"/>
  <c r="BA132" i="47"/>
  <c r="BA114" i="47"/>
  <c r="BJ30" i="47"/>
  <c r="BI105" i="47"/>
  <c r="BA14" i="47"/>
  <c r="AW105" i="47"/>
  <c r="BE46" i="47"/>
  <c r="BM46" i="47"/>
  <c r="BE119" i="47"/>
  <c r="BF154" i="47"/>
  <c r="AW119" i="47"/>
  <c r="BJ62" i="47"/>
  <c r="BR62" i="47"/>
  <c r="AW46" i="47"/>
  <c r="BE104" i="47"/>
  <c r="BM104" i="47"/>
  <c r="BA105" i="47"/>
  <c r="AW104" i="47"/>
  <c r="BM119" i="47"/>
  <c r="BR154" i="47"/>
  <c r="BO78" i="47"/>
  <c r="BI14" i="47"/>
  <c r="AW14" i="47"/>
  <c r="BE14" i="47"/>
  <c r="BA104" i="47"/>
  <c r="BM114" i="47"/>
  <c r="BI104" i="47"/>
  <c r="BM14" i="47"/>
  <c r="BJ154" i="47"/>
  <c r="BI46" i="47"/>
  <c r="BF62" i="47"/>
  <c r="BB62" i="47"/>
  <c r="BA119" i="47"/>
  <c r="BI119" i="47"/>
  <c r="Q134" i="47"/>
  <c r="Q135" i="47" s="1"/>
  <c r="Q136" i="47" s="1"/>
  <c r="R133" i="47"/>
  <c r="BS162" i="47"/>
  <c r="BS156" i="47"/>
  <c r="BT150" i="47"/>
  <c r="BT32" i="47"/>
  <c r="BU26" i="47"/>
  <c r="BG42" i="47"/>
  <c r="BF48" i="47"/>
  <c r="BO42" i="47"/>
  <c r="BN48" i="47"/>
  <c r="BL32" i="47"/>
  <c r="BR116" i="47"/>
  <c r="BR118" i="47" s="1"/>
  <c r="BS110" i="47"/>
  <c r="BW110" i="47"/>
  <c r="BB116" i="47"/>
  <c r="BB118" i="47" s="1"/>
  <c r="BJ116" i="47"/>
  <c r="BJ118" i="47" s="1"/>
  <c r="BK110" i="47"/>
  <c r="AZ138" i="47"/>
  <c r="AZ106" i="47"/>
  <c r="BJ102" i="47"/>
  <c r="BJ101" i="47"/>
  <c r="BJ100" i="47"/>
  <c r="BJ94" i="47"/>
  <c r="BJ99" i="47"/>
  <c r="BK90" i="47"/>
  <c r="BJ95" i="47"/>
  <c r="CB80" i="47"/>
  <c r="CC74" i="47"/>
  <c r="CG74" i="47"/>
  <c r="BL58" i="47"/>
  <c r="BK64" i="47"/>
  <c r="BF101" i="47"/>
  <c r="BF100" i="47"/>
  <c r="BF94" i="47"/>
  <c r="BF99" i="47"/>
  <c r="BF95" i="47"/>
  <c r="BF102" i="47"/>
  <c r="BG90" i="47"/>
  <c r="BT58" i="47"/>
  <c r="BS64" i="47"/>
  <c r="BO145" i="47"/>
  <c r="BP141" i="47"/>
  <c r="BO149" i="47"/>
  <c r="BO142" i="47"/>
  <c r="BW162" i="47"/>
  <c r="BW156" i="47"/>
  <c r="BX150" i="47"/>
  <c r="CB150" i="47"/>
  <c r="CB131" i="47"/>
  <c r="BX131" i="47"/>
  <c r="BY131" i="47" s="1"/>
  <c r="BZ131" i="47" s="1"/>
  <c r="CA131" i="47" s="1"/>
  <c r="BS149" i="47"/>
  <c r="BS142" i="47"/>
  <c r="BT141" i="47"/>
  <c r="BS145" i="47"/>
  <c r="BS42" i="47"/>
  <c r="BR48" i="47"/>
  <c r="BW42" i="47"/>
  <c r="BN101" i="47"/>
  <c r="BN102" i="47"/>
  <c r="BN100" i="47"/>
  <c r="BN94" i="47"/>
  <c r="BN99" i="47"/>
  <c r="BN95" i="47"/>
  <c r="BO90" i="47"/>
  <c r="BG117" i="47"/>
  <c r="BB101" i="47"/>
  <c r="BB100" i="47"/>
  <c r="BB94" i="47"/>
  <c r="BB99" i="47"/>
  <c r="BB102" i="47"/>
  <c r="BB95" i="47"/>
  <c r="BN16" i="47"/>
  <c r="BO10" i="47"/>
  <c r="BK149" i="47"/>
  <c r="BK145" i="47"/>
  <c r="BK142" i="47"/>
  <c r="BL141" i="47"/>
  <c r="CG137" i="47"/>
  <c r="CC137" i="47"/>
  <c r="CD137" i="47" s="1"/>
  <c r="CE137" i="47" s="1"/>
  <c r="CF137" i="47" s="1"/>
  <c r="BR101" i="47"/>
  <c r="BR100" i="47"/>
  <c r="BR94" i="47"/>
  <c r="BR99" i="47"/>
  <c r="BS90" i="47"/>
  <c r="BR95" i="47"/>
  <c r="BW90" i="47"/>
  <c r="BR102" i="47"/>
  <c r="AV138" i="47"/>
  <c r="AV106" i="47"/>
  <c r="BK117" i="47"/>
  <c r="BL8" i="47"/>
  <c r="BP80" i="47"/>
  <c r="BQ74" i="47"/>
  <c r="BK162" i="47"/>
  <c r="BK156" i="47"/>
  <c r="BL150" i="47"/>
  <c r="BL80" i="47"/>
  <c r="BX32" i="47"/>
  <c r="BY26" i="47"/>
  <c r="BK42" i="47"/>
  <c r="BJ48" i="47"/>
  <c r="BS117" i="47"/>
  <c r="BT8" i="47"/>
  <c r="BX103" i="47"/>
  <c r="BY103" i="47" s="1"/>
  <c r="BZ103" i="47" s="1"/>
  <c r="CA103" i="47" s="1"/>
  <c r="CB103" i="47"/>
  <c r="BF16" i="47"/>
  <c r="BG10" i="47"/>
  <c r="BB48" i="47"/>
  <c r="BF116" i="47"/>
  <c r="BF118" i="47" s="1"/>
  <c r="BG110" i="47"/>
  <c r="BW126" i="47"/>
  <c r="BS126" i="47"/>
  <c r="BT126" i="47" s="1"/>
  <c r="BU126" i="47" s="1"/>
  <c r="BV126" i="47" s="1"/>
  <c r="BP32" i="47"/>
  <c r="BQ26" i="47"/>
  <c r="BW149" i="47"/>
  <c r="BX141" i="47"/>
  <c r="CB141" i="47"/>
  <c r="BW142" i="47"/>
  <c r="BW145" i="47"/>
  <c r="BG64" i="47"/>
  <c r="BB16" i="47"/>
  <c r="BW117" i="47"/>
  <c r="BX8" i="47"/>
  <c r="CB8" i="47"/>
  <c r="BO162" i="47"/>
  <c r="BO156" i="47"/>
  <c r="BP150" i="47"/>
  <c r="BX58" i="47"/>
  <c r="BW64" i="47"/>
  <c r="CB58" i="47"/>
  <c r="BR16" i="47"/>
  <c r="BS10" i="47"/>
  <c r="BW10" i="47"/>
  <c r="BX80" i="47"/>
  <c r="BY74" i="47"/>
  <c r="AR138" i="47"/>
  <c r="AR106" i="47"/>
  <c r="AS138" i="47"/>
  <c r="BH106" i="47"/>
  <c r="CB32" i="47"/>
  <c r="CC26" i="47"/>
  <c r="CG26" i="47"/>
  <c r="BJ16" i="47"/>
  <c r="BK10" i="47"/>
  <c r="BT80" i="47"/>
  <c r="BU74" i="47"/>
  <c r="BO117" i="47"/>
  <c r="BP8" i="47"/>
  <c r="BG149" i="47"/>
  <c r="BG145" i="47"/>
  <c r="BG142" i="47"/>
  <c r="BG162" i="47"/>
  <c r="BG156" i="47"/>
  <c r="BN116" i="47"/>
  <c r="BN118" i="47" s="1"/>
  <c r="BO110" i="47"/>
  <c r="BP58" i="47"/>
  <c r="BO64" i="47"/>
  <c r="BD138" i="47"/>
  <c r="BD106" i="47"/>
  <c r="D65" i="40"/>
  <c r="BN107" i="47"/>
  <c r="BJ107" i="47"/>
  <c r="BB112" i="47"/>
  <c r="BX29" i="47"/>
  <c r="BL77" i="47"/>
  <c r="BS29" i="47"/>
  <c r="BG59" i="47"/>
  <c r="BP29" i="47"/>
  <c r="BS151" i="47"/>
  <c r="BN45" i="47"/>
  <c r="BR111" i="47"/>
  <c r="BT75" i="47"/>
  <c r="BW151" i="47"/>
  <c r="CB29" i="47"/>
  <c r="BT76" i="47"/>
  <c r="BR45" i="47"/>
  <c r="BK29" i="47"/>
  <c r="BS153" i="47"/>
  <c r="BO28" i="47"/>
  <c r="BB12" i="47"/>
  <c r="BR113" i="47"/>
  <c r="BF45" i="47"/>
  <c r="BP27" i="47"/>
  <c r="BS152" i="47"/>
  <c r="BW153" i="47"/>
  <c r="BW61" i="47"/>
  <c r="BP77" i="47"/>
  <c r="BK76" i="47"/>
  <c r="CB27" i="47"/>
  <c r="BB43" i="47"/>
  <c r="BO60" i="47"/>
  <c r="BO61" i="47"/>
  <c r="BF44" i="47"/>
  <c r="BN113" i="47"/>
  <c r="BK27" i="47"/>
  <c r="BT29" i="47"/>
  <c r="BR43" i="47"/>
  <c r="BO27" i="47"/>
  <c r="BB11" i="47"/>
  <c r="BK153" i="47"/>
  <c r="BN13" i="47"/>
  <c r="BK61" i="47"/>
  <c r="BB44" i="47"/>
  <c r="BW59" i="47"/>
  <c r="BK75" i="47"/>
  <c r="BK151" i="47"/>
  <c r="BN11" i="47"/>
  <c r="BK59" i="47"/>
  <c r="CB28" i="47"/>
  <c r="BR112" i="47"/>
  <c r="BB13" i="47"/>
  <c r="BJ45" i="47"/>
  <c r="BG151" i="47"/>
  <c r="BO153" i="47"/>
  <c r="BF12" i="47"/>
  <c r="BR107" i="47"/>
  <c r="BN111" i="47"/>
  <c r="BB113" i="47"/>
  <c r="BN112" i="47"/>
  <c r="BG152" i="47"/>
  <c r="BW60" i="47"/>
  <c r="BN12" i="47"/>
  <c r="BG61" i="47"/>
  <c r="BX27" i="47"/>
  <c r="BK152" i="47"/>
  <c r="BB111" i="47"/>
  <c r="BJ12" i="47"/>
  <c r="BF111" i="47"/>
  <c r="BJ44" i="47"/>
  <c r="BJ113" i="47"/>
  <c r="BG28" i="47"/>
  <c r="BB45" i="47"/>
  <c r="BK60" i="47"/>
  <c r="BG153" i="47"/>
  <c r="BW76" i="47"/>
  <c r="BF113" i="47"/>
  <c r="BF107" i="47"/>
  <c r="BK77" i="47"/>
  <c r="BR44" i="47"/>
  <c r="BJ112" i="47"/>
  <c r="BR12" i="47"/>
  <c r="BF112" i="47"/>
  <c r="BT77" i="47"/>
  <c r="BW152" i="47"/>
  <c r="BO151" i="47"/>
  <c r="BR11" i="47"/>
  <c r="BJ111" i="47"/>
  <c r="BJ13" i="47"/>
  <c r="BW75" i="47"/>
  <c r="BR13" i="47"/>
  <c r="CB75" i="47"/>
  <c r="BW28" i="47"/>
  <c r="BX76" i="47"/>
  <c r="BG60" i="47"/>
  <c r="BS60" i="47"/>
  <c r="BN43" i="47"/>
  <c r="BW29" i="47"/>
  <c r="BO59" i="47"/>
  <c r="BJ11" i="47"/>
  <c r="BS59" i="47"/>
  <c r="BJ43" i="47"/>
  <c r="BG27" i="47"/>
  <c r="BN44" i="47"/>
  <c r="BS61" i="47"/>
  <c r="BF43" i="47"/>
  <c r="CB76" i="47"/>
  <c r="BF13" i="47"/>
  <c r="BX77" i="47"/>
  <c r="BB107" i="47"/>
  <c r="BO152" i="47"/>
  <c r="BF11" i="47"/>
  <c r="BL27" i="47"/>
  <c r="U143" i="47" l="1"/>
  <c r="T144" i="47"/>
  <c r="BP30" i="47"/>
  <c r="BT30" i="47"/>
  <c r="BG154" i="47"/>
  <c r="CB30" i="47"/>
  <c r="BB104" i="47"/>
  <c r="BJ46" i="47"/>
  <c r="BS62" i="47"/>
  <c r="BF104" i="47"/>
  <c r="BO62" i="47"/>
  <c r="BF14" i="47"/>
  <c r="BJ104" i="47"/>
  <c r="BR114" i="47"/>
  <c r="BS154" i="47"/>
  <c r="BR46" i="47"/>
  <c r="BJ119" i="47"/>
  <c r="BB132" i="47"/>
  <c r="BB114" i="47"/>
  <c r="BC132" i="47"/>
  <c r="BN104" i="47"/>
  <c r="BX30" i="47"/>
  <c r="BT78" i="47"/>
  <c r="BF132" i="47"/>
  <c r="BF114" i="47"/>
  <c r="BF105" i="47"/>
  <c r="BF119" i="47"/>
  <c r="BN14" i="47"/>
  <c r="BR14" i="47"/>
  <c r="BW62" i="47"/>
  <c r="BG62" i="47"/>
  <c r="BJ105" i="47"/>
  <c r="BR104" i="47"/>
  <c r="BJ132" i="47"/>
  <c r="BJ114" i="47"/>
  <c r="BN105" i="47"/>
  <c r="BF46" i="47"/>
  <c r="BB105" i="47"/>
  <c r="BP78" i="47"/>
  <c r="BK78" i="47"/>
  <c r="BO154" i="47"/>
  <c r="BB14" i="47"/>
  <c r="BK154" i="47"/>
  <c r="BK62" i="47"/>
  <c r="BR119" i="47"/>
  <c r="BN46" i="47"/>
  <c r="BN119" i="47"/>
  <c r="BN132" i="47"/>
  <c r="BN114" i="47"/>
  <c r="BW30" i="47"/>
  <c r="BJ14" i="47"/>
  <c r="BS30" i="47"/>
  <c r="BX78" i="47"/>
  <c r="BK30" i="47"/>
  <c r="BB46" i="47"/>
  <c r="BL78" i="47"/>
  <c r="BR105" i="47"/>
  <c r="BW154" i="47"/>
  <c r="BB119" i="47"/>
  <c r="BU80" i="47"/>
  <c r="BV74" i="47"/>
  <c r="BK16" i="47"/>
  <c r="BL10" i="47"/>
  <c r="BQ32" i="47"/>
  <c r="BQ80" i="47"/>
  <c r="BO16" i="47"/>
  <c r="BP10" i="47"/>
  <c r="BX162" i="47"/>
  <c r="BX156" i="47"/>
  <c r="BY150" i="47"/>
  <c r="BX149" i="47"/>
  <c r="BX145" i="47"/>
  <c r="BY141" i="47"/>
  <c r="BX142" i="47"/>
  <c r="BL162" i="47"/>
  <c r="BL156" i="47"/>
  <c r="BO102" i="47"/>
  <c r="BO100" i="47"/>
  <c r="BO94" i="47"/>
  <c r="BO99" i="47"/>
  <c r="BO95" i="47"/>
  <c r="BO101" i="47"/>
  <c r="BP90" i="47"/>
  <c r="CC80" i="47"/>
  <c r="CD74" i="47"/>
  <c r="BV26" i="47"/>
  <c r="BU32" i="47"/>
  <c r="BI138" i="47"/>
  <c r="BI106" i="47"/>
  <c r="BG100" i="47"/>
  <c r="BG94" i="47"/>
  <c r="BG99" i="47"/>
  <c r="BG95" i="47"/>
  <c r="BG102" i="47"/>
  <c r="BG101" i="47"/>
  <c r="BS116" i="47"/>
  <c r="BS118" i="47" s="1"/>
  <c r="BT110" i="47"/>
  <c r="BG48" i="47"/>
  <c r="CL26" i="47"/>
  <c r="CG32" i="47"/>
  <c r="CH26" i="47"/>
  <c r="CB117" i="47"/>
  <c r="CG8" i="47"/>
  <c r="CC8" i="47"/>
  <c r="CG103" i="47"/>
  <c r="CC103" i="47"/>
  <c r="CD103" i="47" s="1"/>
  <c r="CE103" i="47" s="1"/>
  <c r="CF103" i="47" s="1"/>
  <c r="BL42" i="47"/>
  <c r="BK48" i="47"/>
  <c r="CB42" i="47"/>
  <c r="BX42" i="47"/>
  <c r="BW48" i="47"/>
  <c r="BL64" i="47"/>
  <c r="BP42" i="47"/>
  <c r="BO48" i="47"/>
  <c r="R134" i="47"/>
  <c r="R135" i="47" s="1"/>
  <c r="R136" i="47" s="1"/>
  <c r="S133" i="47"/>
  <c r="AW138" i="47"/>
  <c r="AW106" i="47"/>
  <c r="AX138" i="47"/>
  <c r="BY58" i="47"/>
  <c r="BX64" i="47"/>
  <c r="CD26" i="47"/>
  <c r="CC32" i="47"/>
  <c r="BG116" i="47"/>
  <c r="BG118" i="47" s="1"/>
  <c r="BT149" i="47"/>
  <c r="BT145" i="47"/>
  <c r="BT142" i="47"/>
  <c r="BU141" i="47"/>
  <c r="BQ58" i="47"/>
  <c r="BP64" i="47"/>
  <c r="BY80" i="47"/>
  <c r="BZ74" i="47"/>
  <c r="BW16" i="47"/>
  <c r="BX10" i="47"/>
  <c r="CB10" i="47"/>
  <c r="BX117" i="47"/>
  <c r="BY8" i="47"/>
  <c r="BW100" i="47"/>
  <c r="BW94" i="47"/>
  <c r="BW99" i="47"/>
  <c r="BW95" i="47"/>
  <c r="BW102" i="47"/>
  <c r="CB90" i="47"/>
  <c r="BX90" i="47"/>
  <c r="BW101" i="47"/>
  <c r="CH137" i="47"/>
  <c r="CI137" i="47" s="1"/>
  <c r="CJ137" i="47" s="1"/>
  <c r="CK137" i="47" s="1"/>
  <c r="CL137" i="47"/>
  <c r="CC131" i="47"/>
  <c r="CD131" i="47" s="1"/>
  <c r="CE131" i="47" s="1"/>
  <c r="CF131" i="47" s="1"/>
  <c r="CG131" i="47"/>
  <c r="BK116" i="47"/>
  <c r="BK118" i="47" s="1"/>
  <c r="BL110" i="47"/>
  <c r="BT162" i="47"/>
  <c r="BT156" i="47"/>
  <c r="BU150" i="47"/>
  <c r="BM106" i="47"/>
  <c r="BO116" i="47"/>
  <c r="BO118" i="47" s="1"/>
  <c r="BP110" i="47"/>
  <c r="BP117" i="47"/>
  <c r="BQ8" i="47"/>
  <c r="BP162" i="47"/>
  <c r="BP156" i="47"/>
  <c r="BQ150" i="47"/>
  <c r="CB126" i="47"/>
  <c r="BX126" i="47"/>
  <c r="BY126" i="47" s="1"/>
  <c r="BZ126" i="47" s="1"/>
  <c r="CA126" i="47" s="1"/>
  <c r="BT117" i="47"/>
  <c r="BU8" i="47"/>
  <c r="BL149" i="47"/>
  <c r="BL145" i="47"/>
  <c r="BL142" i="47"/>
  <c r="BT42" i="47"/>
  <c r="BS48" i="47"/>
  <c r="CB162" i="47"/>
  <c r="CB156" i="47"/>
  <c r="CG150" i="47"/>
  <c r="CC150" i="47"/>
  <c r="BU58" i="47"/>
  <c r="BT64" i="47"/>
  <c r="BA138" i="47"/>
  <c r="BA106" i="47"/>
  <c r="BE138" i="47"/>
  <c r="BE106" i="47"/>
  <c r="BS16" i="47"/>
  <c r="BT10" i="47"/>
  <c r="CG58" i="47"/>
  <c r="CC58" i="47"/>
  <c r="CB64" i="47"/>
  <c r="CB149" i="47"/>
  <c r="CB145" i="47"/>
  <c r="CB142" i="47"/>
  <c r="CC141" i="47"/>
  <c r="CG141" i="47"/>
  <c r="BG16" i="47"/>
  <c r="BY32" i="47"/>
  <c r="BZ26" i="47"/>
  <c r="BL117" i="47"/>
  <c r="BS101" i="47"/>
  <c r="BS100" i="47"/>
  <c r="BS94" i="47"/>
  <c r="BS99" i="47"/>
  <c r="BS102" i="47"/>
  <c r="BS95" i="47"/>
  <c r="BT90" i="47"/>
  <c r="BP149" i="47"/>
  <c r="BP145" i="47"/>
  <c r="BQ141" i="47"/>
  <c r="BP142" i="47"/>
  <c r="CG80" i="47"/>
  <c r="CL74" i="47"/>
  <c r="CH74" i="47"/>
  <c r="BK102" i="47"/>
  <c r="BK101" i="47"/>
  <c r="BK100" i="47"/>
  <c r="BK94" i="47"/>
  <c r="BK99" i="47"/>
  <c r="BK95" i="47"/>
  <c r="BL90" i="47"/>
  <c r="BW116" i="47"/>
  <c r="BW118" i="47" s="1"/>
  <c r="BX110" i="47"/>
  <c r="CB110" i="47"/>
  <c r="D67" i="41"/>
  <c r="E85" i="5"/>
  <c r="F85" i="5"/>
  <c r="G85" i="5"/>
  <c r="D86" i="5"/>
  <c r="D87" i="5"/>
  <c r="C22" i="40"/>
  <c r="C28" i="40"/>
  <c r="C30" i="41"/>
  <c r="D88" i="5"/>
  <c r="C22" i="41"/>
  <c r="C21" i="5"/>
  <c r="I85" i="5"/>
  <c r="H85" i="5"/>
  <c r="D53" i="5"/>
  <c r="D52" i="5"/>
  <c r="H53" i="5"/>
  <c r="H38" i="5"/>
  <c r="D38" i="5"/>
  <c r="D37" i="5"/>
  <c r="H29" i="5"/>
  <c r="D29" i="5"/>
  <c r="C32" i="5"/>
  <c r="C43" i="5"/>
  <c r="BX151" i="47"/>
  <c r="CG28" i="47"/>
  <c r="BP28" i="47"/>
  <c r="BG107" i="47"/>
  <c r="BK107" i="47"/>
  <c r="BS13" i="47"/>
  <c r="CG29" i="47"/>
  <c r="BK43" i="47"/>
  <c r="BG45" i="47"/>
  <c r="CG77" i="47"/>
  <c r="BP153" i="47"/>
  <c r="BW13" i="47"/>
  <c r="BY28" i="47"/>
  <c r="BL28" i="47"/>
  <c r="BG13" i="47"/>
  <c r="BG11" i="47"/>
  <c r="BP76" i="47"/>
  <c r="BW107" i="47"/>
  <c r="BW111" i="47"/>
  <c r="BL29" i="47"/>
  <c r="BU75" i="47"/>
  <c r="BU77" i="47"/>
  <c r="BL60" i="47"/>
  <c r="CB152" i="47"/>
  <c r="BK112" i="47"/>
  <c r="BW112" i="47"/>
  <c r="BT60" i="47"/>
  <c r="CG27" i="47"/>
  <c r="BG113" i="47"/>
  <c r="BX153" i="47"/>
  <c r="BK12" i="47"/>
  <c r="BG44" i="47"/>
  <c r="BX60" i="47"/>
  <c r="BO112" i="47"/>
  <c r="BL152" i="47"/>
  <c r="BO45" i="47"/>
  <c r="BS44" i="47"/>
  <c r="BL76" i="47"/>
  <c r="BP152" i="47"/>
  <c r="CC27" i="47"/>
  <c r="BG12" i="47"/>
  <c r="BW12" i="47"/>
  <c r="BL153" i="47"/>
  <c r="CB151" i="47"/>
  <c r="BW113" i="47"/>
  <c r="BT151" i="47"/>
  <c r="BO12" i="47"/>
  <c r="CC75" i="47"/>
  <c r="CC28" i="47"/>
  <c r="CB61" i="47"/>
  <c r="CB77" i="47"/>
  <c r="BX75" i="47"/>
  <c r="BY27" i="47"/>
  <c r="BL59" i="47"/>
  <c r="CG76" i="47"/>
  <c r="BO43" i="47"/>
  <c r="BX59" i="47"/>
  <c r="BP75" i="47"/>
  <c r="BK11" i="47"/>
  <c r="BG111" i="47"/>
  <c r="BO113" i="47"/>
  <c r="BX28" i="47"/>
  <c r="BS111" i="47"/>
  <c r="BG112" i="47"/>
  <c r="CB153" i="47"/>
  <c r="BO11" i="47"/>
  <c r="BW11" i="47"/>
  <c r="BT59" i="47"/>
  <c r="BK111" i="47"/>
  <c r="CB60" i="47"/>
  <c r="BL151" i="47"/>
  <c r="CC29" i="47"/>
  <c r="BP151" i="47"/>
  <c r="BQ77" i="47"/>
  <c r="BX152" i="47"/>
  <c r="BP59" i="47"/>
  <c r="BS45" i="47"/>
  <c r="BS113" i="47"/>
  <c r="BW43" i="47"/>
  <c r="BX61" i="47"/>
  <c r="BT153" i="47"/>
  <c r="BO13" i="47"/>
  <c r="BK44" i="47"/>
  <c r="BS112" i="47"/>
  <c r="BL61" i="47"/>
  <c r="BG43" i="47"/>
  <c r="BW44" i="47"/>
  <c r="BK45" i="47"/>
  <c r="BP60" i="47"/>
  <c r="BL75" i="47"/>
  <c r="BS43" i="47"/>
  <c r="BS107" i="47"/>
  <c r="BW45" i="47"/>
  <c r="BS12" i="47"/>
  <c r="CG75" i="47"/>
  <c r="BT152" i="47"/>
  <c r="BT27" i="47"/>
  <c r="BO107" i="47"/>
  <c r="CC77" i="47"/>
  <c r="CB59" i="47"/>
  <c r="BT28" i="47"/>
  <c r="BY29" i="47"/>
  <c r="BO111" i="47"/>
  <c r="BP61" i="47"/>
  <c r="BT61" i="47"/>
  <c r="BS11" i="47"/>
  <c r="BO44" i="47"/>
  <c r="BK113" i="47"/>
  <c r="BK13" i="47"/>
  <c r="V143" i="47" l="1"/>
  <c r="U144" i="47"/>
  <c r="CC78" i="47"/>
  <c r="BU78" i="47"/>
  <c r="BW119" i="47"/>
  <c r="CG78" i="47"/>
  <c r="BY30" i="47"/>
  <c r="BK132" i="47"/>
  <c r="BK114" i="47"/>
  <c r="BW14" i="47"/>
  <c r="BP62" i="47"/>
  <c r="BK46" i="47"/>
  <c r="BG104" i="47"/>
  <c r="BS119" i="47"/>
  <c r="BL30" i="47"/>
  <c r="BQ78" i="47"/>
  <c r="BS105" i="47"/>
  <c r="BT154" i="47"/>
  <c r="BO104" i="47"/>
  <c r="BW105" i="47"/>
  <c r="BK104" i="47"/>
  <c r="BS132" i="47"/>
  <c r="BS114" i="47"/>
  <c r="CC30" i="47"/>
  <c r="BL154" i="47"/>
  <c r="CB62" i="47"/>
  <c r="BG119" i="47"/>
  <c r="BO46" i="47"/>
  <c r="BG105" i="47"/>
  <c r="BX154" i="47"/>
  <c r="CB78" i="47"/>
  <c r="BG14" i="47"/>
  <c r="CB154" i="47"/>
  <c r="BG132" i="47"/>
  <c r="BG114" i="47"/>
  <c r="BH132" i="47"/>
  <c r="CG30" i="47"/>
  <c r="BO14" i="47"/>
  <c r="BK14" i="47"/>
  <c r="BK119" i="47"/>
  <c r="BG46" i="47"/>
  <c r="BW114" i="47"/>
  <c r="BS14" i="47"/>
  <c r="BP154" i="47"/>
  <c r="BL62" i="47"/>
  <c r="BK105" i="47"/>
  <c r="BT62" i="47"/>
  <c r="BS104" i="47"/>
  <c r="BO119" i="47"/>
  <c r="BX62" i="47"/>
  <c r="BO105" i="47"/>
  <c r="BW46" i="47"/>
  <c r="BS46" i="47"/>
  <c r="BO132" i="47"/>
  <c r="BO114" i="47"/>
  <c r="BW104" i="47"/>
  <c r="CD58" i="47"/>
  <c r="CC64" i="47"/>
  <c r="BT48" i="47"/>
  <c r="BU42" i="47"/>
  <c r="CC126" i="47"/>
  <c r="CD126" i="47" s="1"/>
  <c r="CE126" i="47" s="1"/>
  <c r="CF126" i="47" s="1"/>
  <c r="CG126" i="47"/>
  <c r="BZ58" i="47"/>
  <c r="BY64" i="47"/>
  <c r="BY42" i="47"/>
  <c r="BX48" i="47"/>
  <c r="CL103" i="47"/>
  <c r="CH103" i="47"/>
  <c r="CI103" i="47" s="1"/>
  <c r="CJ103" i="47" s="1"/>
  <c r="CK103" i="47" s="1"/>
  <c r="BV80" i="47"/>
  <c r="BB138" i="47"/>
  <c r="BB106" i="47"/>
  <c r="BC138" i="47"/>
  <c r="CD80" i="47"/>
  <c r="CE74" i="47"/>
  <c r="BX102" i="47"/>
  <c r="BX99" i="47"/>
  <c r="BX95" i="47"/>
  <c r="BX101" i="47"/>
  <c r="BX100" i="47"/>
  <c r="BY90" i="47"/>
  <c r="BX94" i="47"/>
  <c r="BU149" i="47"/>
  <c r="BU145" i="47"/>
  <c r="BU142" i="47"/>
  <c r="BV141" i="47"/>
  <c r="CD32" i="47"/>
  <c r="CE26" i="47"/>
  <c r="CL32" i="47"/>
  <c r="J30" i="47"/>
  <c r="E30" i="47"/>
  <c r="BW31" i="47"/>
  <c r="AT31" i="47"/>
  <c r="K30" i="47"/>
  <c r="BP31" i="47"/>
  <c r="G31" i="47"/>
  <c r="BA31" i="47"/>
  <c r="AR31" i="47"/>
  <c r="AO31" i="47"/>
  <c r="R31" i="47"/>
  <c r="AY31" i="47"/>
  <c r="AD31" i="47"/>
  <c r="K31" i="47"/>
  <c r="M31" i="47"/>
  <c r="BT31" i="47"/>
  <c r="BQ31" i="47"/>
  <c r="O30" i="47"/>
  <c r="CA31" i="47"/>
  <c r="AE31" i="47"/>
  <c r="BV31" i="47"/>
  <c r="BJ31" i="47"/>
  <c r="P31" i="47"/>
  <c r="X31" i="47"/>
  <c r="AW31" i="47"/>
  <c r="CG31" i="47"/>
  <c r="BB31" i="47"/>
  <c r="AH31" i="47"/>
  <c r="BM31" i="47"/>
  <c r="BY31" i="47"/>
  <c r="U31" i="47"/>
  <c r="BR31" i="47"/>
  <c r="J31" i="47"/>
  <c r="BF31" i="47"/>
  <c r="CH31" i="47"/>
  <c r="CC31" i="47"/>
  <c r="CE31" i="47"/>
  <c r="CJ31" i="47"/>
  <c r="BE31" i="47"/>
  <c r="AF31" i="47"/>
  <c r="CI31" i="47"/>
  <c r="I31" i="47"/>
  <c r="AK31" i="47"/>
  <c r="H31" i="47"/>
  <c r="AG31" i="47"/>
  <c r="AN31" i="47"/>
  <c r="E31" i="47"/>
  <c r="BS31" i="47"/>
  <c r="L30" i="47"/>
  <c r="F30" i="47"/>
  <c r="L31" i="47"/>
  <c r="AS31" i="47"/>
  <c r="BU31" i="47"/>
  <c r="O31" i="47"/>
  <c r="F31" i="47"/>
  <c r="CD31" i="47"/>
  <c r="BD31" i="47"/>
  <c r="BL31" i="47"/>
  <c r="G30" i="47"/>
  <c r="BN31" i="47"/>
  <c r="AB31" i="47"/>
  <c r="V31" i="47"/>
  <c r="AX31" i="47"/>
  <c r="AP31" i="47"/>
  <c r="BI31" i="47"/>
  <c r="CB31" i="47"/>
  <c r="BO31" i="47"/>
  <c r="AZ31" i="47"/>
  <c r="Q31" i="47"/>
  <c r="BC31" i="47"/>
  <c r="AM31" i="47"/>
  <c r="AJ31" i="47"/>
  <c r="AL31" i="47"/>
  <c r="AA31" i="47"/>
  <c r="BV32" i="47"/>
  <c r="BY162" i="47"/>
  <c r="BY156" i="47"/>
  <c r="BZ150" i="47"/>
  <c r="CB116" i="47"/>
  <c r="CB118" i="47" s="1"/>
  <c r="CG110" i="47"/>
  <c r="CC110" i="47"/>
  <c r="BX116" i="47"/>
  <c r="BX118" i="47" s="1"/>
  <c r="BY110" i="47"/>
  <c r="BQ117" i="47"/>
  <c r="CB102" i="47"/>
  <c r="CB101" i="47"/>
  <c r="CB100" i="47"/>
  <c r="CB94" i="47"/>
  <c r="CB99" i="47"/>
  <c r="CB95" i="47"/>
  <c r="CG90" i="47"/>
  <c r="CC90" i="47"/>
  <c r="BY117" i="47"/>
  <c r="BZ8" i="47"/>
  <c r="CB48" i="47"/>
  <c r="CG42" i="47"/>
  <c r="CC42" i="47"/>
  <c r="BP16" i="47"/>
  <c r="BQ10" i="47"/>
  <c r="BP116" i="47"/>
  <c r="BP118" i="47" s="1"/>
  <c r="BQ110" i="47"/>
  <c r="S134" i="47"/>
  <c r="S135" i="47" s="1"/>
  <c r="S136" i="47" s="1"/>
  <c r="T133" i="47"/>
  <c r="BT102" i="47"/>
  <c r="BT101" i="47"/>
  <c r="BT100" i="47"/>
  <c r="BT94" i="47"/>
  <c r="BT99" i="47"/>
  <c r="BT95" i="47"/>
  <c r="BU90" i="47"/>
  <c r="CH58" i="47"/>
  <c r="CG64" i="47"/>
  <c r="CL58" i="47"/>
  <c r="BV58" i="47"/>
  <c r="BU64" i="47"/>
  <c r="BQ156" i="47"/>
  <c r="BQ162" i="47"/>
  <c r="CL131" i="47"/>
  <c r="CH131" i="47"/>
  <c r="CI131" i="47" s="1"/>
  <c r="CJ131" i="47" s="1"/>
  <c r="CK131" i="47" s="1"/>
  <c r="BZ80" i="47"/>
  <c r="CA74" i="47"/>
  <c r="BQ64" i="47"/>
  <c r="BL48" i="47"/>
  <c r="BR106" i="47"/>
  <c r="BN138" i="47"/>
  <c r="BN106" i="47"/>
  <c r="CL80" i="47"/>
  <c r="AY79" i="47"/>
  <c r="K78" i="47"/>
  <c r="CF79" i="47"/>
  <c r="BV79" i="47"/>
  <c r="I79" i="47"/>
  <c r="BN79" i="47"/>
  <c r="AL79" i="47"/>
  <c r="BC79" i="47"/>
  <c r="CE79" i="47"/>
  <c r="F79" i="47"/>
  <c r="AT79" i="47"/>
  <c r="BI79" i="47"/>
  <c r="BS79" i="47"/>
  <c r="N79" i="47"/>
  <c r="BM79" i="47"/>
  <c r="AA79" i="47"/>
  <c r="AK79" i="47"/>
  <c r="J78" i="47"/>
  <c r="CI79" i="47"/>
  <c r="X79" i="47"/>
  <c r="BZ79" i="47"/>
  <c r="M78" i="47"/>
  <c r="S79" i="47"/>
  <c r="AX79" i="47"/>
  <c r="BR79" i="47"/>
  <c r="AV79" i="47"/>
  <c r="O79" i="47"/>
  <c r="AU79" i="47"/>
  <c r="AG79" i="47"/>
  <c r="CK79" i="47"/>
  <c r="CA79" i="47"/>
  <c r="Y79" i="47"/>
  <c r="G79" i="47"/>
  <c r="L79" i="47"/>
  <c r="K79" i="47"/>
  <c r="U79" i="47"/>
  <c r="AC79" i="47"/>
  <c r="CH79" i="47"/>
  <c r="BX79" i="47"/>
  <c r="AE79" i="47"/>
  <c r="AO79" i="47"/>
  <c r="BU79" i="47"/>
  <c r="BQ79" i="47"/>
  <c r="AF79" i="47"/>
  <c r="BH79" i="47"/>
  <c r="F78" i="47"/>
  <c r="M79" i="47"/>
  <c r="N78" i="47"/>
  <c r="R79" i="47"/>
  <c r="W79" i="47"/>
  <c r="CJ79" i="47"/>
  <c r="CC79" i="47"/>
  <c r="AH79" i="47"/>
  <c r="BK79" i="47"/>
  <c r="AM79" i="47"/>
  <c r="L78" i="47"/>
  <c r="E78" i="47"/>
  <c r="E79" i="47"/>
  <c r="BT79" i="47"/>
  <c r="CL79" i="47"/>
  <c r="T79" i="47"/>
  <c r="BL79" i="47"/>
  <c r="CB79" i="47"/>
  <c r="AZ79" i="47"/>
  <c r="BE79" i="47"/>
  <c r="Z79" i="47"/>
  <c r="BO79" i="47"/>
  <c r="BD79" i="47"/>
  <c r="AP79" i="47"/>
  <c r="BB79" i="47"/>
  <c r="AR79" i="47"/>
  <c r="P79" i="47"/>
  <c r="BY79" i="47"/>
  <c r="J79" i="47"/>
  <c r="AQ79" i="47"/>
  <c r="AW79" i="47"/>
  <c r="BG79" i="47"/>
  <c r="AB79" i="47"/>
  <c r="H79" i="47"/>
  <c r="BA79" i="47"/>
  <c r="H78" i="47"/>
  <c r="AD79" i="47"/>
  <c r="BP79" i="47"/>
  <c r="CD79" i="47"/>
  <c r="AS79" i="47"/>
  <c r="AN79" i="47"/>
  <c r="V79" i="47"/>
  <c r="BF79" i="47"/>
  <c r="BW79" i="47"/>
  <c r="Q79" i="47"/>
  <c r="G78" i="47"/>
  <c r="O78" i="47"/>
  <c r="AJ79" i="47"/>
  <c r="BQ149" i="47"/>
  <c r="BQ145" i="47"/>
  <c r="BQ142" i="47"/>
  <c r="BZ32" i="47"/>
  <c r="CA26" i="47"/>
  <c r="BL116" i="47"/>
  <c r="BL118" i="47" s="1"/>
  <c r="CB16" i="47"/>
  <c r="CG10" i="47"/>
  <c r="CC10" i="47"/>
  <c r="BQ42" i="47"/>
  <c r="BP48" i="47"/>
  <c r="CC117" i="47"/>
  <c r="CD8" i="47"/>
  <c r="BP102" i="47"/>
  <c r="BP99" i="47"/>
  <c r="BP95" i="47"/>
  <c r="BP101" i="47"/>
  <c r="BP94" i="47"/>
  <c r="BQ90" i="47"/>
  <c r="BP100" i="47"/>
  <c r="BL16" i="47"/>
  <c r="BF138" i="47"/>
  <c r="BF106" i="47"/>
  <c r="CG156" i="47"/>
  <c r="CL150" i="47"/>
  <c r="CG162" i="47"/>
  <c r="CH150" i="47"/>
  <c r="BX16" i="47"/>
  <c r="BY10" i="47"/>
  <c r="BL102" i="47"/>
  <c r="BL101" i="47"/>
  <c r="BL100" i="47"/>
  <c r="BL94" i="47"/>
  <c r="BL99" i="47"/>
  <c r="BL95" i="47"/>
  <c r="CH80" i="47"/>
  <c r="CI74" i="47"/>
  <c r="CG149" i="47"/>
  <c r="CG145" i="47"/>
  <c r="CL141" i="47"/>
  <c r="CG142" i="47"/>
  <c r="CH141" i="47"/>
  <c r="BT16" i="47"/>
  <c r="BU10" i="47"/>
  <c r="BU117" i="47"/>
  <c r="BV8" i="47"/>
  <c r="BU162" i="47"/>
  <c r="BU156" i="47"/>
  <c r="BV150" i="47"/>
  <c r="CG117" i="47"/>
  <c r="CL8" i="47"/>
  <c r="CH8" i="47"/>
  <c r="BT116" i="47"/>
  <c r="BT118" i="47" s="1"/>
  <c r="BU110" i="47"/>
  <c r="BY149" i="47"/>
  <c r="BY145" i="47"/>
  <c r="BY142" i="47"/>
  <c r="BZ141" i="47"/>
  <c r="CC149" i="47"/>
  <c r="CC145" i="47"/>
  <c r="CC142" i="47"/>
  <c r="CD141" i="47"/>
  <c r="CC162" i="47"/>
  <c r="CC156" i="47"/>
  <c r="CD150" i="47"/>
  <c r="CH32" i="47"/>
  <c r="CI26" i="47"/>
  <c r="BJ138" i="47"/>
  <c r="BJ106" i="47"/>
  <c r="B13" i="25"/>
  <c r="B14" i="25"/>
  <c r="BH23" i="25"/>
  <c r="AX23" i="25"/>
  <c r="AN23" i="25"/>
  <c r="AD23" i="25"/>
  <c r="Z23" i="25"/>
  <c r="Y23" i="25"/>
  <c r="X23" i="25"/>
  <c r="W23" i="25"/>
  <c r="T23" i="25"/>
  <c r="I23" i="25"/>
  <c r="BH28" i="25"/>
  <c r="BG28" i="25"/>
  <c r="AZ28" i="25"/>
  <c r="AY28" i="25"/>
  <c r="AX28" i="25"/>
  <c r="AN28" i="25"/>
  <c r="AM28" i="25"/>
  <c r="AL28" i="25"/>
  <c r="AK28" i="25"/>
  <c r="AJ28" i="25"/>
  <c r="AI28" i="25"/>
  <c r="AF28" i="25"/>
  <c r="AE28" i="25"/>
  <c r="AD28" i="25"/>
  <c r="AC28" i="25"/>
  <c r="AB28" i="25"/>
  <c r="AA28" i="25"/>
  <c r="X28" i="25"/>
  <c r="W28" i="25"/>
  <c r="V28" i="25"/>
  <c r="U28" i="25"/>
  <c r="T28" i="25"/>
  <c r="S28" i="25"/>
  <c r="N28" i="25"/>
  <c r="M28" i="25"/>
  <c r="L28" i="25"/>
  <c r="K28" i="25"/>
  <c r="I28" i="25"/>
  <c r="BH7" i="25"/>
  <c r="BD7" i="25"/>
  <c r="BC7" i="25"/>
  <c r="AX7" i="25"/>
  <c r="AN7" i="25"/>
  <c r="AM7" i="25"/>
  <c r="AH7" i="25"/>
  <c r="AG7" i="25"/>
  <c r="AF7" i="25"/>
  <c r="AE7" i="25"/>
  <c r="AD7" i="25"/>
  <c r="Z7" i="25"/>
  <c r="Y7" i="25"/>
  <c r="X7" i="25"/>
  <c r="W7" i="25"/>
  <c r="T7" i="25"/>
  <c r="BH6" i="25"/>
  <c r="BF6" i="25"/>
  <c r="BE6" i="25"/>
  <c r="AX6" i="25"/>
  <c r="AW6" i="25"/>
  <c r="AO6" i="25"/>
  <c r="AN6" i="25"/>
  <c r="AD6" i="25"/>
  <c r="T6" i="25"/>
  <c r="BH5" i="25"/>
  <c r="AX5" i="25"/>
  <c r="AU5" i="25"/>
  <c r="AT5" i="25"/>
  <c r="AS5" i="25"/>
  <c r="AR5" i="25"/>
  <c r="AO5" i="25"/>
  <c r="AN5" i="25"/>
  <c r="AM5" i="25"/>
  <c r="AL5" i="25"/>
  <c r="AK5" i="25"/>
  <c r="AJ5" i="25"/>
  <c r="AG5" i="25"/>
  <c r="AF5" i="25"/>
  <c r="AE5" i="25"/>
  <c r="AD5" i="25"/>
  <c r="AC5" i="25"/>
  <c r="AB5" i="25"/>
  <c r="W5" i="25"/>
  <c r="V5" i="25"/>
  <c r="U5" i="25"/>
  <c r="T5" i="25"/>
  <c r="N5" i="25"/>
  <c r="M5" i="25"/>
  <c r="L5" i="25"/>
  <c r="I7" i="25"/>
  <c r="I6" i="25"/>
  <c r="I5" i="25"/>
  <c r="AR13" i="42"/>
  <c r="AS13" i="42" s="1"/>
  <c r="AT13" i="42" s="1"/>
  <c r="AU13" i="42" s="1"/>
  <c r="AV13" i="42" s="1"/>
  <c r="AW13" i="42" s="1"/>
  <c r="AX13" i="42" s="1"/>
  <c r="AY13" i="42" s="1"/>
  <c r="AZ13" i="42" s="1"/>
  <c r="AH13" i="42"/>
  <c r="AI13" i="42" s="1"/>
  <c r="X13" i="42"/>
  <c r="Y13" i="42" s="1"/>
  <c r="Z13" i="42" s="1"/>
  <c r="AA13" i="42" s="1"/>
  <c r="AB13" i="42" s="1"/>
  <c r="AC13" i="42" s="1"/>
  <c r="AD13" i="42" s="1"/>
  <c r="AE13" i="42" s="1"/>
  <c r="AF13" i="42" s="1"/>
  <c r="N13" i="42"/>
  <c r="O13" i="42" s="1"/>
  <c r="P13" i="42" s="1"/>
  <c r="Q13" i="42" s="1"/>
  <c r="R13" i="42" s="1"/>
  <c r="S13" i="42" s="1"/>
  <c r="T13" i="42" s="1"/>
  <c r="U13" i="42" s="1"/>
  <c r="V13" i="42" s="1"/>
  <c r="C13" i="42"/>
  <c r="D13" i="42" s="1"/>
  <c r="E13" i="42" s="1"/>
  <c r="F13" i="42" s="1"/>
  <c r="G13" i="42" s="1"/>
  <c r="H13" i="42" s="1"/>
  <c r="I13" i="42" s="1"/>
  <c r="J13" i="42" s="1"/>
  <c r="K13" i="42" s="1"/>
  <c r="L13" i="42" s="1"/>
  <c r="AR12" i="42"/>
  <c r="AY23" i="25" s="1"/>
  <c r="AH12" i="42"/>
  <c r="AI12" i="42" s="1"/>
  <c r="AJ12" i="42" s="1"/>
  <c r="AK12" i="42" s="1"/>
  <c r="AL12" i="42" s="1"/>
  <c r="AM12" i="42" s="1"/>
  <c r="AN12" i="42" s="1"/>
  <c r="AO12" i="42" s="1"/>
  <c r="AP12" i="42" s="1"/>
  <c r="AW23" i="25" s="1"/>
  <c r="X12" i="42"/>
  <c r="Y12" i="42" s="1"/>
  <c r="Z12" i="42" s="1"/>
  <c r="AA12" i="42" s="1"/>
  <c r="AB12" i="42" s="1"/>
  <c r="AC12" i="42" s="1"/>
  <c r="AD12" i="42" s="1"/>
  <c r="AE12" i="42" s="1"/>
  <c r="AF12" i="42" s="1"/>
  <c r="AM23" i="25" s="1"/>
  <c r="N12" i="42"/>
  <c r="O12" i="42" s="1"/>
  <c r="P12" i="42" s="1"/>
  <c r="Q12" i="42" s="1"/>
  <c r="R12" i="42" s="1"/>
  <c r="S12" i="42" s="1"/>
  <c r="T12" i="42" s="1"/>
  <c r="U12" i="42" s="1"/>
  <c r="V12" i="42" s="1"/>
  <c r="AC23" i="25" s="1"/>
  <c r="C12" i="42"/>
  <c r="J23" i="25" s="1"/>
  <c r="AR9" i="42"/>
  <c r="AS9" i="42" s="1"/>
  <c r="AT9" i="42" s="1"/>
  <c r="AU9" i="42" s="1"/>
  <c r="AV9" i="42" s="1"/>
  <c r="AW9" i="42" s="1"/>
  <c r="AX9" i="42" s="1"/>
  <c r="AY9" i="42" s="1"/>
  <c r="AZ9" i="42" s="1"/>
  <c r="BG6" i="25" s="1"/>
  <c r="AH9" i="42"/>
  <c r="AI9" i="42" s="1"/>
  <c r="AJ9" i="42" s="1"/>
  <c r="AK9" i="42" s="1"/>
  <c r="AL9" i="42" s="1"/>
  <c r="AM9" i="42" s="1"/>
  <c r="AN9" i="42" s="1"/>
  <c r="AO9" i="42" s="1"/>
  <c r="AP9" i="42" s="1"/>
  <c r="Y9" i="42"/>
  <c r="Z9" i="42" s="1"/>
  <c r="AA9" i="42" s="1"/>
  <c r="AB9" i="42" s="1"/>
  <c r="AC9" i="42" s="1"/>
  <c r="AD9" i="42" s="1"/>
  <c r="AE9" i="42" s="1"/>
  <c r="AF9" i="42" s="1"/>
  <c r="AM6" i="25" s="1"/>
  <c r="X9" i="42"/>
  <c r="AE6" i="25" s="1"/>
  <c r="N9" i="42"/>
  <c r="U6" i="25" s="1"/>
  <c r="C9" i="42"/>
  <c r="J6" i="25" s="1"/>
  <c r="AR8" i="42"/>
  <c r="AS8" i="42" s="1"/>
  <c r="AT8" i="42" s="1"/>
  <c r="AU8" i="42" s="1"/>
  <c r="AV8" i="42" s="1"/>
  <c r="AW8" i="42" s="1"/>
  <c r="AX8" i="42" s="1"/>
  <c r="AY8" i="42" s="1"/>
  <c r="AZ8" i="42" s="1"/>
  <c r="BG5" i="25" s="1"/>
  <c r="AH8" i="42"/>
  <c r="AI8" i="42" s="1"/>
  <c r="AJ8" i="42" s="1"/>
  <c r="AK8" i="42" s="1"/>
  <c r="AL8" i="42" s="1"/>
  <c r="AM8" i="42" s="1"/>
  <c r="AN8" i="42" s="1"/>
  <c r="AO8" i="42" s="1"/>
  <c r="AP8" i="42" s="1"/>
  <c r="AW5" i="25" s="1"/>
  <c r="X8" i="42"/>
  <c r="Y8" i="42" s="1"/>
  <c r="Z8" i="42" s="1"/>
  <c r="AA8" i="42" s="1"/>
  <c r="AB8" i="42" s="1"/>
  <c r="AC8" i="42" s="1"/>
  <c r="AD8" i="42" s="1"/>
  <c r="AE8" i="42" s="1"/>
  <c r="AF8" i="42" s="1"/>
  <c r="O8" i="42"/>
  <c r="P8" i="42" s="1"/>
  <c r="Q8" i="42" s="1"/>
  <c r="R8" i="42" s="1"/>
  <c r="S8" i="42" s="1"/>
  <c r="T8" i="42" s="1"/>
  <c r="U8" i="42" s="1"/>
  <c r="V8" i="42" s="1"/>
  <c r="N8" i="42"/>
  <c r="C8" i="42"/>
  <c r="D8" i="42" s="1"/>
  <c r="E8" i="42" s="1"/>
  <c r="F8" i="42" s="1"/>
  <c r="G8" i="42" s="1"/>
  <c r="H8" i="42" s="1"/>
  <c r="I8" i="42" s="1"/>
  <c r="J8" i="42" s="1"/>
  <c r="K8" i="42" s="1"/>
  <c r="L8" i="42" s="1"/>
  <c r="S5" i="25" s="1"/>
  <c r="AR7" i="42"/>
  <c r="AS7" i="42" s="1"/>
  <c r="AT7" i="42" s="1"/>
  <c r="AU7" i="42" s="1"/>
  <c r="AV7" i="42" s="1"/>
  <c r="AW7" i="42" s="1"/>
  <c r="AX7" i="42" s="1"/>
  <c r="AY7" i="42" s="1"/>
  <c r="AZ7" i="42" s="1"/>
  <c r="AH7" i="42"/>
  <c r="AI7" i="42" s="1"/>
  <c r="AJ7" i="42" s="1"/>
  <c r="AK7" i="42" s="1"/>
  <c r="AL7" i="42" s="1"/>
  <c r="AM7" i="42" s="1"/>
  <c r="AN7" i="42" s="1"/>
  <c r="AO7" i="42" s="1"/>
  <c r="AP7" i="42" s="1"/>
  <c r="Z7" i="42"/>
  <c r="AA7" i="42" s="1"/>
  <c r="AB7" i="42" s="1"/>
  <c r="AC7" i="42" s="1"/>
  <c r="AD7" i="42" s="1"/>
  <c r="AE7" i="42" s="1"/>
  <c r="AF7" i="42" s="1"/>
  <c r="Y7" i="42"/>
  <c r="X7" i="42"/>
  <c r="N7" i="42"/>
  <c r="O7" i="42" s="1"/>
  <c r="P7" i="42" s="1"/>
  <c r="Q7" i="42" s="1"/>
  <c r="R7" i="42" s="1"/>
  <c r="S7" i="42" s="1"/>
  <c r="T7" i="42" s="1"/>
  <c r="U7" i="42" s="1"/>
  <c r="V7" i="42" s="1"/>
  <c r="C7" i="42"/>
  <c r="D7" i="42" s="1"/>
  <c r="E7" i="42" s="1"/>
  <c r="F7" i="42" s="1"/>
  <c r="G7" i="42" s="1"/>
  <c r="H7" i="42" s="1"/>
  <c r="I7" i="42" s="1"/>
  <c r="J7" i="42" s="1"/>
  <c r="K7" i="42" s="1"/>
  <c r="L7" i="42" s="1"/>
  <c r="AR6" i="42"/>
  <c r="AS6" i="42" s="1"/>
  <c r="AT6" i="42" s="1"/>
  <c r="AU6" i="42" s="1"/>
  <c r="AV6" i="42" s="1"/>
  <c r="AW6" i="42" s="1"/>
  <c r="AX6" i="42" s="1"/>
  <c r="AY6" i="42" s="1"/>
  <c r="AZ6" i="42" s="1"/>
  <c r="AJ6" i="42"/>
  <c r="AK6" i="42" s="1"/>
  <c r="AL6" i="42" s="1"/>
  <c r="AM6" i="42" s="1"/>
  <c r="AN6" i="42" s="1"/>
  <c r="AO6" i="42" s="1"/>
  <c r="AP6" i="42" s="1"/>
  <c r="AI6" i="42"/>
  <c r="AH6" i="42"/>
  <c r="X6" i="42"/>
  <c r="Y6" i="42" s="1"/>
  <c r="Z6" i="42" s="1"/>
  <c r="AA6" i="42" s="1"/>
  <c r="AB6" i="42" s="1"/>
  <c r="AC6" i="42" s="1"/>
  <c r="AD6" i="42" s="1"/>
  <c r="AE6" i="42" s="1"/>
  <c r="AF6" i="42" s="1"/>
  <c r="N6" i="42"/>
  <c r="O6" i="42" s="1"/>
  <c r="P6" i="42" s="1"/>
  <c r="Q6" i="42" s="1"/>
  <c r="R6" i="42" s="1"/>
  <c r="S6" i="42" s="1"/>
  <c r="T6" i="42" s="1"/>
  <c r="U6" i="42" s="1"/>
  <c r="V6" i="42" s="1"/>
  <c r="C6" i="42"/>
  <c r="D6" i="42" s="1"/>
  <c r="E6" i="42" s="1"/>
  <c r="F6" i="42" s="1"/>
  <c r="G6" i="42" s="1"/>
  <c r="H6" i="42" s="1"/>
  <c r="I6" i="42" s="1"/>
  <c r="J6" i="42" s="1"/>
  <c r="K6" i="42" s="1"/>
  <c r="L6" i="42" s="1"/>
  <c r="AR5" i="42"/>
  <c r="AS5" i="42" s="1"/>
  <c r="AT5" i="42" s="1"/>
  <c r="AU5" i="42" s="1"/>
  <c r="AV5" i="42" s="1"/>
  <c r="AW5" i="42" s="1"/>
  <c r="AX5" i="42" s="1"/>
  <c r="AY5" i="42" s="1"/>
  <c r="AZ5" i="42" s="1"/>
  <c r="BG7" i="25" s="1"/>
  <c r="AH5" i="42"/>
  <c r="AO7" i="25" s="1"/>
  <c r="X5" i="42"/>
  <c r="Y5" i="42" s="1"/>
  <c r="Z5" i="42" s="1"/>
  <c r="AA5" i="42" s="1"/>
  <c r="AB5" i="42" s="1"/>
  <c r="AC5" i="42" s="1"/>
  <c r="AD5" i="42" s="1"/>
  <c r="AE5" i="42" s="1"/>
  <c r="AF5" i="42" s="1"/>
  <c r="N5" i="42"/>
  <c r="O5" i="42" s="1"/>
  <c r="P5" i="42" s="1"/>
  <c r="Q5" i="42" s="1"/>
  <c r="R5" i="42" s="1"/>
  <c r="S5" i="42" s="1"/>
  <c r="T5" i="42" s="1"/>
  <c r="U5" i="42" s="1"/>
  <c r="V5" i="42" s="1"/>
  <c r="AC7" i="25" s="1"/>
  <c r="C5" i="42"/>
  <c r="D5" i="42" s="1"/>
  <c r="AR3" i="42"/>
  <c r="AS3" i="42" s="1"/>
  <c r="AT3" i="42" s="1"/>
  <c r="AU3" i="42" s="1"/>
  <c r="AV3" i="42" s="1"/>
  <c r="AW3" i="42" s="1"/>
  <c r="AX3" i="42" s="1"/>
  <c r="AY3" i="42" s="1"/>
  <c r="AZ3" i="42" s="1"/>
  <c r="AH3" i="42"/>
  <c r="AI3" i="42" s="1"/>
  <c r="AJ3" i="42" s="1"/>
  <c r="AK3" i="42" s="1"/>
  <c r="AL3" i="42" s="1"/>
  <c r="AM3" i="42" s="1"/>
  <c r="AN3" i="42" s="1"/>
  <c r="AO3" i="42" s="1"/>
  <c r="AP3" i="42" s="1"/>
  <c r="X3" i="42"/>
  <c r="Y3" i="42" s="1"/>
  <c r="Z3" i="42" s="1"/>
  <c r="AA3" i="42" s="1"/>
  <c r="AB3" i="42" s="1"/>
  <c r="AC3" i="42" s="1"/>
  <c r="AD3" i="42" s="1"/>
  <c r="AE3" i="42" s="1"/>
  <c r="AF3" i="42" s="1"/>
  <c r="N3" i="42"/>
  <c r="O3" i="42" s="1"/>
  <c r="P3" i="42" s="1"/>
  <c r="Q3" i="42" s="1"/>
  <c r="R3" i="42" s="1"/>
  <c r="S3" i="42" s="1"/>
  <c r="T3" i="42" s="1"/>
  <c r="U3" i="42" s="1"/>
  <c r="V3" i="42" s="1"/>
  <c r="C3" i="42"/>
  <c r="D3" i="42" s="1"/>
  <c r="E3" i="42" s="1"/>
  <c r="F3" i="42" s="1"/>
  <c r="G3" i="42" s="1"/>
  <c r="H3" i="42" s="1"/>
  <c r="I3" i="42" s="1"/>
  <c r="J3" i="42" s="1"/>
  <c r="K3" i="42" s="1"/>
  <c r="L3" i="42" s="1"/>
  <c r="BQ59" i="47"/>
  <c r="BV76" i="47"/>
  <c r="BQ61" i="47"/>
  <c r="BZ75" i="47"/>
  <c r="BX43" i="47"/>
  <c r="CB43" i="47"/>
  <c r="CC151" i="47"/>
  <c r="BP13" i="47"/>
  <c r="BQ152" i="47"/>
  <c r="CB45" i="47"/>
  <c r="BU152" i="47"/>
  <c r="BT112" i="47"/>
  <c r="BZ28" i="47"/>
  <c r="BL45" i="47"/>
  <c r="BP45" i="47"/>
  <c r="BU76" i="47"/>
  <c r="BP112" i="47"/>
  <c r="BU60" i="47"/>
  <c r="CC153" i="47"/>
  <c r="BY59" i="47"/>
  <c r="BQ60" i="47"/>
  <c r="BL13" i="47"/>
  <c r="CB111" i="47"/>
  <c r="BQ29" i="47"/>
  <c r="BX112" i="47"/>
  <c r="BQ153" i="47"/>
  <c r="BT111" i="47"/>
  <c r="CG59" i="47"/>
  <c r="BP111" i="47"/>
  <c r="BP12" i="47"/>
  <c r="BT11" i="47"/>
  <c r="CG61" i="47"/>
  <c r="BZ77" i="47"/>
  <c r="CG60" i="47"/>
  <c r="CB12" i="47"/>
  <c r="BQ27" i="47"/>
  <c r="BY61" i="47"/>
  <c r="BL11" i="47"/>
  <c r="BQ76" i="47"/>
  <c r="BT12" i="47"/>
  <c r="BU27" i="47"/>
  <c r="BP11" i="47"/>
  <c r="CH76" i="47"/>
  <c r="CC152" i="47"/>
  <c r="BT107" i="47"/>
  <c r="BL107" i="47"/>
  <c r="BT13" i="47"/>
  <c r="BT44" i="47"/>
  <c r="BQ28" i="47"/>
  <c r="CC59" i="47"/>
  <c r="BX113" i="47"/>
  <c r="CG153" i="47"/>
  <c r="BX111" i="47"/>
  <c r="CC76" i="47"/>
  <c r="BY75" i="47"/>
  <c r="CB11" i="47"/>
  <c r="BY77" i="47"/>
  <c r="BY151" i="47"/>
  <c r="BU28" i="47"/>
  <c r="BX12" i="47"/>
  <c r="BZ27" i="47"/>
  <c r="BU61" i="47"/>
  <c r="BX107" i="47"/>
  <c r="BL112" i="47"/>
  <c r="CB112" i="47"/>
  <c r="BL12" i="47"/>
  <c r="BT43" i="47"/>
  <c r="BU59" i="47"/>
  <c r="CB13" i="47"/>
  <c r="BL111" i="47"/>
  <c r="BX13" i="47"/>
  <c r="BY60" i="47"/>
  <c r="BQ151" i="47"/>
  <c r="CG152" i="47"/>
  <c r="BL43" i="47"/>
  <c r="BU153" i="47"/>
  <c r="BT45" i="47"/>
  <c r="CC61" i="47"/>
  <c r="CB113" i="47"/>
  <c r="BT113" i="47"/>
  <c r="BQ75" i="47"/>
  <c r="CC60" i="47"/>
  <c r="BY76" i="47"/>
  <c r="BP44" i="47"/>
  <c r="BP107" i="47"/>
  <c r="CB107" i="47"/>
  <c r="BX45" i="47"/>
  <c r="CB44" i="47"/>
  <c r="BP113" i="47"/>
  <c r="BU29" i="47"/>
  <c r="BX44" i="47"/>
  <c r="BZ76" i="47"/>
  <c r="BZ29" i="47"/>
  <c r="BL113" i="47"/>
  <c r="BU151" i="47"/>
  <c r="BY153" i="47"/>
  <c r="BP43" i="47"/>
  <c r="BL44" i="47"/>
  <c r="BX11" i="47"/>
  <c r="BY152" i="47"/>
  <c r="CG151" i="47"/>
  <c r="W143" i="47" l="1"/>
  <c r="V144" i="47"/>
  <c r="BU154" i="47"/>
  <c r="BQ30" i="47"/>
  <c r="BQ154" i="47"/>
  <c r="BU62" i="47"/>
  <c r="BU30" i="47"/>
  <c r="CG154" i="47"/>
  <c r="BP104" i="47"/>
  <c r="CG62" i="47"/>
  <c r="BY62" i="47"/>
  <c r="BY78" i="47"/>
  <c r="BL14" i="47"/>
  <c r="BL119" i="47"/>
  <c r="CB105" i="47"/>
  <c r="BX104" i="47"/>
  <c r="BT105" i="47"/>
  <c r="BX14" i="47"/>
  <c r="CB14" i="47"/>
  <c r="BL132" i="47"/>
  <c r="BL114" i="47"/>
  <c r="BM132" i="47"/>
  <c r="BQ62" i="47"/>
  <c r="BZ78" i="47"/>
  <c r="CB46" i="47"/>
  <c r="BT46" i="47"/>
  <c r="CC154" i="47"/>
  <c r="BT119" i="47"/>
  <c r="BP105" i="47"/>
  <c r="BL105" i="47"/>
  <c r="BP119" i="47"/>
  <c r="BX119" i="47"/>
  <c r="BT104" i="47"/>
  <c r="BP46" i="47"/>
  <c r="BL46" i="47"/>
  <c r="BP132" i="47"/>
  <c r="BP114" i="47"/>
  <c r="BP14" i="47"/>
  <c r="CB104" i="47"/>
  <c r="BX132" i="47"/>
  <c r="BX114" i="47"/>
  <c r="CB119" i="47"/>
  <c r="BY154" i="47"/>
  <c r="BX105" i="47"/>
  <c r="CC62" i="47"/>
  <c r="BT14" i="47"/>
  <c r="BT132" i="47"/>
  <c r="BT114" i="47"/>
  <c r="BZ30" i="47"/>
  <c r="BL104" i="47"/>
  <c r="CB114" i="47"/>
  <c r="BX46" i="47"/>
  <c r="CD117" i="47"/>
  <c r="CE8" i="47"/>
  <c r="CD162" i="47"/>
  <c r="CD156" i="47"/>
  <c r="CE150" i="47"/>
  <c r="CD149" i="47"/>
  <c r="CD145" i="47"/>
  <c r="CE141" i="47"/>
  <c r="CD142" i="47"/>
  <c r="CL117" i="47"/>
  <c r="CH149" i="47"/>
  <c r="CH145" i="47"/>
  <c r="CH142" i="47"/>
  <c r="CI141" i="47"/>
  <c r="CL162" i="47"/>
  <c r="CL156" i="47"/>
  <c r="BO155" i="47"/>
  <c r="AG155" i="47"/>
  <c r="Z155" i="47"/>
  <c r="AE155" i="47"/>
  <c r="CL155" i="47"/>
  <c r="H155" i="47"/>
  <c r="F154" i="47"/>
  <c r="CK155" i="47"/>
  <c r="G155" i="47"/>
  <c r="CB155" i="47"/>
  <c r="AV155" i="47"/>
  <c r="BE155" i="47"/>
  <c r="AL155" i="47"/>
  <c r="O155" i="47"/>
  <c r="CD155" i="47"/>
  <c r="BY155" i="47"/>
  <c r="BG155" i="47"/>
  <c r="BR155" i="47"/>
  <c r="BL155" i="47"/>
  <c r="AJ155" i="47"/>
  <c r="J155" i="47"/>
  <c r="CC155" i="47"/>
  <c r="AO155" i="47"/>
  <c r="P154" i="47"/>
  <c r="AT155" i="47"/>
  <c r="AN155" i="47"/>
  <c r="F155" i="47"/>
  <c r="BQ155" i="47"/>
  <c r="AQ155" i="47"/>
  <c r="P155" i="47"/>
  <c r="AH155" i="47"/>
  <c r="Y155" i="47"/>
  <c r="E155" i="47"/>
  <c r="CF155" i="47"/>
  <c r="CI155" i="47"/>
  <c r="AM155" i="47"/>
  <c r="AY155" i="47"/>
  <c r="BV155" i="47"/>
  <c r="BN155" i="47"/>
  <c r="O154" i="47"/>
  <c r="J154" i="47"/>
  <c r="AI155" i="47"/>
  <c r="K155" i="47"/>
  <c r="AC155" i="47"/>
  <c r="E154" i="47"/>
  <c r="BF155" i="47"/>
  <c r="BT155" i="47"/>
  <c r="G154" i="47"/>
  <c r="AW155" i="47"/>
  <c r="R155" i="47"/>
  <c r="BW155" i="47"/>
  <c r="BS155" i="47"/>
  <c r="W155" i="47"/>
  <c r="K154" i="47"/>
  <c r="BB155" i="47"/>
  <c r="BD155" i="47"/>
  <c r="M155" i="47"/>
  <c r="Q155" i="47"/>
  <c r="S154" i="47"/>
  <c r="CA80" i="47"/>
  <c r="T134" i="47"/>
  <c r="T135" i="47" s="1"/>
  <c r="T136" i="47" s="1"/>
  <c r="U133" i="47"/>
  <c r="CC116" i="47"/>
  <c r="CC118" i="47" s="1"/>
  <c r="CD110" i="47"/>
  <c r="BO138" i="47"/>
  <c r="BO106" i="47"/>
  <c r="BZ149" i="47"/>
  <c r="BZ142" i="47"/>
  <c r="BZ145" i="47"/>
  <c r="CA141" i="47"/>
  <c r="BU116" i="47"/>
  <c r="BU118" i="47" s="1"/>
  <c r="BV110" i="47"/>
  <c r="BV117" i="47"/>
  <c r="BY16" i="47"/>
  <c r="BZ10" i="47"/>
  <c r="BQ102" i="47"/>
  <c r="BQ95" i="47"/>
  <c r="BQ101" i="47"/>
  <c r="BQ100" i="47"/>
  <c r="BQ94" i="47"/>
  <c r="BQ99" i="47"/>
  <c r="CC16" i="47"/>
  <c r="CD10" i="47"/>
  <c r="CC48" i="47"/>
  <c r="CD42" i="47"/>
  <c r="BZ110" i="47"/>
  <c r="BY116" i="47"/>
  <c r="BY118" i="47" s="1"/>
  <c r="CG116" i="47"/>
  <c r="CG118" i="47" s="1"/>
  <c r="CH110" i="47"/>
  <c r="CL110" i="47"/>
  <c r="BU48" i="47"/>
  <c r="BV42" i="47"/>
  <c r="CE80" i="47"/>
  <c r="CF74" i="47"/>
  <c r="CI32" i="47"/>
  <c r="CJ26" i="47"/>
  <c r="CL149" i="47"/>
  <c r="CL145" i="47"/>
  <c r="CL142" i="47"/>
  <c r="CL64" i="47"/>
  <c r="E62" i="47"/>
  <c r="CE63" i="47"/>
  <c r="O62" i="47"/>
  <c r="H63" i="47"/>
  <c r="CL63" i="47"/>
  <c r="BE63" i="47"/>
  <c r="I63" i="47"/>
  <c r="AO63" i="47"/>
  <c r="CB63" i="47"/>
  <c r="AB63" i="47"/>
  <c r="BV63" i="47"/>
  <c r="R63" i="47"/>
  <c r="T63" i="47"/>
  <c r="AV63" i="47"/>
  <c r="AA63" i="47"/>
  <c r="Y63" i="47"/>
  <c r="CJ63" i="47"/>
  <c r="BW63" i="47"/>
  <c r="BT63" i="47"/>
  <c r="BD63" i="47"/>
  <c r="BG63" i="47"/>
  <c r="V63" i="47"/>
  <c r="AZ63" i="47"/>
  <c r="N63" i="47"/>
  <c r="S63" i="47"/>
  <c r="CC63" i="47"/>
  <c r="BB63" i="47"/>
  <c r="K62" i="47"/>
  <c r="BK63" i="47"/>
  <c r="O63" i="47"/>
  <c r="AH63" i="47"/>
  <c r="J62" i="47"/>
  <c r="BL63" i="47"/>
  <c r="AS63" i="47"/>
  <c r="BR63" i="47"/>
  <c r="AF63" i="47"/>
  <c r="BM63" i="47"/>
  <c r="AY63" i="47"/>
  <c r="M62" i="47"/>
  <c r="AU63" i="47"/>
  <c r="K63" i="47"/>
  <c r="J63" i="47"/>
  <c r="P62" i="47"/>
  <c r="AQ63" i="47"/>
  <c r="AJ63" i="47"/>
  <c r="P63" i="47"/>
  <c r="BS63" i="47"/>
  <c r="BX63" i="47"/>
  <c r="U63" i="47"/>
  <c r="Z63" i="47"/>
  <c r="L63" i="47"/>
  <c r="AI63" i="47"/>
  <c r="AM63" i="47"/>
  <c r="BY63" i="47"/>
  <c r="BJ63" i="47"/>
  <c r="AC63" i="47"/>
  <c r="L62" i="47"/>
  <c r="AL63" i="47"/>
  <c r="AT63" i="47"/>
  <c r="BQ63" i="47"/>
  <c r="BF63" i="47"/>
  <c r="AX63" i="47"/>
  <c r="BO63" i="47"/>
  <c r="BP63" i="47"/>
  <c r="F62" i="47"/>
  <c r="G63" i="47"/>
  <c r="AK63" i="47"/>
  <c r="Q63" i="47"/>
  <c r="BU63" i="47"/>
  <c r="W63" i="47"/>
  <c r="X63" i="47"/>
  <c r="CA63" i="47"/>
  <c r="AW63" i="47"/>
  <c r="AP63" i="47"/>
  <c r="AN63" i="47"/>
  <c r="G62" i="47"/>
  <c r="F63" i="47"/>
  <c r="AR63" i="47"/>
  <c r="AG63" i="47"/>
  <c r="BC63" i="47"/>
  <c r="BH63" i="47"/>
  <c r="BQ116" i="47"/>
  <c r="BQ118" i="47" s="1"/>
  <c r="BG138" i="47"/>
  <c r="BG106" i="47"/>
  <c r="BH138" i="47"/>
  <c r="CA32" i="47"/>
  <c r="BU102" i="47"/>
  <c r="BU101" i="47"/>
  <c r="BU100" i="47"/>
  <c r="BU94" i="47"/>
  <c r="BU99" i="47"/>
  <c r="BU95" i="47"/>
  <c r="BV90" i="47"/>
  <c r="BV162" i="47"/>
  <c r="BV156" i="47"/>
  <c r="BU16" i="47"/>
  <c r="BV10" i="47"/>
  <c r="CI80" i="47"/>
  <c r="CJ74" i="47"/>
  <c r="BQ48" i="47"/>
  <c r="BQ16" i="47"/>
  <c r="CE58" i="47"/>
  <c r="CD64" i="47"/>
  <c r="BW106" i="47"/>
  <c r="CG102" i="47"/>
  <c r="CG95" i="47"/>
  <c r="CG101" i="47"/>
  <c r="CG100" i="47"/>
  <c r="CG94" i="47"/>
  <c r="CH90" i="47"/>
  <c r="CG99" i="47"/>
  <c r="CL90" i="47"/>
  <c r="CL126" i="47"/>
  <c r="CH126" i="47"/>
  <c r="CI126" i="47" s="1"/>
  <c r="CJ126" i="47" s="1"/>
  <c r="CK126" i="47" s="1"/>
  <c r="CG16" i="47"/>
  <c r="CH10" i="47"/>
  <c r="CL10" i="47"/>
  <c r="CG48" i="47"/>
  <c r="CL42" i="47"/>
  <c r="CH42" i="47"/>
  <c r="BZ117" i="47"/>
  <c r="CA8" i="47"/>
  <c r="BZ162" i="47"/>
  <c r="BZ156" i="47"/>
  <c r="CA150" i="47"/>
  <c r="BY48" i="47"/>
  <c r="BZ42" i="47"/>
  <c r="BZ64" i="47"/>
  <c r="CA58" i="47"/>
  <c r="CH162" i="47"/>
  <c r="CH156" i="47"/>
  <c r="CI150" i="47"/>
  <c r="CH64" i="47"/>
  <c r="CI58" i="47"/>
  <c r="CE32" i="47"/>
  <c r="CF26" i="47"/>
  <c r="BV149" i="47"/>
  <c r="BV145" i="47"/>
  <c r="BV142" i="47"/>
  <c r="BY102" i="47"/>
  <c r="BY95" i="47"/>
  <c r="BY101" i="47"/>
  <c r="BY100" i="47"/>
  <c r="BY94" i="47"/>
  <c r="BZ90" i="47"/>
  <c r="BY99" i="47"/>
  <c r="BS138" i="47"/>
  <c r="BS106" i="47"/>
  <c r="CH117" i="47"/>
  <c r="CI8" i="47"/>
  <c r="BV64" i="47"/>
  <c r="CC102" i="47"/>
  <c r="CC101" i="47"/>
  <c r="CC100" i="47"/>
  <c r="CC94" i="47"/>
  <c r="CC99" i="47"/>
  <c r="CC95" i="47"/>
  <c r="CD90" i="47"/>
  <c r="BK138" i="47"/>
  <c r="BK106" i="47"/>
  <c r="AJ13" i="42"/>
  <c r="AP28" i="25"/>
  <c r="AE23" i="25"/>
  <c r="AZ5" i="25"/>
  <c r="AG6" i="25"/>
  <c r="AI5" i="42"/>
  <c r="BA5" i="25"/>
  <c r="AH6" i="25"/>
  <c r="AI6" i="25"/>
  <c r="BE7" i="25"/>
  <c r="AS12" i="42"/>
  <c r="BF7" i="25"/>
  <c r="AP23" i="25"/>
  <c r="O9" i="42"/>
  <c r="D12" i="42"/>
  <c r="P5" i="25"/>
  <c r="X5" i="25"/>
  <c r="AV5" i="25"/>
  <c r="BD5" i="25"/>
  <c r="AK6" i="25"/>
  <c r="AS6" i="25"/>
  <c r="BA6" i="25"/>
  <c r="J7" i="25"/>
  <c r="AA7" i="25"/>
  <c r="AI7" i="25"/>
  <c r="AY7" i="25"/>
  <c r="O28" i="25"/>
  <c r="BC28" i="25"/>
  <c r="AA23" i="25"/>
  <c r="AI23" i="25"/>
  <c r="AQ23" i="25"/>
  <c r="D9" i="42"/>
  <c r="AQ6" i="25"/>
  <c r="BA28" i="25"/>
  <c r="AG23" i="25"/>
  <c r="O5" i="25"/>
  <c r="AJ6" i="25"/>
  <c r="AH23" i="25"/>
  <c r="Q5" i="25"/>
  <c r="Y5" i="25"/>
  <c r="BE5" i="25"/>
  <c r="AL6" i="25"/>
  <c r="AT6" i="25"/>
  <c r="BB6" i="25"/>
  <c r="AB7" i="25"/>
  <c r="AJ7" i="25"/>
  <c r="AZ7" i="25"/>
  <c r="P28" i="25"/>
  <c r="BD28" i="25"/>
  <c r="AB23" i="25"/>
  <c r="AJ23" i="25"/>
  <c r="AR23" i="25"/>
  <c r="AP6" i="25"/>
  <c r="AV23" i="25"/>
  <c r="BC5" i="25"/>
  <c r="AZ6" i="25"/>
  <c r="BB28" i="25"/>
  <c r="J5" i="25"/>
  <c r="R5" i="25"/>
  <c r="Z5" i="25"/>
  <c r="AH5" i="25"/>
  <c r="AP5" i="25"/>
  <c r="BF5" i="25"/>
  <c r="AU6" i="25"/>
  <c r="BC6" i="25"/>
  <c r="U7" i="25"/>
  <c r="AK7" i="25"/>
  <c r="BA7" i="25"/>
  <c r="Q28" i="25"/>
  <c r="Y28" i="25"/>
  <c r="AG28" i="25"/>
  <c r="AO28" i="25"/>
  <c r="BE28" i="25"/>
  <c r="U23" i="25"/>
  <c r="AK23" i="25"/>
  <c r="AS23" i="25"/>
  <c r="K14" i="25"/>
  <c r="AU23" i="25"/>
  <c r="AF23" i="25"/>
  <c r="BB5" i="25"/>
  <c r="AY6" i="25"/>
  <c r="AO23" i="25"/>
  <c r="AR6" i="25"/>
  <c r="E5" i="42"/>
  <c r="K7" i="25"/>
  <c r="K5" i="25"/>
  <c r="AA5" i="25"/>
  <c r="AI5" i="25"/>
  <c r="AQ5" i="25"/>
  <c r="AY5" i="25"/>
  <c r="AF6" i="25"/>
  <c r="AV6" i="25"/>
  <c r="BD6" i="25"/>
  <c r="V7" i="25"/>
  <c r="AL7" i="25"/>
  <c r="BB7" i="25"/>
  <c r="J28" i="25"/>
  <c r="R28" i="25"/>
  <c r="Z28" i="25"/>
  <c r="AH28" i="25"/>
  <c r="BF28" i="25"/>
  <c r="V23" i="25"/>
  <c r="AL23" i="25"/>
  <c r="AT23" i="25"/>
  <c r="BL23" i="25"/>
  <c r="BK23" i="25"/>
  <c r="BJ23" i="25"/>
  <c r="BJ28" i="25"/>
  <c r="BL28" i="25"/>
  <c r="CH152" i="47"/>
  <c r="CE75" i="47"/>
  <c r="BU44" i="47"/>
  <c r="CH77" i="47"/>
  <c r="CH29" i="47"/>
  <c r="BQ12" i="47"/>
  <c r="BY111" i="47"/>
  <c r="BY113" i="47"/>
  <c r="CL77" i="47"/>
  <c r="CC113" i="47"/>
  <c r="BZ152" i="47"/>
  <c r="CD76" i="47"/>
  <c r="BV29" i="47"/>
  <c r="CE27" i="47"/>
  <c r="BU112" i="47"/>
  <c r="CH61" i="47"/>
  <c r="BZ61" i="47"/>
  <c r="CC43" i="47"/>
  <c r="CD77" i="47"/>
  <c r="BU13" i="47"/>
  <c r="BY13" i="47"/>
  <c r="BY44" i="47"/>
  <c r="CG113" i="47"/>
  <c r="BV28" i="47"/>
  <c r="CD75" i="47"/>
  <c r="BU43" i="47"/>
  <c r="BZ151" i="47"/>
  <c r="CL28" i="47"/>
  <c r="CI76" i="47"/>
  <c r="CC12" i="47"/>
  <c r="CD28" i="47"/>
  <c r="CG43" i="47"/>
  <c r="CD152" i="47"/>
  <c r="BV77" i="47"/>
  <c r="CC107" i="47"/>
  <c r="BQ44" i="47"/>
  <c r="CC111" i="47"/>
  <c r="CL29" i="47"/>
  <c r="CA75" i="47"/>
  <c r="CH27" i="47"/>
  <c r="BV27" i="47"/>
  <c r="CL59" i="47"/>
  <c r="CC112" i="47"/>
  <c r="CD59" i="47"/>
  <c r="BU11" i="47"/>
  <c r="CD153" i="47"/>
  <c r="CH59" i="47"/>
  <c r="BQ111" i="47"/>
  <c r="CH75" i="47"/>
  <c r="BQ113" i="47"/>
  <c r="CH28" i="47"/>
  <c r="BV151" i="47"/>
  <c r="BY112" i="47"/>
  <c r="CG107" i="47"/>
  <c r="CC13" i="47"/>
  <c r="BY12" i="47"/>
  <c r="BU107" i="47"/>
  <c r="BY43" i="47"/>
  <c r="CG44" i="47"/>
  <c r="CH60" i="47"/>
  <c r="BQ13" i="47"/>
  <c r="BU45" i="47"/>
  <c r="BZ153" i="47"/>
  <c r="BY11" i="47"/>
  <c r="BV75" i="47"/>
  <c r="CC44" i="47"/>
  <c r="CG11" i="47"/>
  <c r="CD27" i="47"/>
  <c r="BQ107" i="47"/>
  <c r="BV61" i="47"/>
  <c r="CG45" i="47"/>
  <c r="CH151" i="47"/>
  <c r="BV60" i="47"/>
  <c r="CG12" i="47"/>
  <c r="BQ43" i="47"/>
  <c r="CL152" i="47"/>
  <c r="CE29" i="47"/>
  <c r="BV152" i="47"/>
  <c r="BU111" i="47"/>
  <c r="BQ112" i="47"/>
  <c r="CD151" i="47"/>
  <c r="CD29" i="47"/>
  <c r="CD60" i="47"/>
  <c r="CL76" i="47"/>
  <c r="CG112" i="47"/>
  <c r="BZ59" i="47"/>
  <c r="CL75" i="47"/>
  <c r="CC45" i="47"/>
  <c r="CE76" i="47"/>
  <c r="CG111" i="47"/>
  <c r="CC11" i="47"/>
  <c r="CL153" i="47"/>
  <c r="CL27" i="47"/>
  <c r="CD61" i="47"/>
  <c r="CL61" i="47"/>
  <c r="BU113" i="47"/>
  <c r="BQ11" i="47"/>
  <c r="BZ60" i="47"/>
  <c r="CE28" i="47"/>
  <c r="BU12" i="47"/>
  <c r="CL151" i="47"/>
  <c r="CE77" i="47"/>
  <c r="BY45" i="47"/>
  <c r="CL60" i="47"/>
  <c r="BV59" i="47"/>
  <c r="CG13" i="47"/>
  <c r="BV153" i="47"/>
  <c r="BY107" i="47"/>
  <c r="BQ45" i="47"/>
  <c r="CH153" i="47"/>
  <c r="W144" i="47" l="1"/>
  <c r="X143" i="47"/>
  <c r="CG14" i="47"/>
  <c r="BQ104" i="47"/>
  <c r="BU14" i="47"/>
  <c r="CE78" i="47"/>
  <c r="BU104" i="47"/>
  <c r="CC46" i="47"/>
  <c r="CG105" i="47"/>
  <c r="CC104" i="47"/>
  <c r="CH78" i="47"/>
  <c r="CE30" i="47"/>
  <c r="BY105" i="47"/>
  <c r="BY104" i="47"/>
  <c r="BQ14" i="47"/>
  <c r="BQ46" i="47"/>
  <c r="CH154" i="47"/>
  <c r="BV62" i="47"/>
  <c r="BZ154" i="47"/>
  <c r="CH30" i="47"/>
  <c r="CD62" i="47"/>
  <c r="BV30" i="47"/>
  <c r="BY119" i="47"/>
  <c r="BU132" i="47"/>
  <c r="BU114" i="47"/>
  <c r="BY46" i="47"/>
  <c r="CG104" i="47"/>
  <c r="CL30" i="47"/>
  <c r="CG119" i="47"/>
  <c r="BY132" i="47"/>
  <c r="BY114" i="47"/>
  <c r="BU119" i="47"/>
  <c r="CL154" i="47"/>
  <c r="CD154" i="47"/>
  <c r="BZ62" i="47"/>
  <c r="BV154" i="47"/>
  <c r="CL62" i="47"/>
  <c r="CG114" i="47"/>
  <c r="CC14" i="47"/>
  <c r="CG46" i="47"/>
  <c r="BV78" i="47"/>
  <c r="BQ119" i="47"/>
  <c r="BU105" i="47"/>
  <c r="CC105" i="47"/>
  <c r="BY14" i="47"/>
  <c r="CC132" i="47"/>
  <c r="CC114" i="47"/>
  <c r="CD30" i="47"/>
  <c r="CH62" i="47"/>
  <c r="CD78" i="47"/>
  <c r="CL78" i="47"/>
  <c r="BQ105" i="47"/>
  <c r="BQ132" i="47"/>
  <c r="BQ114" i="47"/>
  <c r="BR132" i="47"/>
  <c r="BU46" i="47"/>
  <c r="CC119" i="47"/>
  <c r="CF32" i="47"/>
  <c r="CA42" i="47"/>
  <c r="BZ48" i="47"/>
  <c r="CA162" i="47"/>
  <c r="CA156" i="47"/>
  <c r="CL101" i="47"/>
  <c r="CL100" i="47"/>
  <c r="CL94" i="47"/>
  <c r="CL99" i="47"/>
  <c r="CL95" i="47"/>
  <c r="CL102" i="47"/>
  <c r="CJ80" i="47"/>
  <c r="CK74" i="47"/>
  <c r="CD116" i="47"/>
  <c r="CD118" i="47" s="1"/>
  <c r="CE110" i="47"/>
  <c r="CE162" i="47"/>
  <c r="CE156" i="47"/>
  <c r="CF150" i="47"/>
  <c r="CF58" i="47"/>
  <c r="CE64" i="47"/>
  <c r="CJ32" i="47"/>
  <c r="CK26" i="47"/>
  <c r="CA149" i="47"/>
  <c r="CA142" i="47"/>
  <c r="CA145" i="47"/>
  <c r="CF141" i="47"/>
  <c r="CE145" i="47"/>
  <c r="CE142" i="47"/>
  <c r="CE149" i="47"/>
  <c r="CI117" i="47"/>
  <c r="CJ8" i="47"/>
  <c r="BZ102" i="47"/>
  <c r="BZ101" i="47"/>
  <c r="BZ100" i="47"/>
  <c r="BZ94" i="47"/>
  <c r="BZ99" i="47"/>
  <c r="CA90" i="47"/>
  <c r="BZ95" i="47"/>
  <c r="CI42" i="47"/>
  <c r="CH48" i="47"/>
  <c r="CH101" i="47"/>
  <c r="CH100" i="47"/>
  <c r="CH94" i="47"/>
  <c r="CH99" i="47"/>
  <c r="CI90" i="47"/>
  <c r="CH95" i="47"/>
  <c r="CH102" i="47"/>
  <c r="CL116" i="47"/>
  <c r="CL118" i="47" s="1"/>
  <c r="AA115" i="47"/>
  <c r="U115" i="47"/>
  <c r="CJ115" i="47"/>
  <c r="CJ120" i="47" s="1"/>
  <c r="M115" i="47"/>
  <c r="Q115" i="47"/>
  <c r="Y115" i="47"/>
  <c r="BH115" i="47"/>
  <c r="CA115" i="47"/>
  <c r="CA120" i="47" s="1"/>
  <c r="CI115" i="47"/>
  <c r="CI120" i="47" s="1"/>
  <c r="CK115" i="47"/>
  <c r="CK120" i="47" s="1"/>
  <c r="BQ115" i="47"/>
  <c r="CE115" i="47"/>
  <c r="CE120" i="47" s="1"/>
  <c r="BD115" i="47"/>
  <c r="BI115" i="47"/>
  <c r="AF115" i="47"/>
  <c r="BC115" i="47"/>
  <c r="BK115" i="47"/>
  <c r="CC115" i="47"/>
  <c r="AR115" i="47"/>
  <c r="CH115" i="47"/>
  <c r="CH120" i="47" s="1"/>
  <c r="E115" i="47"/>
  <c r="AV115" i="47"/>
  <c r="W115" i="47"/>
  <c r="AH115" i="47"/>
  <c r="AW115" i="47"/>
  <c r="V115" i="47"/>
  <c r="BT115" i="47"/>
  <c r="AI115" i="47"/>
  <c r="BA115" i="47"/>
  <c r="G115" i="47"/>
  <c r="AX115" i="47"/>
  <c r="BY115" i="47"/>
  <c r="BP115" i="47"/>
  <c r="AT115" i="47"/>
  <c r="CF115" i="47"/>
  <c r="CF120" i="47" s="1"/>
  <c r="E114" i="47"/>
  <c r="AM115" i="47"/>
  <c r="CB115" i="47"/>
  <c r="AB115" i="47"/>
  <c r="AU115" i="47"/>
  <c r="F114" i="47"/>
  <c r="M114" i="47"/>
  <c r="R115" i="47"/>
  <c r="AN115" i="47"/>
  <c r="BR115" i="47"/>
  <c r="X115" i="47"/>
  <c r="L115" i="47"/>
  <c r="L120" i="47" s="1"/>
  <c r="BF115" i="47"/>
  <c r="BM115" i="47"/>
  <c r="J114" i="47"/>
  <c r="AG115" i="47"/>
  <c r="AL115" i="47"/>
  <c r="H115" i="47"/>
  <c r="K115" i="47"/>
  <c r="K120" i="47" s="1"/>
  <c r="CD115" i="47"/>
  <c r="CD120" i="47" s="1"/>
  <c r="BG115" i="47"/>
  <c r="BW115" i="47"/>
  <c r="BU115" i="47"/>
  <c r="AO115" i="47"/>
  <c r="P115" i="47"/>
  <c r="AS115" i="47"/>
  <c r="BL115" i="47"/>
  <c r="AY115" i="47"/>
  <c r="BO115" i="47"/>
  <c r="BN115" i="47"/>
  <c r="BV115" i="47"/>
  <c r="BV120" i="47" s="1"/>
  <c r="AE115" i="47"/>
  <c r="CL115" i="47"/>
  <c r="CL120" i="47" s="1"/>
  <c r="BE115" i="47"/>
  <c r="BX115" i="47"/>
  <c r="AC115" i="47"/>
  <c r="K114" i="47"/>
  <c r="AJ115" i="47"/>
  <c r="BZ115" i="47"/>
  <c r="BZ120" i="47" s="1"/>
  <c r="O115" i="47"/>
  <c r="AK115" i="47"/>
  <c r="BS115" i="47"/>
  <c r="BJ115" i="47"/>
  <c r="L114" i="47"/>
  <c r="AZ115" i="47"/>
  <c r="S115" i="47"/>
  <c r="J115" i="47"/>
  <c r="J120" i="47" s="1"/>
  <c r="AP115" i="47"/>
  <c r="BB115" i="47"/>
  <c r="H114" i="47"/>
  <c r="O114" i="47"/>
  <c r="N114" i="47"/>
  <c r="I115" i="47"/>
  <c r="T114" i="47"/>
  <c r="P114" i="47"/>
  <c r="CG115" i="47"/>
  <c r="N115" i="47"/>
  <c r="AQ115" i="47"/>
  <c r="G114" i="47"/>
  <c r="T115" i="47"/>
  <c r="F115" i="47"/>
  <c r="CD16" i="47"/>
  <c r="CE10" i="47"/>
  <c r="BX138" i="47"/>
  <c r="BX106" i="47"/>
  <c r="CD101" i="47"/>
  <c r="CD102" i="47"/>
  <c r="CD100" i="47"/>
  <c r="CD94" i="47"/>
  <c r="CD99" i="47"/>
  <c r="CD95" i="47"/>
  <c r="CE90" i="47"/>
  <c r="CA64" i="47"/>
  <c r="CL48" i="47"/>
  <c r="BT47" i="47"/>
  <c r="BC47" i="47"/>
  <c r="CG47" i="47"/>
  <c r="CI47" i="47"/>
  <c r="M47" i="47"/>
  <c r="BH47" i="47"/>
  <c r="AH47" i="47"/>
  <c r="BG47" i="47"/>
  <c r="CH47" i="47"/>
  <c r="J46" i="47"/>
  <c r="H47" i="47"/>
  <c r="AR47" i="47"/>
  <c r="BP47" i="47"/>
  <c r="O47" i="47"/>
  <c r="BJ47" i="47"/>
  <c r="V47" i="47"/>
  <c r="BA47" i="47"/>
  <c r="AL47" i="47"/>
  <c r="Q46" i="47"/>
  <c r="CL47" i="47"/>
  <c r="BO47" i="47"/>
  <c r="AU47" i="47"/>
  <c r="CE47" i="47"/>
  <c r="AJ47" i="47"/>
  <c r="AD47" i="47"/>
  <c r="BE47" i="47"/>
  <c r="CD47" i="47"/>
  <c r="AM47" i="47"/>
  <c r="AE47" i="47"/>
  <c r="CC47" i="47"/>
  <c r="T47" i="47"/>
  <c r="L47" i="47"/>
  <c r="BB47" i="47"/>
  <c r="AY47" i="47"/>
  <c r="R47" i="47"/>
  <c r="BK47" i="47"/>
  <c r="P47" i="47"/>
  <c r="U47" i="47"/>
  <c r="E46" i="47"/>
  <c r="BI47" i="47"/>
  <c r="AS47" i="47"/>
  <c r="AZ47" i="47"/>
  <c r="BY47" i="47"/>
  <c r="AQ47" i="47"/>
  <c r="AV47" i="47"/>
  <c r="AB47" i="47"/>
  <c r="CB47" i="47"/>
  <c r="E47" i="47"/>
  <c r="K46" i="47"/>
  <c r="N47" i="47"/>
  <c r="K47" i="47"/>
  <c r="AO47" i="47"/>
  <c r="J47" i="47"/>
  <c r="AT47" i="47"/>
  <c r="AG47" i="47"/>
  <c r="BQ47" i="47"/>
  <c r="L46" i="47"/>
  <c r="BV47" i="47"/>
  <c r="BZ47" i="47"/>
  <c r="AN47" i="47"/>
  <c r="Y47" i="47"/>
  <c r="AF47" i="47"/>
  <c r="W47" i="47"/>
  <c r="G46" i="47"/>
  <c r="BL138" i="47"/>
  <c r="BL106" i="47"/>
  <c r="BM138" i="47"/>
  <c r="CL16" i="47"/>
  <c r="AL15" i="47"/>
  <c r="S15" i="47"/>
  <c r="E15" i="47"/>
  <c r="K14" i="47"/>
  <c r="AV15" i="47"/>
  <c r="I15" i="47"/>
  <c r="CK15" i="47"/>
  <c r="BX15" i="47"/>
  <c r="CG15" i="47"/>
  <c r="AM15" i="47"/>
  <c r="BD15" i="47"/>
  <c r="CB15" i="47"/>
  <c r="BH15" i="47"/>
  <c r="CA15" i="47"/>
  <c r="BE15" i="47"/>
  <c r="CJ15" i="47"/>
  <c r="AK15" i="47"/>
  <c r="BR15" i="47"/>
  <c r="U15" i="47"/>
  <c r="BG15" i="47"/>
  <c r="CE15" i="47"/>
  <c r="BC15" i="47"/>
  <c r="R15" i="47"/>
  <c r="AZ15" i="47"/>
  <c r="AF15" i="47"/>
  <c r="AU15" i="47"/>
  <c r="AG15" i="47"/>
  <c r="Y15" i="47"/>
  <c r="BQ15" i="47"/>
  <c r="AB15" i="47"/>
  <c r="BZ15" i="47"/>
  <c r="BF15" i="47"/>
  <c r="AX15" i="47"/>
  <c r="P15" i="47"/>
  <c r="AJ15" i="47"/>
  <c r="AI15" i="47"/>
  <c r="CD15" i="47"/>
  <c r="BU15" i="47"/>
  <c r="BV15" i="47"/>
  <c r="BP15" i="47"/>
  <c r="X15" i="47"/>
  <c r="AP15" i="47"/>
  <c r="AY15" i="47"/>
  <c r="V15" i="47"/>
  <c r="BS15" i="47"/>
  <c r="AD15" i="47"/>
  <c r="BI15" i="47"/>
  <c r="AS15" i="47"/>
  <c r="AC15" i="47"/>
  <c r="BM15" i="47"/>
  <c r="W15" i="47"/>
  <c r="O15" i="47"/>
  <c r="BW15" i="47"/>
  <c r="AT15" i="47"/>
  <c r="BN15" i="47"/>
  <c r="BT15" i="47"/>
  <c r="AN15" i="47"/>
  <c r="BA15" i="47"/>
  <c r="J15" i="47"/>
  <c r="J14" i="47"/>
  <c r="AE15" i="47"/>
  <c r="T15" i="47"/>
  <c r="G15" i="47"/>
  <c r="CF15" i="47"/>
  <c r="N15" i="47"/>
  <c r="BB15" i="47"/>
  <c r="K15" i="47"/>
  <c r="BY15" i="47"/>
  <c r="AA15" i="47"/>
  <c r="AH15" i="47"/>
  <c r="CL15" i="47"/>
  <c r="AW15" i="47"/>
  <c r="BL15" i="47"/>
  <c r="BK15" i="47"/>
  <c r="CC15" i="47"/>
  <c r="CI15" i="47"/>
  <c r="Q15" i="47"/>
  <c r="L14" i="47"/>
  <c r="M15" i="47"/>
  <c r="H15" i="47"/>
  <c r="F15" i="47"/>
  <c r="AR15" i="47"/>
  <c r="E14" i="47"/>
  <c r="L15" i="47"/>
  <c r="CH15" i="47"/>
  <c r="BO15" i="47"/>
  <c r="BJ15" i="47"/>
  <c r="Z15" i="47"/>
  <c r="T14" i="47"/>
  <c r="F14" i="47"/>
  <c r="AQ15" i="47"/>
  <c r="AO15" i="47"/>
  <c r="M14" i="47"/>
  <c r="O14" i="47"/>
  <c r="U14" i="47"/>
  <c r="Q14" i="47"/>
  <c r="V14" i="47"/>
  <c r="I14" i="47"/>
  <c r="BV101" i="47"/>
  <c r="BV100" i="47"/>
  <c r="BV94" i="47"/>
  <c r="BV99" i="47"/>
  <c r="BV95" i="47"/>
  <c r="BV102" i="47"/>
  <c r="U134" i="47"/>
  <c r="U135" i="47" s="1"/>
  <c r="U136" i="47" s="1"/>
  <c r="V133" i="47"/>
  <c r="CI162" i="47"/>
  <c r="CI156" i="47"/>
  <c r="CJ150" i="47"/>
  <c r="CJ58" i="47"/>
  <c r="CI64" i="47"/>
  <c r="BV16" i="47"/>
  <c r="BV48" i="47"/>
  <c r="BZ116" i="47"/>
  <c r="BZ118" i="47" s="1"/>
  <c r="CA110" i="47"/>
  <c r="BV116" i="47"/>
  <c r="BV118" i="47" s="1"/>
  <c r="K119" i="47"/>
  <c r="CE117" i="47"/>
  <c r="CF8" i="47"/>
  <c r="BT138" i="47"/>
  <c r="BT106" i="47"/>
  <c r="BP138" i="47"/>
  <c r="BP106" i="47"/>
  <c r="CH16" i="47"/>
  <c r="CI10" i="47"/>
  <c r="CF80" i="47"/>
  <c r="CH116" i="47"/>
  <c r="CH118" i="47" s="1"/>
  <c r="CI110" i="47"/>
  <c r="CI149" i="47"/>
  <c r="CI145" i="47"/>
  <c r="CI142" i="47"/>
  <c r="CJ141" i="47"/>
  <c r="CA117" i="47"/>
  <c r="CE42" i="47"/>
  <c r="CD48" i="47"/>
  <c r="BZ16" i="47"/>
  <c r="CA10" i="47"/>
  <c r="CB106" i="47"/>
  <c r="BK28" i="25"/>
  <c r="E9" i="42"/>
  <c r="K6" i="25"/>
  <c r="E12" i="42"/>
  <c r="K23" i="25"/>
  <c r="AJ5" i="42"/>
  <c r="AP7" i="25"/>
  <c r="F5" i="42"/>
  <c r="L7" i="25"/>
  <c r="AZ23" i="25"/>
  <c r="AT12" i="42"/>
  <c r="P9" i="42"/>
  <c r="V6" i="25"/>
  <c r="AK13" i="42"/>
  <c r="AQ28" i="25"/>
  <c r="H34" i="10"/>
  <c r="CE152" i="47"/>
  <c r="CD45" i="47"/>
  <c r="CI75" i="47"/>
  <c r="CL112" i="47"/>
  <c r="CA76" i="47"/>
  <c r="BV112" i="47"/>
  <c r="CD44" i="47"/>
  <c r="CF75" i="47"/>
  <c r="CA27" i="47"/>
  <c r="CH43" i="47"/>
  <c r="CD111" i="47"/>
  <c r="CI59" i="47"/>
  <c r="CD13" i="47"/>
  <c r="CA152" i="47"/>
  <c r="CL43" i="47"/>
  <c r="BV45" i="47"/>
  <c r="BV11" i="47"/>
  <c r="BZ111" i="47"/>
  <c r="CA29" i="47"/>
  <c r="CH107" i="47"/>
  <c r="BV13" i="47"/>
  <c r="CL111" i="47"/>
  <c r="CI77" i="47"/>
  <c r="CL13" i="47"/>
  <c r="CI28" i="47"/>
  <c r="CJ77" i="47"/>
  <c r="CH111" i="47"/>
  <c r="CH11" i="47"/>
  <c r="CA28" i="47"/>
  <c r="CI60" i="47"/>
  <c r="CL113" i="47"/>
  <c r="CE60" i="47"/>
  <c r="CD12" i="47"/>
  <c r="CA61" i="47"/>
  <c r="CE153" i="47"/>
  <c r="CI151" i="47"/>
  <c r="BZ107" i="47"/>
  <c r="CL44" i="47"/>
  <c r="BV12" i="47"/>
  <c r="CA151" i="47"/>
  <c r="BV111" i="47"/>
  <c r="BV107" i="47"/>
  <c r="CH12" i="47"/>
  <c r="CI61" i="47"/>
  <c r="CH44" i="47"/>
  <c r="BV44" i="47"/>
  <c r="CE151" i="47"/>
  <c r="BZ11" i="47"/>
  <c r="CL107" i="47"/>
  <c r="CF28" i="47"/>
  <c r="BZ45" i="47"/>
  <c r="CA153" i="47"/>
  <c r="CH112" i="47"/>
  <c r="BZ12" i="47"/>
  <c r="CH45" i="47"/>
  <c r="CD11" i="47"/>
  <c r="CA59" i="47"/>
  <c r="BZ44" i="47"/>
  <c r="CD113" i="47"/>
  <c r="CI27" i="47"/>
  <c r="CF27" i="47"/>
  <c r="CE61" i="47"/>
  <c r="CF76" i="47"/>
  <c r="CA77" i="47"/>
  <c r="BV113" i="47"/>
  <c r="BZ43" i="47"/>
  <c r="CI152" i="47"/>
  <c r="CH113" i="47"/>
  <c r="CF77" i="47"/>
  <c r="CA60" i="47"/>
  <c r="CD107" i="47"/>
  <c r="BZ112" i="47"/>
  <c r="BZ13" i="47"/>
  <c r="CD112" i="47"/>
  <c r="CL45" i="47"/>
  <c r="CD43" i="47"/>
  <c r="CE59" i="47"/>
  <c r="BV43" i="47"/>
  <c r="CI29" i="47"/>
  <c r="BZ113" i="47"/>
  <c r="CL12" i="47"/>
  <c r="CH13" i="47"/>
  <c r="CL11" i="47"/>
  <c r="CI153" i="47"/>
  <c r="H120" i="47" l="1"/>
  <c r="E120" i="47"/>
  <c r="F120" i="47"/>
  <c r="G120" i="47"/>
  <c r="Y143" i="47"/>
  <c r="X144" i="47"/>
  <c r="N120" i="47"/>
  <c r="N127" i="47" s="1"/>
  <c r="N128" i="47" s="1"/>
  <c r="M120" i="47"/>
  <c r="M121" i="47" s="1"/>
  <c r="CJ78" i="47"/>
  <c r="CH14" i="47"/>
  <c r="BZ132" i="47"/>
  <c r="BZ114" i="47"/>
  <c r="BZ127" i="47" s="1"/>
  <c r="BZ128" i="47" s="1"/>
  <c r="CA78" i="47"/>
  <c r="CE154" i="47"/>
  <c r="CD46" i="47"/>
  <c r="CH132" i="47"/>
  <c r="CH114" i="47"/>
  <c r="CH127" i="47" s="1"/>
  <c r="CH128" i="47" s="1"/>
  <c r="BV119" i="47"/>
  <c r="CI30" i="47"/>
  <c r="CA30" i="47"/>
  <c r="CL119" i="47"/>
  <c r="CH104" i="47"/>
  <c r="CL46" i="47"/>
  <c r="CH46" i="47"/>
  <c r="CA154" i="47"/>
  <c r="BZ105" i="47"/>
  <c r="CL114" i="47"/>
  <c r="CL127" i="47" s="1"/>
  <c r="CL128" i="47" s="1"/>
  <c r="BV132" i="47"/>
  <c r="BV114" i="47"/>
  <c r="BW132" i="47"/>
  <c r="BV104" i="47"/>
  <c r="CI154" i="47"/>
  <c r="CL14" i="47"/>
  <c r="CI78" i="47"/>
  <c r="CD14" i="47"/>
  <c r="CH105" i="47"/>
  <c r="CE62" i="47"/>
  <c r="CD119" i="47"/>
  <c r="BZ14" i="47"/>
  <c r="BV105" i="47"/>
  <c r="CL104" i="47"/>
  <c r="CD132" i="47"/>
  <c r="CD114" i="47"/>
  <c r="CD127" i="47" s="1"/>
  <c r="CD128" i="47" s="1"/>
  <c r="CD105" i="47"/>
  <c r="CD104" i="47"/>
  <c r="CH119" i="47"/>
  <c r="CF78" i="47"/>
  <c r="BZ119" i="47"/>
  <c r="BV46" i="47"/>
  <c r="BV14" i="47"/>
  <c r="CI62" i="47"/>
  <c r="CA62" i="47"/>
  <c r="BZ46" i="47"/>
  <c r="CL105" i="47"/>
  <c r="BZ104" i="47"/>
  <c r="CA116" i="47"/>
  <c r="CA118" i="47" s="1"/>
  <c r="CJ162" i="47"/>
  <c r="CJ156" i="47"/>
  <c r="CK150" i="47"/>
  <c r="CE102" i="47"/>
  <c r="CE100" i="47"/>
  <c r="CE94" i="47"/>
  <c r="CE99" i="47"/>
  <c r="CE95" i="47"/>
  <c r="CF90" i="47"/>
  <c r="CE101" i="47"/>
  <c r="BJ120" i="47"/>
  <c r="BJ127" i="47" s="1"/>
  <c r="BJ128" i="47" s="1"/>
  <c r="BX120" i="47"/>
  <c r="BX121" i="47" s="1"/>
  <c r="BL120" i="47"/>
  <c r="BL127" i="47" s="1"/>
  <c r="BL128" i="47" s="1"/>
  <c r="X120" i="47"/>
  <c r="X121" i="47" s="1"/>
  <c r="X123" i="47" s="1"/>
  <c r="CB120" i="47"/>
  <c r="CB121" i="47" s="1"/>
  <c r="AV120" i="47"/>
  <c r="AV121" i="47" s="1"/>
  <c r="BI120" i="47"/>
  <c r="BI121" i="47" s="1"/>
  <c r="Y120" i="47"/>
  <c r="CF162" i="47"/>
  <c r="CF156" i="47"/>
  <c r="CA48" i="47"/>
  <c r="CG106" i="47"/>
  <c r="AC120" i="47"/>
  <c r="AC121" i="47" s="1"/>
  <c r="AC123" i="47" s="1"/>
  <c r="AX120" i="47"/>
  <c r="AX127" i="47" s="1"/>
  <c r="AX128" i="47" s="1"/>
  <c r="BU138" i="47"/>
  <c r="BU106" i="47"/>
  <c r="CA16" i="47"/>
  <c r="CJ149" i="47"/>
  <c r="CJ145" i="47"/>
  <c r="CJ142" i="47"/>
  <c r="CK141" i="47"/>
  <c r="CI116" i="47"/>
  <c r="CI118" i="47" s="1"/>
  <c r="CJ110" i="47"/>
  <c r="CI16" i="47"/>
  <c r="CJ10" i="47"/>
  <c r="V134" i="47"/>
  <c r="V135" i="47" s="1"/>
  <c r="V136" i="47" s="1"/>
  <c r="W133" i="47"/>
  <c r="CE16" i="47"/>
  <c r="CF10" i="47"/>
  <c r="AQ120" i="47"/>
  <c r="AQ121" i="47" s="1"/>
  <c r="BS120" i="47"/>
  <c r="BS127" i="47" s="1"/>
  <c r="BS128" i="47" s="1"/>
  <c r="BE120" i="47"/>
  <c r="BE127" i="47" s="1"/>
  <c r="BE128" i="47" s="1"/>
  <c r="AS120" i="47"/>
  <c r="AS121" i="47" s="1"/>
  <c r="BR120" i="47"/>
  <c r="BR121" i="47" s="1"/>
  <c r="AM120" i="47"/>
  <c r="AM127" i="47" s="1"/>
  <c r="AM128" i="47" s="1"/>
  <c r="BA120" i="47"/>
  <c r="BA127" i="47" s="1"/>
  <c r="BA128" i="47" s="1"/>
  <c r="BD120" i="47"/>
  <c r="BD127" i="47" s="1"/>
  <c r="BD128" i="47" s="1"/>
  <c r="Q120" i="47"/>
  <c r="Q121" i="47" s="1"/>
  <c r="Q123" i="47" s="1"/>
  <c r="CF64" i="47"/>
  <c r="W120" i="47"/>
  <c r="W127" i="47" s="1"/>
  <c r="W128" i="47" s="1"/>
  <c r="CA102" i="47"/>
  <c r="CA101" i="47"/>
  <c r="CA100" i="47"/>
  <c r="CA94" i="47"/>
  <c r="CA99" i="47"/>
  <c r="CA95" i="47"/>
  <c r="BB120" i="47"/>
  <c r="BB127" i="47" s="1"/>
  <c r="BB128" i="47" s="1"/>
  <c r="AK120" i="47"/>
  <c r="AK127" i="47" s="1"/>
  <c r="AK128" i="47" s="1"/>
  <c r="P120" i="47"/>
  <c r="P127" i="47" s="1"/>
  <c r="P128" i="47" s="1"/>
  <c r="AL120" i="47"/>
  <c r="AL121" i="47" s="1"/>
  <c r="AL123" i="47" s="1"/>
  <c r="AN120" i="47"/>
  <c r="AN127" i="47" s="1"/>
  <c r="AN128" i="47" s="1"/>
  <c r="AI120" i="47"/>
  <c r="AI127" i="47" s="1"/>
  <c r="AI128" i="47" s="1"/>
  <c r="CI101" i="47"/>
  <c r="CI100" i="47"/>
  <c r="CI94" i="47"/>
  <c r="CI99" i="47"/>
  <c r="CI102" i="47"/>
  <c r="CI95" i="47"/>
  <c r="CJ90" i="47"/>
  <c r="CJ42" i="47"/>
  <c r="CI48" i="47"/>
  <c r="CK32" i="47"/>
  <c r="CK80" i="47"/>
  <c r="CC138" i="47"/>
  <c r="CC106" i="47"/>
  <c r="CK58" i="47"/>
  <c r="CJ64" i="47"/>
  <c r="CG120" i="47"/>
  <c r="CG121" i="47" s="1"/>
  <c r="AP120" i="47"/>
  <c r="AP121" i="47" s="1"/>
  <c r="O120" i="47"/>
  <c r="O127" i="47" s="1"/>
  <c r="O128" i="47" s="1"/>
  <c r="AE120" i="47"/>
  <c r="AE121" i="47" s="1"/>
  <c r="AE123" i="47" s="1"/>
  <c r="AO120" i="47"/>
  <c r="AO121" i="47" s="1"/>
  <c r="AG120" i="47"/>
  <c r="AG127" i="47" s="1"/>
  <c r="AG128" i="47" s="1"/>
  <c r="R120" i="47"/>
  <c r="R121" i="47" s="1"/>
  <c r="BT120" i="47"/>
  <c r="BT121" i="47" s="1"/>
  <c r="AR120" i="47"/>
  <c r="AR127" i="47" s="1"/>
  <c r="AR128" i="47" s="1"/>
  <c r="BQ120" i="47"/>
  <c r="BQ127" i="47" s="1"/>
  <c r="BQ128" i="47" s="1"/>
  <c r="BQ138" i="47"/>
  <c r="BQ106" i="47"/>
  <c r="BR138" i="47"/>
  <c r="T120" i="47"/>
  <c r="T127" i="47" s="1"/>
  <c r="T128" i="47" s="1"/>
  <c r="AY120" i="47"/>
  <c r="AY127" i="47" s="1"/>
  <c r="AY128" i="47" s="1"/>
  <c r="AF120" i="47"/>
  <c r="AF127" i="47" s="1"/>
  <c r="AF128" i="47" s="1"/>
  <c r="BU120" i="47"/>
  <c r="BU121" i="47" s="1"/>
  <c r="AT120" i="47"/>
  <c r="AT121" i="47" s="1"/>
  <c r="V120" i="47"/>
  <c r="V127" i="47" s="1"/>
  <c r="V128" i="47" s="1"/>
  <c r="CC120" i="47"/>
  <c r="CC127" i="47" s="1"/>
  <c r="CC128" i="47" s="1"/>
  <c r="U120" i="47"/>
  <c r="U127" i="47" s="1"/>
  <c r="U128" i="47" s="1"/>
  <c r="CF149" i="47"/>
  <c r="CF145" i="47"/>
  <c r="CF142" i="47"/>
  <c r="BH120" i="47"/>
  <c r="BH121" i="47" s="1"/>
  <c r="S120" i="47"/>
  <c r="S121" i="47" s="1"/>
  <c r="S123" i="47" s="1"/>
  <c r="AJ120" i="47"/>
  <c r="AJ121" i="47" s="1"/>
  <c r="AJ123" i="47" s="1"/>
  <c r="BN120" i="47"/>
  <c r="BN121" i="47" s="1"/>
  <c r="BW120" i="47"/>
  <c r="BW127" i="47" s="1"/>
  <c r="BW128" i="47" s="1"/>
  <c r="BM120" i="47"/>
  <c r="BM127" i="47" s="1"/>
  <c r="BM128" i="47" s="1"/>
  <c r="BP120" i="47"/>
  <c r="BP121" i="47" s="1"/>
  <c r="AW120" i="47"/>
  <c r="AW121" i="47" s="1"/>
  <c r="BK120" i="47"/>
  <c r="BK127" i="47" s="1"/>
  <c r="BK128" i="47" s="1"/>
  <c r="AA120" i="47"/>
  <c r="AA127" i="47" s="1"/>
  <c r="AA128" i="47" s="1"/>
  <c r="CE116" i="47"/>
  <c r="CE118" i="47" s="1"/>
  <c r="CF110" i="47"/>
  <c r="AB120" i="47"/>
  <c r="AB121" i="47" s="1"/>
  <c r="AB123" i="47" s="1"/>
  <c r="CF42" i="47"/>
  <c r="CE48" i="47"/>
  <c r="CF117" i="47"/>
  <c r="I120" i="47"/>
  <c r="I127" i="47" s="1"/>
  <c r="AZ120" i="47"/>
  <c r="AZ121" i="47" s="1"/>
  <c r="BO120" i="47"/>
  <c r="BO121" i="47" s="1"/>
  <c r="BG120" i="47"/>
  <c r="BG127" i="47" s="1"/>
  <c r="BG128" i="47" s="1"/>
  <c r="BF120" i="47"/>
  <c r="BF127" i="47" s="1"/>
  <c r="BF128" i="47" s="1"/>
  <c r="AU120" i="47"/>
  <c r="AU121" i="47" s="1"/>
  <c r="BY120" i="47"/>
  <c r="BY127" i="47" s="1"/>
  <c r="BY128" i="47" s="1"/>
  <c r="AH120" i="47"/>
  <c r="AH127" i="47" s="1"/>
  <c r="AH128" i="47" s="1"/>
  <c r="BC120" i="47"/>
  <c r="BC127" i="47" s="1"/>
  <c r="BC128" i="47" s="1"/>
  <c r="CJ117" i="47"/>
  <c r="CK8" i="47"/>
  <c r="BY138" i="47"/>
  <c r="BY106" i="47"/>
  <c r="G5" i="42"/>
  <c r="M7" i="25"/>
  <c r="AL13" i="42"/>
  <c r="AR28" i="25"/>
  <c r="AK5" i="42"/>
  <c r="AQ7" i="25"/>
  <c r="F12" i="42"/>
  <c r="L23" i="25"/>
  <c r="W6" i="25"/>
  <c r="Q9" i="42"/>
  <c r="AU12" i="42"/>
  <c r="BA23" i="25"/>
  <c r="F9" i="42"/>
  <c r="L6" i="25"/>
  <c r="E26" i="10"/>
  <c r="I84" i="10"/>
  <c r="E6" i="10"/>
  <c r="E5" i="10"/>
  <c r="E4" i="10"/>
  <c r="D6" i="41"/>
  <c r="D5" i="41"/>
  <c r="D4" i="41"/>
  <c r="C6" i="38"/>
  <c r="C5" i="38"/>
  <c r="C4" i="38"/>
  <c r="D6" i="40"/>
  <c r="D5" i="40"/>
  <c r="D4" i="40"/>
  <c r="D6" i="5"/>
  <c r="D5" i="5"/>
  <c r="D4" i="5"/>
  <c r="K53" i="5"/>
  <c r="G52" i="5"/>
  <c r="K38" i="5"/>
  <c r="G37" i="5"/>
  <c r="F31" i="40"/>
  <c r="AL10" i="3"/>
  <c r="AL9" i="3"/>
  <c r="AL8" i="3"/>
  <c r="AL7" i="3"/>
  <c r="AL5" i="3"/>
  <c r="AL6" i="3"/>
  <c r="AL4" i="3"/>
  <c r="AL2" i="3"/>
  <c r="AL3" i="3"/>
  <c r="CF59" i="47"/>
  <c r="CE12" i="47"/>
  <c r="CI44" i="47"/>
  <c r="CJ61" i="47"/>
  <c r="CJ152" i="47"/>
  <c r="CI111" i="47"/>
  <c r="CA11" i="47"/>
  <c r="CI107" i="47"/>
  <c r="CE44" i="47"/>
  <c r="CE107" i="47"/>
  <c r="CF152" i="47"/>
  <c r="CA43" i="47"/>
  <c r="CK28" i="47"/>
  <c r="CA44" i="47"/>
  <c r="CF29" i="47"/>
  <c r="CJ27" i="47"/>
  <c r="CJ29" i="47"/>
  <c r="CA113" i="47"/>
  <c r="CA45" i="47"/>
  <c r="CA12" i="47"/>
  <c r="CJ153" i="47"/>
  <c r="CI12" i="47"/>
  <c r="CJ76" i="47"/>
  <c r="CJ60" i="47"/>
  <c r="CJ59" i="47"/>
  <c r="CF60" i="47"/>
  <c r="CA112" i="47"/>
  <c r="CJ151" i="47"/>
  <c r="CF151" i="47"/>
  <c r="CE11" i="47"/>
  <c r="CI43" i="47"/>
  <c r="CE111" i="47"/>
  <c r="CE43" i="47"/>
  <c r="CE112" i="47"/>
  <c r="CI113" i="47"/>
  <c r="CA107" i="47"/>
  <c r="CE45" i="47"/>
  <c r="CF61" i="47"/>
  <c r="CA111" i="47"/>
  <c r="CE113" i="47"/>
  <c r="CI13" i="47"/>
  <c r="CE13" i="47"/>
  <c r="CJ28" i="47"/>
  <c r="CI112" i="47"/>
  <c r="CA13" i="47"/>
  <c r="CJ75" i="47"/>
  <c r="CF153" i="47"/>
  <c r="CI45" i="47"/>
  <c r="CI11" i="47"/>
  <c r="CN120" i="47" l="1"/>
  <c r="AQ123" i="47"/>
  <c r="AQ122" i="47"/>
  <c r="AV123" i="47"/>
  <c r="AV122" i="47"/>
  <c r="BO123" i="47"/>
  <c r="BO122" i="47"/>
  <c r="AT123" i="47"/>
  <c r="AT122" i="47"/>
  <c r="AP123" i="47"/>
  <c r="AP122" i="47"/>
  <c r="CB123" i="47"/>
  <c r="CB122" i="47"/>
  <c r="BH123" i="47"/>
  <c r="BH122" i="47"/>
  <c r="BU123" i="47"/>
  <c r="BU122" i="47"/>
  <c r="CG123" i="47"/>
  <c r="CG122" i="47"/>
  <c r="AW123" i="47"/>
  <c r="AW122" i="47"/>
  <c r="BT123" i="47"/>
  <c r="BT122" i="47"/>
  <c r="BP123" i="47"/>
  <c r="BP122" i="47"/>
  <c r="BR123" i="47"/>
  <c r="BR122" i="47"/>
  <c r="BX123" i="47"/>
  <c r="BX122" i="47"/>
  <c r="AZ123" i="47"/>
  <c r="AZ122" i="47"/>
  <c r="AU123" i="47"/>
  <c r="AU122" i="47"/>
  <c r="AS123" i="47"/>
  <c r="AS122" i="47"/>
  <c r="AO123" i="47"/>
  <c r="AO122" i="47"/>
  <c r="BN123" i="47"/>
  <c r="BN122" i="47"/>
  <c r="BI123" i="47"/>
  <c r="BI122" i="47"/>
  <c r="Z143" i="47"/>
  <c r="Y144" i="47"/>
  <c r="R123" i="47"/>
  <c r="R122" i="47"/>
  <c r="M127" i="47"/>
  <c r="M128" i="47" s="1"/>
  <c r="M123" i="47"/>
  <c r="M122" i="47"/>
  <c r="N121" i="47"/>
  <c r="N123" i="47" s="1"/>
  <c r="AU127" i="47"/>
  <c r="AU128" i="47" s="1"/>
  <c r="AG121" i="47"/>
  <c r="AG123" i="47" s="1"/>
  <c r="BZ121" i="47"/>
  <c r="CD121" i="47"/>
  <c r="AE127" i="47"/>
  <c r="AE128" i="47" s="1"/>
  <c r="CL121" i="47"/>
  <c r="BW121" i="47"/>
  <c r="BB121" i="47"/>
  <c r="AZ127" i="47"/>
  <c r="AZ128" i="47" s="1"/>
  <c r="CC121" i="47"/>
  <c r="BO127" i="47"/>
  <c r="BO128" i="47" s="1"/>
  <c r="AC127" i="47"/>
  <c r="AC128" i="47" s="1"/>
  <c r="BG121" i="47"/>
  <c r="AB127" i="47"/>
  <c r="AB128" i="47" s="1"/>
  <c r="AL127" i="47"/>
  <c r="AL128" i="47" s="1"/>
  <c r="AJ127" i="47"/>
  <c r="AJ128" i="47" s="1"/>
  <c r="O121" i="47"/>
  <c r="O123" i="47" s="1"/>
  <c r="BE121" i="47"/>
  <c r="AA121" i="47"/>
  <c r="AA123" i="47" s="1"/>
  <c r="S127" i="47"/>
  <c r="S128" i="47" s="1"/>
  <c r="BU127" i="47"/>
  <c r="BU128" i="47" s="1"/>
  <c r="AK121" i="47"/>
  <c r="AK123" i="47" s="1"/>
  <c r="BS121" i="47"/>
  <c r="AO127" i="47"/>
  <c r="AO128" i="47" s="1"/>
  <c r="CG127" i="47"/>
  <c r="CG128" i="47" s="1"/>
  <c r="AM121" i="47"/>
  <c r="AM123" i="47" s="1"/>
  <c r="BN127" i="47"/>
  <c r="BN128" i="47" s="1"/>
  <c r="BH127" i="47"/>
  <c r="BH128" i="47" s="1"/>
  <c r="W121" i="47"/>
  <c r="W122" i="47" s="1"/>
  <c r="AW127" i="47"/>
  <c r="AW128" i="47" s="1"/>
  <c r="AY121" i="47"/>
  <c r="AR121" i="47"/>
  <c r="BR127" i="47"/>
  <c r="BR128" i="47" s="1"/>
  <c r="CH121" i="47"/>
  <c r="AN121" i="47"/>
  <c r="AN123" i="47" s="1"/>
  <c r="BA121" i="47"/>
  <c r="BL121" i="47"/>
  <c r="BC121" i="47"/>
  <c r="I121" i="47"/>
  <c r="I123" i="47" s="1"/>
  <c r="I139" i="47" s="1"/>
  <c r="AP127" i="47"/>
  <c r="AP128" i="47" s="1"/>
  <c r="AS127" i="47"/>
  <c r="AS128" i="47" s="1"/>
  <c r="AX121" i="47"/>
  <c r="Y127" i="47"/>
  <c r="Y128" i="47" s="1"/>
  <c r="BY121" i="47"/>
  <c r="BJ121" i="47"/>
  <c r="AI121" i="47"/>
  <c r="AI123" i="47" s="1"/>
  <c r="P121" i="47"/>
  <c r="P123" i="47" s="1"/>
  <c r="X127" i="47"/>
  <c r="X128" i="47" s="1"/>
  <c r="CE46" i="47"/>
  <c r="CE14" i="47"/>
  <c r="CI14" i="47"/>
  <c r="CE104" i="47"/>
  <c r="CF154" i="47"/>
  <c r="CI132" i="47"/>
  <c r="CI114" i="47"/>
  <c r="CE119" i="47"/>
  <c r="CI46" i="47"/>
  <c r="CA14" i="47"/>
  <c r="CA119" i="47"/>
  <c r="CE132" i="47"/>
  <c r="CE114" i="47"/>
  <c r="CI104" i="47"/>
  <c r="CA46" i="47"/>
  <c r="CA132" i="47"/>
  <c r="CA114" i="47"/>
  <c r="CB132" i="47"/>
  <c r="CJ30" i="47"/>
  <c r="CF30" i="47"/>
  <c r="CE105" i="47"/>
  <c r="CF62" i="47"/>
  <c r="CA104" i="47"/>
  <c r="CJ62" i="47"/>
  <c r="CI105" i="47"/>
  <c r="CI119" i="47"/>
  <c r="CA105" i="47"/>
  <c r="CJ154" i="47"/>
  <c r="I129" i="47"/>
  <c r="I130" i="47" s="1"/>
  <c r="I128" i="47"/>
  <c r="CC129" i="47" s="1"/>
  <c r="CC130" i="47" s="1"/>
  <c r="CL106" i="47"/>
  <c r="Y121" i="47"/>
  <c r="Y122" i="47" s="1"/>
  <c r="CB127" i="47"/>
  <c r="CB128" i="47" s="1"/>
  <c r="CF102" i="47"/>
  <c r="CF99" i="47"/>
  <c r="CF95" i="47"/>
  <c r="CF101" i="47"/>
  <c r="CF100" i="47"/>
  <c r="CF94" i="47"/>
  <c r="BZ138" i="47"/>
  <c r="BZ106" i="47"/>
  <c r="CJ102" i="47"/>
  <c r="CJ101" i="47"/>
  <c r="CJ100" i="47"/>
  <c r="CJ94" i="47"/>
  <c r="CJ99" i="47"/>
  <c r="CJ95" i="47"/>
  <c r="CK90" i="47"/>
  <c r="BX127" i="47"/>
  <c r="BX128" i="47" s="1"/>
  <c r="CH138" i="47"/>
  <c r="CH106" i="47"/>
  <c r="AH121" i="47"/>
  <c r="AH123" i="47" s="1"/>
  <c r="BP127" i="47"/>
  <c r="BP128" i="47" s="1"/>
  <c r="V121" i="47"/>
  <c r="T121" i="47"/>
  <c r="T123" i="47" s="1"/>
  <c r="BT127" i="47"/>
  <c r="BT128" i="47" s="1"/>
  <c r="Q127" i="47"/>
  <c r="Q128" i="47" s="1"/>
  <c r="AQ127" i="47"/>
  <c r="AQ128" i="47" s="1"/>
  <c r="CK149" i="47"/>
  <c r="CK145" i="47"/>
  <c r="CK142" i="47"/>
  <c r="BI127" i="47"/>
  <c r="BI128" i="47" s="1"/>
  <c r="CK117" i="47"/>
  <c r="CF16" i="47"/>
  <c r="BF121" i="47"/>
  <c r="CF48" i="47"/>
  <c r="W134" i="47"/>
  <c r="W135" i="47" s="1"/>
  <c r="W136" i="47" s="1"/>
  <c r="X133" i="47"/>
  <c r="CJ116" i="47"/>
  <c r="CJ118" i="47" s="1"/>
  <c r="CK110" i="47"/>
  <c r="CK162" i="47"/>
  <c r="CK156" i="47"/>
  <c r="CD138" i="47"/>
  <c r="CD106" i="47"/>
  <c r="BV138" i="47"/>
  <c r="BV106" i="47"/>
  <c r="BW138" i="47"/>
  <c r="CF116" i="47"/>
  <c r="CF118" i="47" s="1"/>
  <c r="BK121" i="47"/>
  <c r="U121" i="47"/>
  <c r="U123" i="47" s="1"/>
  <c r="AF121" i="47"/>
  <c r="AF123" i="47" s="1"/>
  <c r="BQ121" i="47"/>
  <c r="CK64" i="47"/>
  <c r="BM121" i="47"/>
  <c r="AT127" i="47"/>
  <c r="AT128" i="47" s="1"/>
  <c r="R127" i="47"/>
  <c r="R128" i="47" s="1"/>
  <c r="CJ48" i="47"/>
  <c r="CK42" i="47"/>
  <c r="CP120" i="47"/>
  <c r="CO120" i="47"/>
  <c r="BD121" i="47"/>
  <c r="AV127" i="47"/>
  <c r="AV128" i="47" s="1"/>
  <c r="CJ16" i="47"/>
  <c r="CK10" i="47"/>
  <c r="BV127" i="47"/>
  <c r="BV128" i="47" s="1"/>
  <c r="BV121" i="47"/>
  <c r="G12" i="42"/>
  <c r="M23" i="25"/>
  <c r="G9" i="42"/>
  <c r="M6" i="25"/>
  <c r="AL5" i="42"/>
  <c r="AR7" i="25"/>
  <c r="AV12" i="42"/>
  <c r="BB23" i="25"/>
  <c r="R9" i="42"/>
  <c r="X6" i="25"/>
  <c r="AM13" i="42"/>
  <c r="AS28" i="25"/>
  <c r="H5" i="42"/>
  <c r="N7" i="25"/>
  <c r="E28" i="41"/>
  <c r="E164" i="21"/>
  <c r="E162" i="21"/>
  <c r="B4" i="21"/>
  <c r="E156" i="21"/>
  <c r="Q35" i="41"/>
  <c r="Q33" i="41"/>
  <c r="D28" i="41"/>
  <c r="Q27" i="41"/>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7" i="5"/>
  <c r="H156" i="5"/>
  <c r="H155" i="5"/>
  <c r="H154" i="5"/>
  <c r="H153" i="5"/>
  <c r="H158" i="5"/>
  <c r="I57" i="5"/>
  <c r="E57" i="5"/>
  <c r="R31" i="40"/>
  <c r="R25" i="40"/>
  <c r="E67" i="40" s="1"/>
  <c r="R30" i="40"/>
  <c r="D31" i="40"/>
  <c r="J141" i="21"/>
  <c r="F141" i="21"/>
  <c r="E20" i="40"/>
  <c r="D47" i="5"/>
  <c r="V53" i="5"/>
  <c r="U53" i="5"/>
  <c r="S53" i="5"/>
  <c r="R53" i="5"/>
  <c r="Q52" i="5"/>
  <c r="Q53" i="5" s="1"/>
  <c r="P52" i="5"/>
  <c r="P53" i="5" s="1"/>
  <c r="V38" i="5"/>
  <c r="U38" i="5"/>
  <c r="S38" i="5"/>
  <c r="R38" i="5"/>
  <c r="Q37" i="5"/>
  <c r="P37" i="5"/>
  <c r="V28" i="5"/>
  <c r="U28" i="5"/>
  <c r="CF111" i="47"/>
  <c r="CK76" i="47"/>
  <c r="CJ111" i="47"/>
  <c r="CJ112" i="47"/>
  <c r="CJ113" i="47"/>
  <c r="CJ11" i="47"/>
  <c r="CF113" i="47"/>
  <c r="CF43" i="47"/>
  <c r="CJ13" i="47"/>
  <c r="CK60" i="47"/>
  <c r="CF45" i="47"/>
  <c r="CK77" i="47"/>
  <c r="CJ43" i="47"/>
  <c r="CK59" i="47"/>
  <c r="CJ44" i="47"/>
  <c r="CK153" i="47"/>
  <c r="CK27" i="47"/>
  <c r="CK75" i="47"/>
  <c r="CJ12" i="47"/>
  <c r="CF44" i="47"/>
  <c r="CJ45" i="47"/>
  <c r="CF13" i="47"/>
  <c r="CK29" i="47"/>
  <c r="CK61" i="47"/>
  <c r="CF11" i="47"/>
  <c r="CF12" i="47"/>
  <c r="CF107" i="47"/>
  <c r="CK152" i="47"/>
  <c r="CJ107" i="47"/>
  <c r="CK151" i="47"/>
  <c r="CF112" i="47"/>
  <c r="CC123" i="47" l="1"/>
  <c r="CC122" i="47"/>
  <c r="BF123" i="47"/>
  <c r="BF122" i="47"/>
  <c r="BV123" i="47"/>
  <c r="BV122" i="47"/>
  <c r="AR123" i="47"/>
  <c r="AR122" i="47"/>
  <c r="BB123" i="47"/>
  <c r="BB122" i="47"/>
  <c r="BK123" i="47"/>
  <c r="BK122" i="47"/>
  <c r="AY123" i="47"/>
  <c r="AY122" i="47"/>
  <c r="BS123" i="47"/>
  <c r="BS122" i="47"/>
  <c r="BW123" i="47"/>
  <c r="BW122" i="47"/>
  <c r="BQ123" i="47"/>
  <c r="BQ122" i="47"/>
  <c r="AX123" i="47"/>
  <c r="AX122" i="47"/>
  <c r="BC123" i="47"/>
  <c r="BC122" i="47"/>
  <c r="CL123" i="47"/>
  <c r="CL122" i="47"/>
  <c r="BE123" i="47"/>
  <c r="BE122" i="47"/>
  <c r="BJ123" i="47"/>
  <c r="BJ122" i="47"/>
  <c r="BL123" i="47"/>
  <c r="BL122" i="47"/>
  <c r="BG123" i="47"/>
  <c r="BG122" i="47"/>
  <c r="CH123" i="47"/>
  <c r="CH122" i="47"/>
  <c r="E17" i="47"/>
  <c r="E18" i="47" s="1"/>
  <c r="H17" i="47"/>
  <c r="H18" i="47" s="1"/>
  <c r="G17" i="47"/>
  <c r="G18" i="47" s="1"/>
  <c r="F17" i="47"/>
  <c r="F18" i="47" s="1"/>
  <c r="E33" i="47"/>
  <c r="E34" i="47" s="1"/>
  <c r="H33" i="47"/>
  <c r="H34" i="47" s="1"/>
  <c r="F33" i="47"/>
  <c r="F34" i="47" s="1"/>
  <c r="G33" i="47"/>
  <c r="G34" i="47" s="1"/>
  <c r="BM123" i="47"/>
  <c r="BM122" i="47"/>
  <c r="BY123" i="47"/>
  <c r="BY122" i="47"/>
  <c r="BA123" i="47"/>
  <c r="BA122" i="47"/>
  <c r="CD123" i="47"/>
  <c r="CD122" i="47"/>
  <c r="BD123" i="47"/>
  <c r="BD122" i="47"/>
  <c r="BZ123" i="47"/>
  <c r="BZ122" i="47"/>
  <c r="CE146" i="47"/>
  <c r="BW146" i="47"/>
  <c r="BO146" i="47"/>
  <c r="BG146" i="47"/>
  <c r="AY146" i="47"/>
  <c r="AQ146" i="47"/>
  <c r="AI146" i="47"/>
  <c r="AA146" i="47"/>
  <c r="S146" i="47"/>
  <c r="K146" i="47"/>
  <c r="BQ146" i="47"/>
  <c r="AK146" i="47"/>
  <c r="AZ146" i="47"/>
  <c r="CL146" i="47"/>
  <c r="CD146" i="47"/>
  <c r="BV146" i="47"/>
  <c r="BN146" i="47"/>
  <c r="BF146" i="47"/>
  <c r="AX146" i="47"/>
  <c r="AP146" i="47"/>
  <c r="AH146" i="47"/>
  <c r="Z146" i="47"/>
  <c r="R146" i="47"/>
  <c r="J146" i="47"/>
  <c r="M146" i="47"/>
  <c r="BH146" i="47"/>
  <c r="AB146" i="47"/>
  <c r="CK146" i="47"/>
  <c r="CC146" i="47"/>
  <c r="BU146" i="47"/>
  <c r="BM146" i="47"/>
  <c r="BE146" i="47"/>
  <c r="AW146" i="47"/>
  <c r="AO146" i="47"/>
  <c r="AG146" i="47"/>
  <c r="Y146" i="47"/>
  <c r="Q146" i="47"/>
  <c r="I146" i="47"/>
  <c r="BY146" i="47"/>
  <c r="AC146" i="47"/>
  <c r="CF146" i="47"/>
  <c r="AJ146" i="47"/>
  <c r="CJ146" i="47"/>
  <c r="CB146" i="47"/>
  <c r="BT146" i="47"/>
  <c r="BL146" i="47"/>
  <c r="BD146" i="47"/>
  <c r="AV146" i="47"/>
  <c r="AN146" i="47"/>
  <c r="AF146" i="47"/>
  <c r="X146" i="47"/>
  <c r="P146" i="47"/>
  <c r="H146" i="47"/>
  <c r="CG146" i="47"/>
  <c r="U146" i="47"/>
  <c r="BP146" i="47"/>
  <c r="L146" i="47"/>
  <c r="CI146" i="47"/>
  <c r="CA146" i="47"/>
  <c r="BS146" i="47"/>
  <c r="BK146" i="47"/>
  <c r="BC146" i="47"/>
  <c r="AU146" i="47"/>
  <c r="AM146" i="47"/>
  <c r="AE146" i="47"/>
  <c r="W146" i="47"/>
  <c r="O146" i="47"/>
  <c r="G146" i="47"/>
  <c r="BA146" i="47"/>
  <c r="AR146" i="47"/>
  <c r="CH146" i="47"/>
  <c r="BZ146" i="47"/>
  <c r="BR146" i="47"/>
  <c r="BJ146" i="47"/>
  <c r="BB146" i="47"/>
  <c r="AT146" i="47"/>
  <c r="AL146" i="47"/>
  <c r="AD146" i="47"/>
  <c r="V146" i="47"/>
  <c r="N146" i="47"/>
  <c r="F146" i="47"/>
  <c r="BI146" i="47"/>
  <c r="AS146" i="47"/>
  <c r="E146" i="47"/>
  <c r="E147" i="47" s="1"/>
  <c r="BX146" i="47"/>
  <c r="T146" i="47"/>
  <c r="E146" i="21"/>
  <c r="E147" i="21" s="1"/>
  <c r="F146" i="21"/>
  <c r="G146" i="21"/>
  <c r="Z144" i="47"/>
  <c r="AA143" i="47"/>
  <c r="F149" i="21"/>
  <c r="F145" i="21"/>
  <c r="O141" i="21"/>
  <c r="O149" i="21" s="1"/>
  <c r="CN122" i="47"/>
  <c r="CO122" i="47"/>
  <c r="X129" i="47"/>
  <c r="X130" i="47" s="1"/>
  <c r="W129" i="47"/>
  <c r="W130" i="47" s="1"/>
  <c r="BV129" i="47"/>
  <c r="BV130" i="47" s="1"/>
  <c r="CB129" i="47"/>
  <c r="CB130" i="47" s="1"/>
  <c r="CO121" i="47"/>
  <c r="AP129" i="47"/>
  <c r="AP130" i="47" s="1"/>
  <c r="W123" i="47"/>
  <c r="V123" i="47"/>
  <c r="V122" i="47"/>
  <c r="AO129" i="47"/>
  <c r="AO130" i="47" s="1"/>
  <c r="T129" i="47"/>
  <c r="T130" i="47" s="1"/>
  <c r="AW129" i="47"/>
  <c r="AW130" i="47" s="1"/>
  <c r="AM129" i="47"/>
  <c r="AM130" i="47" s="1"/>
  <c r="Q129" i="47"/>
  <c r="Q130" i="47" s="1"/>
  <c r="AU129" i="47"/>
  <c r="AU130" i="47" s="1"/>
  <c r="AX129" i="47"/>
  <c r="AX130" i="47" s="1"/>
  <c r="AN129" i="47"/>
  <c r="AN130" i="47" s="1"/>
  <c r="BH129" i="47"/>
  <c r="BH130" i="47" s="1"/>
  <c r="AZ129" i="47"/>
  <c r="AZ130" i="47" s="1"/>
  <c r="R129" i="47"/>
  <c r="R130" i="47" s="1"/>
  <c r="BP129" i="47"/>
  <c r="BP130" i="47" s="1"/>
  <c r="AL129" i="47"/>
  <c r="AL130" i="47" s="1"/>
  <c r="AT129" i="47"/>
  <c r="AT130" i="47" s="1"/>
  <c r="BL129" i="47"/>
  <c r="BL130" i="47" s="1"/>
  <c r="AV129" i="47"/>
  <c r="AV130" i="47" s="1"/>
  <c r="AC129" i="47"/>
  <c r="AC130" i="47" s="1"/>
  <c r="BK129" i="47"/>
  <c r="BK130" i="47" s="1"/>
  <c r="AS129" i="47"/>
  <c r="AS130" i="47" s="1"/>
  <c r="CG129" i="47"/>
  <c r="CG130" i="47" s="1"/>
  <c r="BX129" i="47"/>
  <c r="BX130" i="47" s="1"/>
  <c r="CD129" i="47"/>
  <c r="CD130" i="47" s="1"/>
  <c r="BA129" i="47"/>
  <c r="BA130" i="47" s="1"/>
  <c r="BW129" i="47"/>
  <c r="BW130" i="47" s="1"/>
  <c r="AH129" i="47"/>
  <c r="AH130" i="47" s="1"/>
  <c r="AQ129" i="47"/>
  <c r="AQ130" i="47" s="1"/>
  <c r="AE129" i="47"/>
  <c r="AE130" i="47" s="1"/>
  <c r="AI129" i="47"/>
  <c r="AI130" i="47" s="1"/>
  <c r="O125" i="47"/>
  <c r="Y129" i="47"/>
  <c r="Y130" i="47" s="1"/>
  <c r="V129" i="47"/>
  <c r="V130" i="47" s="1"/>
  <c r="CL129" i="47"/>
  <c r="CL130" i="47" s="1"/>
  <c r="AJ129" i="47"/>
  <c r="AJ130" i="47" s="1"/>
  <c r="AG129" i="47"/>
  <c r="AG130" i="47" s="1"/>
  <c r="BJ129" i="47"/>
  <c r="BJ130" i="47" s="1"/>
  <c r="AB129" i="47"/>
  <c r="AB130" i="47" s="1"/>
  <c r="BZ129" i="47"/>
  <c r="BZ130" i="47" s="1"/>
  <c r="BE129" i="47"/>
  <c r="BE130" i="47" s="1"/>
  <c r="BN129" i="47"/>
  <c r="BN130" i="47" s="1"/>
  <c r="BI129" i="47"/>
  <c r="BI130" i="47" s="1"/>
  <c r="BT129" i="47"/>
  <c r="BT130" i="47" s="1"/>
  <c r="BO129" i="47"/>
  <c r="BO130" i="47" s="1"/>
  <c r="BM129" i="47"/>
  <c r="BM130" i="47" s="1"/>
  <c r="CH129" i="47"/>
  <c r="CH130" i="47" s="1"/>
  <c r="BD129" i="47"/>
  <c r="BD130" i="47" s="1"/>
  <c r="BY129" i="47"/>
  <c r="BY130" i="47" s="1"/>
  <c r="U129" i="47"/>
  <c r="U130" i="47" s="1"/>
  <c r="BU129" i="47"/>
  <c r="BU130" i="47" s="1"/>
  <c r="BR129" i="47"/>
  <c r="BR130" i="47" s="1"/>
  <c r="AK129" i="47"/>
  <c r="AK130" i="47" s="1"/>
  <c r="AF129" i="47"/>
  <c r="AF130" i="47" s="1"/>
  <c r="S129" i="47"/>
  <c r="S130" i="47" s="1"/>
  <c r="I122" i="47"/>
  <c r="BS129" i="47"/>
  <c r="BS130" i="47" s="1"/>
  <c r="BB129" i="47"/>
  <c r="BB130" i="47" s="1"/>
  <c r="I125" i="47"/>
  <c r="J125" i="47" s="1"/>
  <c r="K125" i="47" s="1"/>
  <c r="L125" i="47" s="1"/>
  <c r="M125" i="47" s="1"/>
  <c r="N125" i="47" s="1"/>
  <c r="BG129" i="47"/>
  <c r="BG130" i="47" s="1"/>
  <c r="AA129" i="47"/>
  <c r="AA130" i="47" s="1"/>
  <c r="AY129" i="47"/>
  <c r="AY130" i="47" s="1"/>
  <c r="O129" i="47"/>
  <c r="O130" i="47" s="1"/>
  <c r="BC129" i="47"/>
  <c r="BC130" i="47" s="1"/>
  <c r="CK62" i="47"/>
  <c r="CF14" i="47"/>
  <c r="CJ105" i="47"/>
  <c r="CJ132" i="47"/>
  <c r="CJ114" i="47"/>
  <c r="CF46" i="47"/>
  <c r="CJ119" i="47"/>
  <c r="CF105" i="47"/>
  <c r="CK154" i="47"/>
  <c r="CK78" i="47"/>
  <c r="CF119" i="47"/>
  <c r="CJ46" i="47"/>
  <c r="CJ104" i="47"/>
  <c r="CF132" i="47"/>
  <c r="CF114" i="47"/>
  <c r="CG132" i="47"/>
  <c r="CK30" i="47"/>
  <c r="CJ14" i="47"/>
  <c r="CF104" i="47"/>
  <c r="CK16" i="47"/>
  <c r="O33" i="47"/>
  <c r="P33" i="47"/>
  <c r="I33" i="47"/>
  <c r="J33" i="47"/>
  <c r="K33" i="47"/>
  <c r="T33" i="47"/>
  <c r="Q33" i="47"/>
  <c r="L33" i="47"/>
  <c r="M33" i="47"/>
  <c r="Y33" i="47"/>
  <c r="U33" i="47"/>
  <c r="R33" i="47"/>
  <c r="AD33" i="47"/>
  <c r="Z33" i="47"/>
  <c r="N33" i="47"/>
  <c r="V33" i="47"/>
  <c r="S33" i="47"/>
  <c r="W33" i="47"/>
  <c r="AA33" i="47"/>
  <c r="AE33" i="47"/>
  <c r="AI33" i="47"/>
  <c r="AB33" i="47"/>
  <c r="AF33" i="47"/>
  <c r="X33" i="47"/>
  <c r="AN33" i="47"/>
  <c r="AJ33" i="47"/>
  <c r="AC33" i="47"/>
  <c r="AK33" i="47"/>
  <c r="AG33" i="47"/>
  <c r="AS33" i="47"/>
  <c r="AO33" i="47"/>
  <c r="AH33" i="47"/>
  <c r="AL33" i="47"/>
  <c r="AX33" i="47"/>
  <c r="AT33" i="47"/>
  <c r="AP33" i="47"/>
  <c r="AY33" i="47"/>
  <c r="BC33" i="47"/>
  <c r="AQ33" i="47"/>
  <c r="AM33" i="47"/>
  <c r="AU33" i="47"/>
  <c r="AR33" i="47"/>
  <c r="AZ33" i="47"/>
  <c r="BH33" i="47"/>
  <c r="BD33" i="47"/>
  <c r="AV33" i="47"/>
  <c r="BA33" i="47"/>
  <c r="AW33" i="47"/>
  <c r="BE33" i="47"/>
  <c r="BM33" i="47"/>
  <c r="BI33" i="47"/>
  <c r="BF33" i="47"/>
  <c r="BB33" i="47"/>
  <c r="BJ33" i="47"/>
  <c r="BN33" i="47"/>
  <c r="BR33" i="47"/>
  <c r="BW33" i="47"/>
  <c r="BO33" i="47"/>
  <c r="BG33" i="47"/>
  <c r="BK33" i="47"/>
  <c r="BS33" i="47"/>
  <c r="BL33" i="47"/>
  <c r="BX33" i="47"/>
  <c r="BP33" i="47"/>
  <c r="BT33" i="47"/>
  <c r="CB33" i="47"/>
  <c r="BU33" i="47"/>
  <c r="CC33" i="47"/>
  <c r="CG33" i="47"/>
  <c r="BY33" i="47"/>
  <c r="BQ33" i="47"/>
  <c r="BV33" i="47"/>
  <c r="CH33" i="47"/>
  <c r="CL33" i="47"/>
  <c r="BZ33" i="47"/>
  <c r="CD33" i="47"/>
  <c r="CA33" i="47"/>
  <c r="CI33" i="47"/>
  <c r="CE33" i="47"/>
  <c r="CJ33" i="47"/>
  <c r="CF33" i="47"/>
  <c r="CK33" i="47"/>
  <c r="CI138" i="47"/>
  <c r="CI106" i="47"/>
  <c r="O17" i="47"/>
  <c r="P17" i="47"/>
  <c r="I17" i="47"/>
  <c r="J17" i="47"/>
  <c r="K17" i="47"/>
  <c r="T17" i="47"/>
  <c r="L17" i="47"/>
  <c r="Q17" i="47"/>
  <c r="R17" i="47"/>
  <c r="M17" i="47"/>
  <c r="Y17" i="47"/>
  <c r="U17" i="47"/>
  <c r="AD17" i="47"/>
  <c r="Z17" i="47"/>
  <c r="S17" i="47"/>
  <c r="N17" i="47"/>
  <c r="V17" i="47"/>
  <c r="AA17" i="47"/>
  <c r="W17" i="47"/>
  <c r="AE17" i="47"/>
  <c r="AI17" i="47"/>
  <c r="AB17" i="47"/>
  <c r="AN17" i="47"/>
  <c r="X17" i="47"/>
  <c r="AF17" i="47"/>
  <c r="AJ17" i="47"/>
  <c r="AK17" i="47"/>
  <c r="AO17" i="47"/>
  <c r="AC17" i="47"/>
  <c r="AS17" i="47"/>
  <c r="AG17" i="47"/>
  <c r="AP17" i="47"/>
  <c r="AL17" i="47"/>
  <c r="AH17" i="47"/>
  <c r="AT17" i="47"/>
  <c r="AX17" i="47"/>
  <c r="AQ17" i="47"/>
  <c r="AY17" i="47"/>
  <c r="BC17" i="47"/>
  <c r="AM17" i="47"/>
  <c r="AU17" i="47"/>
  <c r="BD17" i="47"/>
  <c r="AV17" i="47"/>
  <c r="AZ17" i="47"/>
  <c r="BH17" i="47"/>
  <c r="AR17" i="47"/>
  <c r="BM17" i="47"/>
  <c r="BA17" i="47"/>
  <c r="AW17" i="47"/>
  <c r="BI17" i="47"/>
  <c r="BE17" i="47"/>
  <c r="BR17" i="47"/>
  <c r="BB17" i="47"/>
  <c r="BF17" i="47"/>
  <c r="BJ17" i="47"/>
  <c r="BN17" i="47"/>
  <c r="BS17" i="47"/>
  <c r="BW17" i="47"/>
  <c r="BO17" i="47"/>
  <c r="BG17" i="47"/>
  <c r="BK17" i="47"/>
  <c r="CB17" i="47"/>
  <c r="BT17" i="47"/>
  <c r="BX17" i="47"/>
  <c r="BP17" i="47"/>
  <c r="BL17" i="47"/>
  <c r="BY17" i="47"/>
  <c r="BU17" i="47"/>
  <c r="CG17" i="47"/>
  <c r="BQ17" i="47"/>
  <c r="CC17" i="47"/>
  <c r="CL17" i="47"/>
  <c r="CD17" i="47"/>
  <c r="BV17" i="47"/>
  <c r="CH17" i="47"/>
  <c r="BZ17" i="47"/>
  <c r="CI17" i="47"/>
  <c r="CA17" i="47"/>
  <c r="CE17" i="47"/>
  <c r="CF17" i="47"/>
  <c r="CF18" i="47" s="1"/>
  <c r="CJ17" i="47"/>
  <c r="CJ18" i="47" s="1"/>
  <c r="E157" i="21"/>
  <c r="I157" i="47"/>
  <c r="J157" i="47" s="1"/>
  <c r="K157" i="47" s="1"/>
  <c r="L157" i="47" s="1"/>
  <c r="M157" i="47" s="1"/>
  <c r="N157" i="47" s="1"/>
  <c r="O157" i="47" s="1"/>
  <c r="P157" i="47" s="1"/>
  <c r="Q157" i="47" s="1"/>
  <c r="R157" i="47" s="1"/>
  <c r="S157" i="47" s="1"/>
  <c r="T157" i="47"/>
  <c r="U157" i="47" s="1"/>
  <c r="V157" i="47" s="1"/>
  <c r="W157" i="47" s="1"/>
  <c r="X157" i="47" s="1"/>
  <c r="Y157" i="47" s="1"/>
  <c r="Z157" i="47" s="1"/>
  <c r="AA157" i="47" s="1"/>
  <c r="AB157" i="47" s="1"/>
  <c r="AC157" i="47" s="1"/>
  <c r="AD157" i="47" s="1"/>
  <c r="AE157" i="47" s="1"/>
  <c r="AF157" i="47" s="1"/>
  <c r="AG157" i="47" s="1"/>
  <c r="AH157" i="47" s="1"/>
  <c r="AI157" i="47" s="1"/>
  <c r="AJ157" i="47" s="1"/>
  <c r="AK157" i="47" s="1"/>
  <c r="AL157" i="47" s="1"/>
  <c r="AM157" i="47" s="1"/>
  <c r="AN157" i="47" s="1"/>
  <c r="AO157" i="47" s="1"/>
  <c r="AP157" i="47" s="1"/>
  <c r="AQ157" i="47" s="1"/>
  <c r="AR157" i="47" s="1"/>
  <c r="AS157" i="47" s="1"/>
  <c r="AT157" i="47" s="1"/>
  <c r="AU157" i="47" s="1"/>
  <c r="AV157" i="47" s="1"/>
  <c r="AW157" i="47" s="1"/>
  <c r="AX157" i="47" s="1"/>
  <c r="AY157" i="47" s="1"/>
  <c r="AZ157" i="47" s="1"/>
  <c r="BA157" i="47" s="1"/>
  <c r="BB157" i="47" s="1"/>
  <c r="BC157" i="47" s="1"/>
  <c r="BD157" i="47" s="1"/>
  <c r="BE157" i="47" s="1"/>
  <c r="BF157" i="47" s="1"/>
  <c r="BG157" i="47" s="1"/>
  <c r="BH157" i="47" s="1"/>
  <c r="BI157" i="47" s="1"/>
  <c r="BJ157" i="47" s="1"/>
  <c r="BK157" i="47" s="1"/>
  <c r="BL157" i="47" s="1"/>
  <c r="BM157" i="47" s="1"/>
  <c r="BN157" i="47" s="1"/>
  <c r="BO157" i="47" s="1"/>
  <c r="BP157" i="47" s="1"/>
  <c r="BQ157" i="47" s="1"/>
  <c r="BR157" i="47" s="1"/>
  <c r="BS157" i="47" s="1"/>
  <c r="BT157" i="47" s="1"/>
  <c r="BU157" i="47" s="1"/>
  <c r="BV157" i="47" s="1"/>
  <c r="BW157" i="47" s="1"/>
  <c r="BX157" i="47" s="1"/>
  <c r="BY157" i="47" s="1"/>
  <c r="BZ157" i="47" s="1"/>
  <c r="CA157" i="47" s="1"/>
  <c r="CB157" i="47" s="1"/>
  <c r="CC157" i="47" s="1"/>
  <c r="CD157" i="47" s="1"/>
  <c r="CE157" i="47" s="1"/>
  <c r="CF157" i="47" s="1"/>
  <c r="CG157" i="47" s="1"/>
  <c r="CH157" i="47" s="1"/>
  <c r="CI157" i="47" s="1"/>
  <c r="CJ157" i="47" s="1"/>
  <c r="CK157" i="47" s="1"/>
  <c r="CE127" i="47"/>
  <c r="CE128" i="47" s="1"/>
  <c r="CE129" i="47" s="1"/>
  <c r="CE130" i="47" s="1"/>
  <c r="CE121" i="47"/>
  <c r="CI121" i="47"/>
  <c r="CI127" i="47"/>
  <c r="CI128" i="47" s="1"/>
  <c r="CI129" i="47" s="1"/>
  <c r="CI130" i="47" s="1"/>
  <c r="CK48" i="47"/>
  <c r="X134" i="47"/>
  <c r="X135" i="47" s="1"/>
  <c r="X136" i="47" s="1"/>
  <c r="Y133" i="47"/>
  <c r="CA121" i="47"/>
  <c r="CA127" i="47"/>
  <c r="CA128" i="47" s="1"/>
  <c r="CA129" i="47" s="1"/>
  <c r="CA130" i="47" s="1"/>
  <c r="CE138" i="47"/>
  <c r="CE106" i="47"/>
  <c r="CK17" i="47"/>
  <c r="J129" i="47"/>
  <c r="J130" i="47" s="1"/>
  <c r="K129" i="47"/>
  <c r="K130" i="47" s="1"/>
  <c r="L129" i="47"/>
  <c r="L130" i="47" s="1"/>
  <c r="M129" i="47"/>
  <c r="M130" i="47" s="1"/>
  <c r="N129" i="47"/>
  <c r="N130" i="47" s="1"/>
  <c r="AD129" i="47"/>
  <c r="AD130" i="47" s="1"/>
  <c r="Z129" i="47"/>
  <c r="Z130" i="47" s="1"/>
  <c r="CK116" i="47"/>
  <c r="CK118" i="47" s="1"/>
  <c r="CK102" i="47"/>
  <c r="CK101" i="47"/>
  <c r="CK100" i="47"/>
  <c r="CK94" i="47"/>
  <c r="CK99" i="47"/>
  <c r="CK95" i="47"/>
  <c r="I140" i="47"/>
  <c r="J139" i="47"/>
  <c r="CA138" i="47"/>
  <c r="CA106" i="47"/>
  <c r="CB138" i="47"/>
  <c r="Y123" i="47"/>
  <c r="P129" i="47"/>
  <c r="P130" i="47" s="1"/>
  <c r="BF129" i="47"/>
  <c r="BF130" i="47" s="1"/>
  <c r="AR129" i="47"/>
  <c r="AR130" i="47" s="1"/>
  <c r="BQ129" i="47"/>
  <c r="BQ130" i="47" s="1"/>
  <c r="I5" i="42"/>
  <c r="O7" i="25"/>
  <c r="AM5" i="42"/>
  <c r="AS7" i="25"/>
  <c r="AN13" i="42"/>
  <c r="AT28" i="25"/>
  <c r="G141" i="21"/>
  <c r="AW12" i="42"/>
  <c r="BC23" i="25"/>
  <c r="H9" i="42"/>
  <c r="N6" i="25"/>
  <c r="S9" i="42"/>
  <c r="Y6" i="25"/>
  <c r="H12" i="42"/>
  <c r="N23" i="25"/>
  <c r="J142" i="21"/>
  <c r="O142" i="21"/>
  <c r="J145" i="21"/>
  <c r="J149" i="21"/>
  <c r="X146" i="21"/>
  <c r="CC146" i="21"/>
  <c r="AQ146" i="21"/>
  <c r="BH146" i="21"/>
  <c r="H146" i="21"/>
  <c r="CA146" i="21"/>
  <c r="CF146" i="21"/>
  <c r="AS146" i="21"/>
  <c r="AT146" i="21"/>
  <c r="K146" i="21"/>
  <c r="CE146" i="21"/>
  <c r="L146" i="21"/>
  <c r="AV146" i="21"/>
  <c r="M146" i="21"/>
  <c r="CG146" i="21"/>
  <c r="P146" i="21"/>
  <c r="Q146" i="21"/>
  <c r="AI146" i="21"/>
  <c r="BA146" i="21"/>
  <c r="BS146" i="21"/>
  <c r="CK146" i="21"/>
  <c r="BL146" i="21"/>
  <c r="BO146" i="21"/>
  <c r="AH146" i="21"/>
  <c r="BR146" i="21"/>
  <c r="S146" i="21"/>
  <c r="AJ146" i="21"/>
  <c r="BC146" i="21"/>
  <c r="BT146" i="21"/>
  <c r="J146" i="21"/>
  <c r="AG146" i="21"/>
  <c r="AZ146" i="21"/>
  <c r="CJ146" i="21"/>
  <c r="U146" i="21"/>
  <c r="AK146" i="21"/>
  <c r="BE146" i="21"/>
  <c r="BU146" i="21"/>
  <c r="Y146" i="21"/>
  <c r="CD146" i="21"/>
  <c r="BQ146" i="21"/>
  <c r="BI146" i="21"/>
  <c r="AB146" i="21"/>
  <c r="BM146" i="21"/>
  <c r="AE146" i="21"/>
  <c r="AW146" i="21"/>
  <c r="V146" i="21"/>
  <c r="AN146" i="21"/>
  <c r="BF146" i="21"/>
  <c r="BX146" i="21"/>
  <c r="I146" i="21"/>
  <c r="W146" i="21"/>
  <c r="AO146" i="21"/>
  <c r="BG146" i="21"/>
  <c r="BY146" i="21"/>
  <c r="AU146" i="21"/>
  <c r="AC146" i="21"/>
  <c r="CB146" i="21"/>
  <c r="N146" i="21"/>
  <c r="Z146" i="21"/>
  <c r="AL146" i="21"/>
  <c r="AX146" i="21"/>
  <c r="BJ146" i="21"/>
  <c r="BV146" i="21"/>
  <c r="CH146" i="21"/>
  <c r="O146" i="21"/>
  <c r="AA146" i="21"/>
  <c r="AM146" i="21"/>
  <c r="AY146" i="21"/>
  <c r="BK146" i="21"/>
  <c r="BW146" i="21"/>
  <c r="CI146" i="21"/>
  <c r="R146" i="21"/>
  <c r="AD146" i="21"/>
  <c r="AP146" i="21"/>
  <c r="BB146" i="21"/>
  <c r="BN146" i="21"/>
  <c r="BZ146" i="21"/>
  <c r="CL146" i="21"/>
  <c r="T146" i="21"/>
  <c r="AF146" i="21"/>
  <c r="AR146" i="21"/>
  <c r="BD146" i="21"/>
  <c r="BP146" i="21"/>
  <c r="P141" i="21"/>
  <c r="K141" i="21"/>
  <c r="CK44" i="47"/>
  <c r="CK43" i="47"/>
  <c r="CK11" i="47"/>
  <c r="CK45" i="47"/>
  <c r="CK112" i="47"/>
  <c r="CK13" i="47"/>
  <c r="CK12" i="47"/>
  <c r="CK113" i="47"/>
  <c r="CK107" i="47"/>
  <c r="CK111" i="47"/>
  <c r="F147" i="21" l="1"/>
  <c r="T141" i="21"/>
  <c r="O145" i="21"/>
  <c r="CI123" i="47"/>
  <c r="CI122" i="47"/>
  <c r="CA123" i="47"/>
  <c r="CA122" i="47"/>
  <c r="CE123" i="47"/>
  <c r="CE122" i="47"/>
  <c r="F147" i="47"/>
  <c r="E148" i="47"/>
  <c r="AA144" i="47"/>
  <c r="AB143" i="47"/>
  <c r="H141" i="21"/>
  <c r="H142" i="21" s="1"/>
  <c r="G149" i="21"/>
  <c r="G147" i="21"/>
  <c r="G145" i="21"/>
  <c r="CK159" i="47"/>
  <c r="CL157" i="47"/>
  <c r="CL158" i="47" s="1"/>
  <c r="CK158" i="47"/>
  <c r="CK14" i="47"/>
  <c r="CK105" i="47"/>
  <c r="CK46" i="47"/>
  <c r="CK119" i="47"/>
  <c r="CK104" i="47"/>
  <c r="CK132" i="47"/>
  <c r="CK114" i="47"/>
  <c r="CL132" i="47"/>
  <c r="BZ159" i="47"/>
  <c r="BZ158" i="47"/>
  <c r="BY159" i="47"/>
  <c r="BY158" i="47"/>
  <c r="BG159" i="47"/>
  <c r="BG158" i="47"/>
  <c r="BN159" i="47"/>
  <c r="BN158" i="47"/>
  <c r="AR159" i="47"/>
  <c r="AR158" i="47"/>
  <c r="AT159" i="47"/>
  <c r="AT158" i="47"/>
  <c r="AO159" i="47"/>
  <c r="AO158" i="47"/>
  <c r="AE159" i="47"/>
  <c r="AE158" i="47"/>
  <c r="CN157" i="47"/>
  <c r="Y159" i="47"/>
  <c r="Y158" i="47"/>
  <c r="CN158" i="47" s="1"/>
  <c r="I159" i="47"/>
  <c r="E159" i="47"/>
  <c r="G159" i="47"/>
  <c r="H159" i="47"/>
  <c r="F159" i="47"/>
  <c r="CA19" i="47"/>
  <c r="CA18" i="47"/>
  <c r="BQ19" i="47"/>
  <c r="BQ18" i="47"/>
  <c r="CB19" i="47"/>
  <c r="CB18" i="47"/>
  <c r="BF19" i="47"/>
  <c r="BF18" i="47"/>
  <c r="AR19" i="47"/>
  <c r="AR18" i="47"/>
  <c r="AY19" i="47"/>
  <c r="AY18" i="47"/>
  <c r="AS19" i="47"/>
  <c r="AS18" i="47"/>
  <c r="AB19" i="47"/>
  <c r="AB18" i="47"/>
  <c r="Z19" i="47"/>
  <c r="Z18" i="47"/>
  <c r="T19" i="47"/>
  <c r="T18" i="47"/>
  <c r="CE35" i="47"/>
  <c r="CE34" i="47"/>
  <c r="BQ35" i="47"/>
  <c r="BQ34" i="47"/>
  <c r="BX35" i="47"/>
  <c r="BX34" i="47"/>
  <c r="BN35" i="47"/>
  <c r="BN34" i="47"/>
  <c r="BA35" i="47"/>
  <c r="BA34" i="47"/>
  <c r="AQ35" i="47"/>
  <c r="AQ34" i="47"/>
  <c r="AO35" i="47"/>
  <c r="AO34" i="47"/>
  <c r="AF35" i="47"/>
  <c r="AF34" i="47"/>
  <c r="N35" i="47"/>
  <c r="N34" i="47"/>
  <c r="Q35" i="47"/>
  <c r="Q34" i="47"/>
  <c r="CK19" i="47"/>
  <c r="Y134" i="47"/>
  <c r="Y135" i="47" s="1"/>
  <c r="Y136" i="47" s="1"/>
  <c r="Z133" i="47"/>
  <c r="BV159" i="47"/>
  <c r="BV158" i="47"/>
  <c r="BQ159" i="47"/>
  <c r="BQ158" i="47"/>
  <c r="BO159" i="47"/>
  <c r="BO158" i="47"/>
  <c r="BI159" i="47"/>
  <c r="BI158" i="47"/>
  <c r="AV159" i="47"/>
  <c r="AV158" i="47"/>
  <c r="AH159" i="47"/>
  <c r="AH158" i="47"/>
  <c r="AG159" i="47"/>
  <c r="AG158" i="47"/>
  <c r="W159" i="47"/>
  <c r="W158" i="47"/>
  <c r="M159" i="47"/>
  <c r="M158" i="47"/>
  <c r="P159" i="47"/>
  <c r="P158" i="47"/>
  <c r="CI19" i="47"/>
  <c r="CI18" i="47"/>
  <c r="CG19" i="47"/>
  <c r="CG18" i="47"/>
  <c r="BK19" i="47"/>
  <c r="BK18" i="47"/>
  <c r="BB19" i="47"/>
  <c r="BB18" i="47"/>
  <c r="BH19" i="47"/>
  <c r="BH18" i="47"/>
  <c r="AQ19" i="47"/>
  <c r="AQ18" i="47"/>
  <c r="AC19" i="47"/>
  <c r="AC18" i="47"/>
  <c r="AI19" i="47"/>
  <c r="AI18" i="47"/>
  <c r="AD19" i="47"/>
  <c r="AD18" i="47"/>
  <c r="K19" i="47"/>
  <c r="K23" i="47"/>
  <c r="K18" i="47"/>
  <c r="CI35" i="47"/>
  <c r="CI34" i="47"/>
  <c r="BY35" i="47"/>
  <c r="BY34" i="47"/>
  <c r="BL35" i="47"/>
  <c r="BL34" i="47"/>
  <c r="BJ35" i="47"/>
  <c r="BJ34" i="47"/>
  <c r="AV35" i="47"/>
  <c r="AV34" i="47"/>
  <c r="BC35" i="47"/>
  <c r="BC34" i="47"/>
  <c r="AS35" i="47"/>
  <c r="AS34" i="47"/>
  <c r="AB35" i="47"/>
  <c r="AB34" i="47"/>
  <c r="Z35" i="47"/>
  <c r="Z34" i="47"/>
  <c r="T35" i="47"/>
  <c r="T34" i="47"/>
  <c r="CJ138" i="47"/>
  <c r="CJ106" i="47"/>
  <c r="CH159" i="47"/>
  <c r="CH158" i="47"/>
  <c r="BL159" i="47"/>
  <c r="BL158" i="47"/>
  <c r="BW159" i="47"/>
  <c r="BW158" i="47"/>
  <c r="AW159" i="47"/>
  <c r="AW158" i="47"/>
  <c r="BD159" i="47"/>
  <c r="BD158" i="47"/>
  <c r="AL159" i="47"/>
  <c r="AL158" i="47"/>
  <c r="AF159" i="47"/>
  <c r="AF158" i="47"/>
  <c r="AA159" i="47"/>
  <c r="AA158" i="47"/>
  <c r="R159" i="47"/>
  <c r="R158" i="47"/>
  <c r="O159" i="47"/>
  <c r="O158" i="47"/>
  <c r="BZ19" i="47"/>
  <c r="BZ18" i="47"/>
  <c r="BU19" i="47"/>
  <c r="BU18" i="47"/>
  <c r="BG19" i="47"/>
  <c r="BG18" i="47"/>
  <c r="BR19" i="47"/>
  <c r="BR18" i="47"/>
  <c r="AZ19" i="47"/>
  <c r="AZ18" i="47"/>
  <c r="AX19" i="47"/>
  <c r="AX18" i="47"/>
  <c r="AO19" i="47"/>
  <c r="AO18" i="47"/>
  <c r="AE19" i="47"/>
  <c r="AE18" i="47"/>
  <c r="U19" i="47"/>
  <c r="U18" i="47"/>
  <c r="J19" i="47"/>
  <c r="J18" i="47"/>
  <c r="J23" i="47"/>
  <c r="CA35" i="47"/>
  <c r="CA34" i="47"/>
  <c r="CG35" i="47"/>
  <c r="CG34" i="47"/>
  <c r="BS35" i="47"/>
  <c r="BS34" i="47"/>
  <c r="BB35" i="47"/>
  <c r="BB34" i="47"/>
  <c r="BD35" i="47"/>
  <c r="BD34" i="47"/>
  <c r="AY35" i="47"/>
  <c r="AY34" i="47"/>
  <c r="AG35" i="47"/>
  <c r="AG34" i="47"/>
  <c r="AI35" i="47"/>
  <c r="AI34" i="47"/>
  <c r="AD35" i="47"/>
  <c r="AD34" i="47"/>
  <c r="K35" i="47"/>
  <c r="K34" i="47"/>
  <c r="K39" i="47"/>
  <c r="CK18" i="47"/>
  <c r="CF159" i="47"/>
  <c r="CF158" i="47"/>
  <c r="CD159" i="47"/>
  <c r="CD158" i="47"/>
  <c r="BP159" i="47"/>
  <c r="BP158" i="47"/>
  <c r="BS159" i="47"/>
  <c r="BS158" i="47"/>
  <c r="BA159" i="47"/>
  <c r="BA158" i="47"/>
  <c r="AU159" i="47"/>
  <c r="AU158" i="47"/>
  <c r="AP159" i="47"/>
  <c r="AP158" i="47"/>
  <c r="X159" i="47"/>
  <c r="X158" i="47"/>
  <c r="AD159" i="47"/>
  <c r="AD158" i="47"/>
  <c r="U159" i="47"/>
  <c r="U158" i="47"/>
  <c r="K159" i="47"/>
  <c r="K163" i="47"/>
  <c r="K158" i="47"/>
  <c r="CH19" i="47"/>
  <c r="CH18" i="47"/>
  <c r="BY19" i="47"/>
  <c r="BY18" i="47"/>
  <c r="BO19" i="47"/>
  <c r="BO18" i="47"/>
  <c r="BE19" i="47"/>
  <c r="BE18" i="47"/>
  <c r="AV19" i="47"/>
  <c r="AV18" i="47"/>
  <c r="AT19" i="47"/>
  <c r="AT18" i="47"/>
  <c r="AK19" i="47"/>
  <c r="AK18" i="47"/>
  <c r="W19" i="47"/>
  <c r="W18" i="47"/>
  <c r="CN17" i="47"/>
  <c r="Y19" i="47"/>
  <c r="Y18" i="47"/>
  <c r="CN18" i="47" s="1"/>
  <c r="I19" i="47"/>
  <c r="E19" i="47"/>
  <c r="H19" i="47"/>
  <c r="G19" i="47"/>
  <c r="F19" i="47"/>
  <c r="CK35" i="47"/>
  <c r="CK34" i="47"/>
  <c r="CD35" i="47"/>
  <c r="CD34" i="47"/>
  <c r="CC35" i="47"/>
  <c r="CC34" i="47"/>
  <c r="BK35" i="47"/>
  <c r="BK34" i="47"/>
  <c r="BF35" i="47"/>
  <c r="BF34" i="47"/>
  <c r="BH35" i="47"/>
  <c r="BH34" i="47"/>
  <c r="AP35" i="47"/>
  <c r="AP34" i="47"/>
  <c r="AK35" i="47"/>
  <c r="AK34" i="47"/>
  <c r="AE35" i="47"/>
  <c r="AE34" i="47"/>
  <c r="R35" i="47"/>
  <c r="R34" i="47"/>
  <c r="J35" i="47"/>
  <c r="J39" i="47"/>
  <c r="J34" i="47"/>
  <c r="CF138" i="47"/>
  <c r="CF106" i="47"/>
  <c r="CG138" i="47"/>
  <c r="CJ127" i="47"/>
  <c r="CJ128" i="47" s="1"/>
  <c r="CJ129" i="47" s="1"/>
  <c r="CJ130" i="47" s="1"/>
  <c r="CJ121" i="47"/>
  <c r="CJ159" i="47"/>
  <c r="CJ158" i="47"/>
  <c r="CL159" i="47"/>
  <c r="BX159" i="47"/>
  <c r="BX158" i="47"/>
  <c r="BJ159" i="47"/>
  <c r="BJ158" i="47"/>
  <c r="BM159" i="47"/>
  <c r="BM158" i="47"/>
  <c r="AM159" i="47"/>
  <c r="AM158" i="47"/>
  <c r="AX159" i="47"/>
  <c r="AX158" i="47"/>
  <c r="AB159" i="47"/>
  <c r="AB158" i="47"/>
  <c r="S159" i="47"/>
  <c r="S158" i="47"/>
  <c r="L159" i="47"/>
  <c r="L163" i="47"/>
  <c r="L158" i="47"/>
  <c r="BV19" i="47"/>
  <c r="BV18" i="47"/>
  <c r="BL19" i="47"/>
  <c r="BL18" i="47"/>
  <c r="BW19" i="47"/>
  <c r="BW18" i="47"/>
  <c r="BI19" i="47"/>
  <c r="BI18" i="47"/>
  <c r="BD19" i="47"/>
  <c r="BD18" i="47"/>
  <c r="AH19" i="47"/>
  <c r="AH18" i="47"/>
  <c r="AJ19" i="47"/>
  <c r="AJ18" i="47"/>
  <c r="AA19" i="47"/>
  <c r="AA18" i="47"/>
  <c r="M19" i="47"/>
  <c r="M18" i="47"/>
  <c r="P19" i="47"/>
  <c r="P18" i="47"/>
  <c r="BZ35" i="47"/>
  <c r="BZ34" i="47"/>
  <c r="BU35" i="47"/>
  <c r="BU34" i="47"/>
  <c r="BG35" i="47"/>
  <c r="BG34" i="47"/>
  <c r="BI35" i="47"/>
  <c r="BI34" i="47"/>
  <c r="AZ35" i="47"/>
  <c r="AZ34" i="47"/>
  <c r="AT35" i="47"/>
  <c r="AT34" i="47"/>
  <c r="AC35" i="47"/>
  <c r="AC34" i="47"/>
  <c r="AA35" i="47"/>
  <c r="AA34" i="47"/>
  <c r="U35" i="47"/>
  <c r="U34" i="47"/>
  <c r="I35" i="47"/>
  <c r="E35" i="47"/>
  <c r="H35" i="47"/>
  <c r="G35" i="47"/>
  <c r="F35" i="47"/>
  <c r="K139" i="47"/>
  <c r="J140" i="47"/>
  <c r="CO123" i="47"/>
  <c r="CA159" i="47"/>
  <c r="CA158" i="47"/>
  <c r="CG159" i="47"/>
  <c r="CG158" i="47"/>
  <c r="CB159" i="47"/>
  <c r="CB158" i="47"/>
  <c r="BF159" i="47"/>
  <c r="BF158" i="47"/>
  <c r="BE159" i="47"/>
  <c r="BE158" i="47"/>
  <c r="AY159" i="47"/>
  <c r="AY158" i="47"/>
  <c r="AS159" i="47"/>
  <c r="AS158" i="47"/>
  <c r="CP157" i="47"/>
  <c r="AN159" i="47"/>
  <c r="CO157" i="47"/>
  <c r="AN158" i="47"/>
  <c r="N159" i="47"/>
  <c r="N158" i="47"/>
  <c r="Q159" i="47"/>
  <c r="Q158" i="47"/>
  <c r="CJ19" i="47"/>
  <c r="CD19" i="47"/>
  <c r="CD18" i="47"/>
  <c r="BP19" i="47"/>
  <c r="BP18" i="47"/>
  <c r="BS19" i="47"/>
  <c r="BS18" i="47"/>
  <c r="AW19" i="47"/>
  <c r="AW18" i="47"/>
  <c r="AU19" i="47"/>
  <c r="AU18" i="47"/>
  <c r="AL19" i="47"/>
  <c r="AL18" i="47"/>
  <c r="AF19" i="47"/>
  <c r="AF18" i="47"/>
  <c r="V19" i="47"/>
  <c r="V18" i="47"/>
  <c r="R19" i="47"/>
  <c r="R18" i="47"/>
  <c r="O19" i="47"/>
  <c r="O18" i="47"/>
  <c r="CL35" i="47"/>
  <c r="CL34" i="47"/>
  <c r="CB35" i="47"/>
  <c r="CB34" i="47"/>
  <c r="BO35" i="47"/>
  <c r="BO34" i="47"/>
  <c r="BM35" i="47"/>
  <c r="BM34" i="47"/>
  <c r="AR35" i="47"/>
  <c r="AR34" i="47"/>
  <c r="AX35" i="47"/>
  <c r="AX34" i="47"/>
  <c r="AJ35" i="47"/>
  <c r="AJ34" i="47"/>
  <c r="W35" i="47"/>
  <c r="W34" i="47"/>
  <c r="CN33" i="47"/>
  <c r="Y35" i="47"/>
  <c r="Y34" i="47"/>
  <c r="CN34" i="47" s="1"/>
  <c r="P35" i="47"/>
  <c r="P34" i="47"/>
  <c r="CE159" i="47"/>
  <c r="CE158" i="47"/>
  <c r="BU159" i="47"/>
  <c r="BU158" i="47"/>
  <c r="BT159" i="47"/>
  <c r="BT158" i="47"/>
  <c r="BB159" i="47"/>
  <c r="BB158" i="47"/>
  <c r="BH159" i="47"/>
  <c r="BH158" i="47"/>
  <c r="BC159" i="47"/>
  <c r="BC158" i="47"/>
  <c r="AK159" i="47"/>
  <c r="AK158" i="47"/>
  <c r="AJ159" i="47"/>
  <c r="AJ158" i="47"/>
  <c r="V159" i="47"/>
  <c r="V158" i="47"/>
  <c r="T159" i="47"/>
  <c r="T158" i="47"/>
  <c r="CF19" i="47"/>
  <c r="CL19" i="47"/>
  <c r="CL18" i="47"/>
  <c r="BX19" i="47"/>
  <c r="BX18" i="47"/>
  <c r="BN19" i="47"/>
  <c r="BN18" i="47"/>
  <c r="BA19" i="47"/>
  <c r="BA18" i="47"/>
  <c r="AM19" i="47"/>
  <c r="AM18" i="47"/>
  <c r="AP19" i="47"/>
  <c r="AP18" i="47"/>
  <c r="X19" i="47"/>
  <c r="X18" i="47"/>
  <c r="N19" i="47"/>
  <c r="N18" i="47"/>
  <c r="Q19" i="47"/>
  <c r="Q18" i="47"/>
  <c r="CF35" i="47"/>
  <c r="CF34" i="47"/>
  <c r="CH35" i="47"/>
  <c r="CH34" i="47"/>
  <c r="BT35" i="47"/>
  <c r="BT34" i="47"/>
  <c r="BW35" i="47"/>
  <c r="BW34" i="47"/>
  <c r="BE35" i="47"/>
  <c r="BE34" i="47"/>
  <c r="AU35" i="47"/>
  <c r="AU34" i="47"/>
  <c r="AL35" i="47"/>
  <c r="AL34" i="47"/>
  <c r="CP33" i="47"/>
  <c r="CO33" i="47"/>
  <c r="AN35" i="47"/>
  <c r="AN34" i="47"/>
  <c r="S35" i="47"/>
  <c r="S34" i="47"/>
  <c r="M35" i="47"/>
  <c r="M34" i="47"/>
  <c r="O35" i="47"/>
  <c r="O34" i="47"/>
  <c r="CI159" i="47"/>
  <c r="CI158" i="47"/>
  <c r="CC159" i="47"/>
  <c r="CC158" i="47"/>
  <c r="BK159" i="47"/>
  <c r="BK158" i="47"/>
  <c r="BR159" i="47"/>
  <c r="BR158" i="47"/>
  <c r="AZ159" i="47"/>
  <c r="AZ158" i="47"/>
  <c r="AQ159" i="47"/>
  <c r="AQ158" i="47"/>
  <c r="AC159" i="47"/>
  <c r="AC158" i="47"/>
  <c r="AI159" i="47"/>
  <c r="AI158" i="47"/>
  <c r="Z159" i="47"/>
  <c r="Z158" i="47"/>
  <c r="J159" i="47"/>
  <c r="J158" i="47"/>
  <c r="J163" i="47"/>
  <c r="CE19" i="47"/>
  <c r="CE18" i="47"/>
  <c r="CC19" i="47"/>
  <c r="CC18" i="47"/>
  <c r="BT19" i="47"/>
  <c r="BT18" i="47"/>
  <c r="BJ19" i="47"/>
  <c r="BJ18" i="47"/>
  <c r="BM19" i="47"/>
  <c r="BM18" i="47"/>
  <c r="BC19" i="47"/>
  <c r="BC18" i="47"/>
  <c r="AG19" i="47"/>
  <c r="AG18" i="47"/>
  <c r="CP17" i="47"/>
  <c r="CO17" i="47"/>
  <c r="AN19" i="47"/>
  <c r="AN18" i="47"/>
  <c r="S19" i="47"/>
  <c r="S18" i="47"/>
  <c r="L19" i="47"/>
  <c r="L23" i="47"/>
  <c r="L18" i="47"/>
  <c r="CJ35" i="47"/>
  <c r="CJ34" i="47"/>
  <c r="BV35" i="47"/>
  <c r="BV34" i="47"/>
  <c r="BP35" i="47"/>
  <c r="BP34" i="47"/>
  <c r="BR35" i="47"/>
  <c r="BR34" i="47"/>
  <c r="AW35" i="47"/>
  <c r="AW34" i="47"/>
  <c r="AM35" i="47"/>
  <c r="AM34" i="47"/>
  <c r="AH35" i="47"/>
  <c r="AH34" i="47"/>
  <c r="X35" i="47"/>
  <c r="X34" i="47"/>
  <c r="V35" i="47"/>
  <c r="V34" i="47"/>
  <c r="L35" i="47"/>
  <c r="L39" i="47"/>
  <c r="L34" i="47"/>
  <c r="CF121" i="47"/>
  <c r="CF127" i="47"/>
  <c r="CF128" i="47" s="1"/>
  <c r="CF129" i="47" s="1"/>
  <c r="CF130" i="47" s="1"/>
  <c r="AX12" i="42"/>
  <c r="BD23" i="25"/>
  <c r="I12" i="42"/>
  <c r="O23" i="25"/>
  <c r="AO13" i="42"/>
  <c r="AU28" i="25"/>
  <c r="T9" i="42"/>
  <c r="Z6" i="25"/>
  <c r="H145" i="21"/>
  <c r="AN5" i="42"/>
  <c r="AT7" i="25"/>
  <c r="I9" i="42"/>
  <c r="O6" i="25"/>
  <c r="J5" i="42"/>
  <c r="P7" i="25"/>
  <c r="K149" i="21"/>
  <c r="K145" i="21"/>
  <c r="P145" i="21"/>
  <c r="P149" i="21"/>
  <c r="L141" i="21"/>
  <c r="K142" i="21"/>
  <c r="T142" i="21"/>
  <c r="Q141" i="21"/>
  <c r="P142" i="21"/>
  <c r="U141" i="21"/>
  <c r="Y141" i="21"/>
  <c r="H147" i="21" l="1"/>
  <c r="H149" i="21"/>
  <c r="CJ123" i="47"/>
  <c r="CJ122" i="47"/>
  <c r="CF123" i="47"/>
  <c r="CF122" i="47"/>
  <c r="G147" i="47"/>
  <c r="F148" i="47"/>
  <c r="AB144" i="47"/>
  <c r="AC143" i="47"/>
  <c r="I141" i="21"/>
  <c r="H143" i="21"/>
  <c r="I143" i="21" s="1"/>
  <c r="J143" i="21" s="1"/>
  <c r="CN35" i="47"/>
  <c r="CO19" i="47"/>
  <c r="CP19" i="47"/>
  <c r="CP34" i="47"/>
  <c r="CO34" i="47"/>
  <c r="K140" i="47"/>
  <c r="L139" i="47"/>
  <c r="CK121" i="47"/>
  <c r="CK127" i="47"/>
  <c r="CK128" i="47" s="1"/>
  <c r="CK129" i="47" s="1"/>
  <c r="CK130" i="47" s="1"/>
  <c r="CP18" i="47"/>
  <c r="CO18" i="47"/>
  <c r="CP35" i="47"/>
  <c r="CO35" i="47"/>
  <c r="CK138" i="47"/>
  <c r="CK106" i="47"/>
  <c r="CL138" i="47"/>
  <c r="CP158" i="47"/>
  <c r="CO158" i="47"/>
  <c r="Z134" i="47"/>
  <c r="Z135" i="47" s="1"/>
  <c r="Z136" i="47" s="1"/>
  <c r="AA133" i="47"/>
  <c r="CN159" i="47"/>
  <c r="CP159" i="47"/>
  <c r="CO159" i="47"/>
  <c r="CN19" i="47"/>
  <c r="J12" i="42"/>
  <c r="P23" i="25"/>
  <c r="AO5" i="42"/>
  <c r="AU7" i="25"/>
  <c r="U9" i="42"/>
  <c r="AA6" i="25"/>
  <c r="AP13" i="42"/>
  <c r="AW28" i="25" s="1"/>
  <c r="AV28" i="25"/>
  <c r="K5" i="42"/>
  <c r="Q7" i="25"/>
  <c r="J9" i="42"/>
  <c r="P6" i="25"/>
  <c r="AY12" i="42"/>
  <c r="BE23" i="25"/>
  <c r="Q149" i="21"/>
  <c r="Q145" i="21"/>
  <c r="L145" i="21"/>
  <c r="L149" i="21"/>
  <c r="U145" i="21"/>
  <c r="U149" i="21"/>
  <c r="Y142" i="21"/>
  <c r="V141" i="21"/>
  <c r="U142" i="21"/>
  <c r="R141" i="21"/>
  <c r="Q142" i="21"/>
  <c r="M141" i="21"/>
  <c r="L142" i="21"/>
  <c r="AD141" i="21"/>
  <c r="Z141" i="21"/>
  <c r="CK123" i="47" l="1"/>
  <c r="CK122" i="47"/>
  <c r="H147" i="47"/>
  <c r="G148" i="47"/>
  <c r="K143" i="21"/>
  <c r="AD143" i="47"/>
  <c r="AC144" i="47"/>
  <c r="I145" i="21"/>
  <c r="I142" i="21"/>
  <c r="I149" i="21"/>
  <c r="I147" i="21"/>
  <c r="J147" i="21" s="1"/>
  <c r="K147" i="21" s="1"/>
  <c r="L147" i="21" s="1"/>
  <c r="M147" i="21" s="1"/>
  <c r="AA134" i="47"/>
  <c r="AA135" i="47" s="1"/>
  <c r="AA136" i="47" s="1"/>
  <c r="AB133" i="47"/>
  <c r="M139" i="47"/>
  <c r="L140" i="47"/>
  <c r="V9" i="42"/>
  <c r="AC6" i="25" s="1"/>
  <c r="AB6" i="25"/>
  <c r="AP5" i="42"/>
  <c r="AW7" i="25" s="1"/>
  <c r="AV7" i="25"/>
  <c r="AZ12" i="42"/>
  <c r="BG23" i="25" s="1"/>
  <c r="BF23" i="25"/>
  <c r="K9" i="42"/>
  <c r="Q6" i="25"/>
  <c r="L5" i="42"/>
  <c r="S7" i="25" s="1"/>
  <c r="R7" i="25"/>
  <c r="K12" i="42"/>
  <c r="Q23" i="25"/>
  <c r="M145" i="21"/>
  <c r="M149" i="21"/>
  <c r="R149" i="21"/>
  <c r="R145" i="21"/>
  <c r="V145" i="21"/>
  <c r="V149" i="21"/>
  <c r="AD142" i="21"/>
  <c r="N141" i="21"/>
  <c r="M142" i="21"/>
  <c r="W141" i="21"/>
  <c r="V142" i="21"/>
  <c r="S141" i="21"/>
  <c r="R142" i="21"/>
  <c r="AA141" i="21"/>
  <c r="Z142" i="21"/>
  <c r="AI141" i="21"/>
  <c r="AE141" i="21"/>
  <c r="H148" i="47" l="1"/>
  <c r="I147" i="47"/>
  <c r="AE143" i="47"/>
  <c r="AD144" i="47"/>
  <c r="L143" i="21"/>
  <c r="M140" i="47"/>
  <c r="N139" i="47"/>
  <c r="AB134" i="47"/>
  <c r="AB135" i="47" s="1"/>
  <c r="AB136" i="47" s="1"/>
  <c r="AC133" i="47"/>
  <c r="L9" i="42"/>
  <c r="S6" i="25" s="1"/>
  <c r="R6" i="25"/>
  <c r="N147" i="21"/>
  <c r="O147" i="21" s="1"/>
  <c r="P147" i="21" s="1"/>
  <c r="Q147" i="21" s="1"/>
  <c r="R147" i="21" s="1"/>
  <c r="S147" i="21" s="1"/>
  <c r="T147" i="21" s="1"/>
  <c r="U147" i="21" s="1"/>
  <c r="V147" i="21" s="1"/>
  <c r="W147" i="21" s="1"/>
  <c r="L12" i="42"/>
  <c r="S23" i="25" s="1"/>
  <c r="R23" i="25"/>
  <c r="S145" i="21"/>
  <c r="S149" i="21"/>
  <c r="W149" i="21"/>
  <c r="W145" i="21"/>
  <c r="AA145" i="21"/>
  <c r="AA149" i="21"/>
  <c r="AE145" i="21"/>
  <c r="AE149" i="21"/>
  <c r="AI145" i="21"/>
  <c r="AI149" i="21"/>
  <c r="N145" i="21"/>
  <c r="N149" i="21"/>
  <c r="AB141" i="21"/>
  <c r="AA142" i="21"/>
  <c r="X141" i="21"/>
  <c r="W142" i="21"/>
  <c r="AF141" i="21"/>
  <c r="AE142" i="21"/>
  <c r="AI142" i="21"/>
  <c r="N142" i="21"/>
  <c r="S142" i="21"/>
  <c r="AN141" i="21"/>
  <c r="AJ141" i="21"/>
  <c r="J147" i="47" l="1"/>
  <c r="I148" i="47"/>
  <c r="M143" i="21"/>
  <c r="AE144" i="47"/>
  <c r="AF143" i="47"/>
  <c r="AC134" i="47"/>
  <c r="AC135" i="47" s="1"/>
  <c r="AC136" i="47" s="1"/>
  <c r="AD133" i="47"/>
  <c r="N140" i="47"/>
  <c r="O139" i="47"/>
  <c r="X147" i="21"/>
  <c r="Y147" i="21" s="1"/>
  <c r="Z147" i="21" s="1"/>
  <c r="AA147" i="21" s="1"/>
  <c r="AB147" i="21" s="1"/>
  <c r="AJ145" i="21"/>
  <c r="AJ149" i="21"/>
  <c r="AN145" i="21"/>
  <c r="AN149" i="21"/>
  <c r="AF145" i="21"/>
  <c r="AF149" i="21"/>
  <c r="AG141" i="21"/>
  <c r="AF142" i="21"/>
  <c r="AK141" i="21"/>
  <c r="AJ142" i="21"/>
  <c r="AN142" i="21"/>
  <c r="X142" i="21"/>
  <c r="AC141" i="21"/>
  <c r="AB142" i="21"/>
  <c r="AO141" i="21"/>
  <c r="AS141" i="21"/>
  <c r="K147" i="47" l="1"/>
  <c r="J148" i="47"/>
  <c r="AF144" i="47"/>
  <c r="AG143" i="47"/>
  <c r="N143" i="21"/>
  <c r="O140" i="47"/>
  <c r="P139" i="47"/>
  <c r="AD134" i="47"/>
  <c r="AD135" i="47" s="1"/>
  <c r="AD136" i="47" s="1"/>
  <c r="AE133" i="47"/>
  <c r="AC149" i="21"/>
  <c r="AC145" i="21"/>
  <c r="AK149" i="21"/>
  <c r="AK145" i="21"/>
  <c r="AS149" i="21"/>
  <c r="AS145" i="21"/>
  <c r="AO145" i="21"/>
  <c r="AO149" i="21"/>
  <c r="AG145" i="21"/>
  <c r="AG149" i="21"/>
  <c r="AC147" i="21"/>
  <c r="AD147" i="21" s="1"/>
  <c r="AE147" i="21" s="1"/>
  <c r="AF147" i="21" s="1"/>
  <c r="AG147" i="21" s="1"/>
  <c r="AH147" i="21" s="1"/>
  <c r="AI147" i="21" s="1"/>
  <c r="AJ147" i="21" s="1"/>
  <c r="AK147" i="21" s="1"/>
  <c r="AL147" i="21" s="1"/>
  <c r="AC142" i="21"/>
  <c r="AL141" i="21"/>
  <c r="AK142" i="21"/>
  <c r="AS142" i="21"/>
  <c r="AP141" i="21"/>
  <c r="AO142" i="21"/>
  <c r="AH141" i="21"/>
  <c r="AG142" i="21"/>
  <c r="AX141" i="21"/>
  <c r="AT141" i="21"/>
  <c r="L147" i="47" l="1"/>
  <c r="K148" i="47"/>
  <c r="O143" i="21"/>
  <c r="AG144" i="47"/>
  <c r="AH143" i="47"/>
  <c r="AE134" i="47"/>
  <c r="AE135" i="47" s="1"/>
  <c r="AE136" i="47" s="1"/>
  <c r="AF133" i="47"/>
  <c r="P140" i="47"/>
  <c r="Q139" i="47"/>
  <c r="AP145" i="21"/>
  <c r="AP149" i="21"/>
  <c r="AT149" i="21"/>
  <c r="AT145" i="21"/>
  <c r="AL149" i="21"/>
  <c r="AL145" i="21"/>
  <c r="AX145" i="21"/>
  <c r="AX149" i="21"/>
  <c r="AH145" i="21"/>
  <c r="AH149" i="21"/>
  <c r="AQ141" i="21"/>
  <c r="AP142" i="21"/>
  <c r="AU141" i="21"/>
  <c r="AT142" i="21"/>
  <c r="AM141" i="21"/>
  <c r="AL142" i="21"/>
  <c r="AX142" i="21"/>
  <c r="AH142" i="21"/>
  <c r="BC141" i="21"/>
  <c r="AY141" i="21"/>
  <c r="M147" i="47" l="1"/>
  <c r="L148" i="47"/>
  <c r="AI143" i="47"/>
  <c r="AH144" i="47"/>
  <c r="P143" i="21"/>
  <c r="Q140" i="47"/>
  <c r="R139" i="47"/>
  <c r="AF134" i="47"/>
  <c r="AF135" i="47" s="1"/>
  <c r="AF136" i="47" s="1"/>
  <c r="AG133" i="47"/>
  <c r="AM145" i="21"/>
  <c r="AM149" i="21"/>
  <c r="AU145" i="21"/>
  <c r="AU149" i="21"/>
  <c r="AY145" i="21"/>
  <c r="AY149" i="21"/>
  <c r="AQ149" i="21"/>
  <c r="AQ145" i="21"/>
  <c r="BC145" i="21"/>
  <c r="BC149" i="21"/>
  <c r="AM147" i="21"/>
  <c r="AN147" i="21" s="1"/>
  <c r="AO147" i="21" s="1"/>
  <c r="AP147" i="21" s="1"/>
  <c r="AQ147" i="21" s="1"/>
  <c r="AR147" i="21" s="1"/>
  <c r="AS147" i="21" s="1"/>
  <c r="AT147" i="21" s="1"/>
  <c r="AU147" i="21" s="1"/>
  <c r="AV147" i="21" s="1"/>
  <c r="AM142" i="21"/>
  <c r="AV141" i="21"/>
  <c r="AU142" i="21"/>
  <c r="AZ141" i="21"/>
  <c r="AY142" i="21"/>
  <c r="BC142" i="21"/>
  <c r="AR141" i="21"/>
  <c r="AQ142" i="21"/>
  <c r="BD141" i="21"/>
  <c r="BH141" i="21"/>
  <c r="N147" i="47" l="1"/>
  <c r="M148" i="47"/>
  <c r="Q143" i="21"/>
  <c r="AJ143" i="47"/>
  <c r="AI144" i="47"/>
  <c r="AG134" i="47"/>
  <c r="AG135" i="47" s="1"/>
  <c r="AG136" i="47" s="1"/>
  <c r="AH133" i="47"/>
  <c r="S139" i="47"/>
  <c r="R140" i="47"/>
  <c r="AZ145" i="21"/>
  <c r="AZ149" i="21"/>
  <c r="BH145" i="21"/>
  <c r="BH149" i="21"/>
  <c r="AV145" i="21"/>
  <c r="AV149" i="21"/>
  <c r="BD145" i="21"/>
  <c r="BD149" i="21"/>
  <c r="AR145" i="21"/>
  <c r="AR149" i="21"/>
  <c r="AR142" i="21"/>
  <c r="BA141" i="21"/>
  <c r="AZ142" i="21"/>
  <c r="BH142" i="21"/>
  <c r="AW141" i="21"/>
  <c r="AV142" i="21"/>
  <c r="BE141" i="21"/>
  <c r="BD142" i="21"/>
  <c r="BM141" i="21"/>
  <c r="BI141" i="21"/>
  <c r="O147" i="47" l="1"/>
  <c r="N148" i="47"/>
  <c r="AJ144" i="47"/>
  <c r="AK143" i="47"/>
  <c r="R143" i="21"/>
  <c r="S140" i="47"/>
  <c r="T139" i="47"/>
  <c r="AH134" i="47"/>
  <c r="AH135" i="47" s="1"/>
  <c r="AH136" i="47" s="1"/>
  <c r="AI133" i="47"/>
  <c r="BI149" i="21"/>
  <c r="BI145" i="21"/>
  <c r="AW145" i="21"/>
  <c r="AW149" i="21"/>
  <c r="BA149" i="21"/>
  <c r="BA145" i="21"/>
  <c r="BE145" i="21"/>
  <c r="BE149" i="21"/>
  <c r="BM145" i="21"/>
  <c r="BM149" i="21"/>
  <c r="AW147" i="21"/>
  <c r="AX147" i="21" s="1"/>
  <c r="AY147" i="21" s="1"/>
  <c r="AZ147" i="21" s="1"/>
  <c r="BA147" i="21" s="1"/>
  <c r="AW142" i="21"/>
  <c r="BJ141" i="21"/>
  <c r="BI142" i="21"/>
  <c r="BB141" i="21"/>
  <c r="BA142" i="21"/>
  <c r="BF141" i="21"/>
  <c r="BE142" i="21"/>
  <c r="BM142" i="21"/>
  <c r="BN141" i="21"/>
  <c r="BR141" i="21"/>
  <c r="P147" i="47" l="1"/>
  <c r="O148" i="47"/>
  <c r="S143" i="21"/>
  <c r="AK144" i="47"/>
  <c r="AL143" i="47"/>
  <c r="AI134" i="47"/>
  <c r="AI135" i="47" s="1"/>
  <c r="AI136" i="47" s="1"/>
  <c r="AJ133" i="47"/>
  <c r="U139" i="47"/>
  <c r="T140" i="47"/>
  <c r="BB147" i="21"/>
  <c r="BC147" i="21" s="1"/>
  <c r="BD147" i="21" s="1"/>
  <c r="BE147" i="21" s="1"/>
  <c r="BF147" i="21" s="1"/>
  <c r="BJ149" i="21"/>
  <c r="BJ145" i="21"/>
  <c r="BN145" i="21"/>
  <c r="BN149" i="21"/>
  <c r="BB149" i="21"/>
  <c r="BB145" i="21"/>
  <c r="BR149" i="21"/>
  <c r="BR145" i="21"/>
  <c r="BF145" i="21"/>
  <c r="BF149" i="21"/>
  <c r="BB142" i="21"/>
  <c r="BR142" i="21"/>
  <c r="BK141" i="21"/>
  <c r="BJ142" i="21"/>
  <c r="BO141" i="21"/>
  <c r="BN142" i="21"/>
  <c r="BG141" i="21"/>
  <c r="BF142" i="21"/>
  <c r="BW141" i="21"/>
  <c r="BS141" i="21"/>
  <c r="Q147" i="47" l="1"/>
  <c r="P148" i="47"/>
  <c r="AM143" i="47"/>
  <c r="AL144" i="47"/>
  <c r="T143" i="21"/>
  <c r="U140" i="47"/>
  <c r="V139" i="47"/>
  <c r="AJ134" i="47"/>
  <c r="AJ135" i="47" s="1"/>
  <c r="AJ136" i="47" s="1"/>
  <c r="AK133" i="47"/>
  <c r="BG147" i="21"/>
  <c r="BH147" i="21" s="1"/>
  <c r="BI147" i="21" s="1"/>
  <c r="BJ147" i="21" s="1"/>
  <c r="BK147" i="21" s="1"/>
  <c r="BW149" i="21"/>
  <c r="BW145" i="21"/>
  <c r="BO149" i="21"/>
  <c r="BO145" i="21"/>
  <c r="BK145" i="21"/>
  <c r="BK149" i="21"/>
  <c r="BS145" i="21"/>
  <c r="BS149" i="21"/>
  <c r="BG145" i="21"/>
  <c r="BG149" i="21"/>
  <c r="BG142" i="21"/>
  <c r="BL141" i="21"/>
  <c r="BK142" i="21"/>
  <c r="BW142" i="21"/>
  <c r="BP141" i="21"/>
  <c r="BO142" i="21"/>
  <c r="BT141" i="21"/>
  <c r="BS142" i="21"/>
  <c r="BX141" i="21"/>
  <c r="CB141" i="21"/>
  <c r="R147" i="47" l="1"/>
  <c r="Q148" i="47"/>
  <c r="U143" i="21"/>
  <c r="AN143" i="47"/>
  <c r="AM144" i="47"/>
  <c r="AK134" i="47"/>
  <c r="AK135" i="47" s="1"/>
  <c r="AK136" i="47" s="1"/>
  <c r="AL133" i="47"/>
  <c r="V140" i="47"/>
  <c r="W139" i="47"/>
  <c r="BP145" i="21"/>
  <c r="BP149" i="21"/>
  <c r="CB145" i="21"/>
  <c r="CB149" i="21"/>
  <c r="BL145" i="21"/>
  <c r="BL149" i="21"/>
  <c r="BX145" i="21"/>
  <c r="BX149" i="21"/>
  <c r="BT145" i="21"/>
  <c r="BT149" i="21"/>
  <c r="BL147" i="21"/>
  <c r="BM147" i="21" s="1"/>
  <c r="BN147" i="21" s="1"/>
  <c r="BO147" i="21" s="1"/>
  <c r="BP147" i="21" s="1"/>
  <c r="BU141" i="21"/>
  <c r="BT142" i="21"/>
  <c r="BQ141" i="21"/>
  <c r="BP142" i="21"/>
  <c r="CB142" i="21"/>
  <c r="BL142" i="21"/>
  <c r="BY141" i="21"/>
  <c r="BX142" i="21"/>
  <c r="CC141" i="21"/>
  <c r="CG141" i="21"/>
  <c r="S147" i="47" l="1"/>
  <c r="R148" i="47"/>
  <c r="AN144" i="47"/>
  <c r="AO143" i="47"/>
  <c r="V143" i="21"/>
  <c r="W140" i="47"/>
  <c r="X139" i="47"/>
  <c r="AL134" i="47"/>
  <c r="AL135" i="47" s="1"/>
  <c r="AL136" i="47" s="1"/>
  <c r="AM133" i="47"/>
  <c r="CG149" i="21"/>
  <c r="CG145" i="21"/>
  <c r="BU145" i="21"/>
  <c r="BU149" i="21"/>
  <c r="BQ149" i="21"/>
  <c r="BQ145" i="21"/>
  <c r="BQ147" i="21"/>
  <c r="BR147" i="21" s="1"/>
  <c r="BS147" i="21" s="1"/>
  <c r="BT147" i="21" s="1"/>
  <c r="BU147" i="21" s="1"/>
  <c r="BY149" i="21"/>
  <c r="BY145" i="21"/>
  <c r="CC145" i="21"/>
  <c r="CC149" i="21"/>
  <c r="BZ141" i="21"/>
  <c r="BY142" i="21"/>
  <c r="BQ142" i="21"/>
  <c r="CG142" i="21"/>
  <c r="CD141" i="21"/>
  <c r="CC142" i="21"/>
  <c r="BV141" i="21"/>
  <c r="BU142" i="21"/>
  <c r="CL141" i="21"/>
  <c r="CH141" i="21"/>
  <c r="T147" i="47" l="1"/>
  <c r="S148" i="47"/>
  <c r="W143" i="21"/>
  <c r="AO144" i="47"/>
  <c r="AP143" i="47"/>
  <c r="AM134" i="47"/>
  <c r="AM135" i="47" s="1"/>
  <c r="AM136" i="47" s="1"/>
  <c r="AN133" i="47"/>
  <c r="X140" i="47"/>
  <c r="Y139" i="47"/>
  <c r="BV147" i="21"/>
  <c r="BW147" i="21" s="1"/>
  <c r="BX147" i="21" s="1"/>
  <c r="BY147" i="21" s="1"/>
  <c r="BZ147" i="21" s="1"/>
  <c r="CD145" i="21"/>
  <c r="CD149" i="21"/>
  <c r="BZ149" i="21"/>
  <c r="BZ145" i="21"/>
  <c r="CH149" i="21"/>
  <c r="CH145" i="21"/>
  <c r="BV145" i="21"/>
  <c r="BV149" i="21"/>
  <c r="CL145" i="21"/>
  <c r="CL149" i="21"/>
  <c r="BV142" i="21"/>
  <c r="CE141" i="21"/>
  <c r="CD142" i="21"/>
  <c r="CL142" i="21"/>
  <c r="CA141" i="21"/>
  <c r="BZ142" i="21"/>
  <c r="CI141" i="21"/>
  <c r="CH142" i="21"/>
  <c r="U147" i="47" l="1"/>
  <c r="T148" i="47"/>
  <c r="T149" i="47" s="1"/>
  <c r="AP144" i="47"/>
  <c r="AQ143" i="47"/>
  <c r="X143" i="21"/>
  <c r="Y140" i="47"/>
  <c r="Z139" i="47"/>
  <c r="AN134" i="47"/>
  <c r="AN135" i="47" s="1"/>
  <c r="AN136" i="47" s="1"/>
  <c r="AO133" i="47"/>
  <c r="CA145" i="21"/>
  <c r="CA149" i="21"/>
  <c r="CE145" i="21"/>
  <c r="CE149" i="21"/>
  <c r="CA147" i="21"/>
  <c r="CB147" i="21" s="1"/>
  <c r="CC147" i="21" s="1"/>
  <c r="CD147" i="21" s="1"/>
  <c r="CE147" i="21" s="1"/>
  <c r="CF147" i="21" s="1"/>
  <c r="CG147" i="21" s="1"/>
  <c r="CH147" i="21" s="1"/>
  <c r="CI147" i="21" s="1"/>
  <c r="CJ147" i="21" s="1"/>
  <c r="CI145" i="21"/>
  <c r="CI149" i="21"/>
  <c r="CA142" i="21"/>
  <c r="CJ141" i="21"/>
  <c r="CI142" i="21"/>
  <c r="CF141" i="21"/>
  <c r="CE142" i="21"/>
  <c r="W144" i="21" l="1"/>
  <c r="V144" i="21"/>
  <c r="V147" i="47"/>
  <c r="U148" i="47"/>
  <c r="Y143" i="21"/>
  <c r="AQ144" i="47"/>
  <c r="AR143" i="47"/>
  <c r="AO134" i="47"/>
  <c r="AO135" i="47" s="1"/>
  <c r="AO136" i="47" s="1"/>
  <c r="AP133" i="47"/>
  <c r="AA139" i="47"/>
  <c r="Z140" i="47"/>
  <c r="CF145" i="21"/>
  <c r="CF149" i="21"/>
  <c r="CJ145" i="21"/>
  <c r="CJ149" i="21"/>
  <c r="CF142" i="21"/>
  <c r="CK141" i="21"/>
  <c r="L144" i="21" s="1"/>
  <c r="CJ142" i="21"/>
  <c r="O144" i="21" l="1"/>
  <c r="R144" i="21"/>
  <c r="Q144" i="21"/>
  <c r="S144" i="21"/>
  <c r="T144" i="21"/>
  <c r="H144" i="21"/>
  <c r="G144" i="21"/>
  <c r="G148" i="21" s="1"/>
  <c r="F144" i="21"/>
  <c r="F148" i="21" s="1"/>
  <c r="P144" i="21"/>
  <c r="K144" i="21"/>
  <c r="E144" i="21"/>
  <c r="E148" i="21" s="1"/>
  <c r="X144" i="21"/>
  <c r="J144" i="21"/>
  <c r="M144" i="21"/>
  <c r="I144" i="21"/>
  <c r="U144" i="21"/>
  <c r="N144" i="21"/>
  <c r="W147" i="47"/>
  <c r="V148" i="47"/>
  <c r="AS143" i="47"/>
  <c r="AR144" i="47"/>
  <c r="Z143" i="21"/>
  <c r="Y144" i="21"/>
  <c r="AA140" i="47"/>
  <c r="AB139" i="47"/>
  <c r="AP134" i="47"/>
  <c r="AP135" i="47" s="1"/>
  <c r="AP136" i="47" s="1"/>
  <c r="AQ133" i="47"/>
  <c r="CK145" i="21"/>
  <c r="CK149" i="21"/>
  <c r="CK147" i="21"/>
  <c r="CL147" i="21" s="1"/>
  <c r="CK142" i="21"/>
  <c r="X147" i="47" l="1"/>
  <c r="W148" i="47"/>
  <c r="AA143" i="21"/>
  <c r="Z144" i="21"/>
  <c r="AS144" i="47"/>
  <c r="AT143" i="47"/>
  <c r="AQ134" i="47"/>
  <c r="AQ135" i="47" s="1"/>
  <c r="AQ136" i="47" s="1"/>
  <c r="AR133" i="47"/>
  <c r="AC139" i="47"/>
  <c r="AB140" i="47"/>
  <c r="E165" i="21"/>
  <c r="B153" i="21"/>
  <c r="B152" i="21"/>
  <c r="B151" i="21"/>
  <c r="J150" i="21"/>
  <c r="F150" i="21"/>
  <c r="F164" i="21" s="1"/>
  <c r="J137" i="21"/>
  <c r="O137" i="21" s="1"/>
  <c r="F137" i="21"/>
  <c r="G137" i="21" s="1"/>
  <c r="H137" i="21" s="1"/>
  <c r="I137" i="21" s="1"/>
  <c r="J131" i="21"/>
  <c r="O131" i="21" s="1"/>
  <c r="F131" i="21"/>
  <c r="G131" i="21" s="1"/>
  <c r="H131" i="21" s="1"/>
  <c r="I131" i="21" s="1"/>
  <c r="J126" i="21"/>
  <c r="O126" i="21" s="1"/>
  <c r="F126" i="21"/>
  <c r="G126" i="21" s="1"/>
  <c r="H126" i="21" s="1"/>
  <c r="I126" i="21" s="1"/>
  <c r="Y147" i="47" l="1"/>
  <c r="X148" i="47"/>
  <c r="AT144" i="47"/>
  <c r="AU143" i="47"/>
  <c r="AB143" i="21"/>
  <c r="AA144" i="21"/>
  <c r="AC140" i="47"/>
  <c r="AD139" i="47"/>
  <c r="AR134" i="47"/>
  <c r="AR135" i="47" s="1"/>
  <c r="AR136" i="47" s="1"/>
  <c r="AS133" i="47"/>
  <c r="G150" i="21"/>
  <c r="F156" i="21"/>
  <c r="F165" i="21"/>
  <c r="O150" i="21"/>
  <c r="T150" i="21" s="1"/>
  <c r="J162" i="21"/>
  <c r="J156" i="21"/>
  <c r="K150" i="21"/>
  <c r="P137" i="21"/>
  <c r="Q137" i="21" s="1"/>
  <c r="R137" i="21" s="1"/>
  <c r="S137" i="21" s="1"/>
  <c r="T137" i="21"/>
  <c r="K137" i="21"/>
  <c r="L137" i="21" s="1"/>
  <c r="M137" i="21" s="1"/>
  <c r="N137" i="21" s="1"/>
  <c r="P131" i="21"/>
  <c r="Q131" i="21" s="1"/>
  <c r="R131" i="21" s="1"/>
  <c r="S131" i="21" s="1"/>
  <c r="T131" i="21"/>
  <c r="K131" i="21"/>
  <c r="L131" i="21" s="1"/>
  <c r="M131" i="21" s="1"/>
  <c r="N131" i="21" s="1"/>
  <c r="T126" i="21"/>
  <c r="P126" i="21"/>
  <c r="Q126" i="21" s="1"/>
  <c r="R126" i="21" s="1"/>
  <c r="S126" i="21" s="1"/>
  <c r="K126" i="21"/>
  <c r="L126" i="21" s="1"/>
  <c r="M126" i="21" s="1"/>
  <c r="N126" i="21" s="1"/>
  <c r="P150" i="21" l="1"/>
  <c r="Z147" i="47"/>
  <c r="Y148" i="47"/>
  <c r="AB144" i="21"/>
  <c r="AC143" i="21"/>
  <c r="AU144" i="47"/>
  <c r="AV143" i="47"/>
  <c r="AS134" i="47"/>
  <c r="AS135" i="47" s="1"/>
  <c r="AS136" i="47" s="1"/>
  <c r="AT133" i="47"/>
  <c r="AD140" i="47"/>
  <c r="AE139" i="47"/>
  <c r="P156" i="21"/>
  <c r="P162" i="21"/>
  <c r="P165" i="21"/>
  <c r="P164" i="21"/>
  <c r="T156" i="21"/>
  <c r="T164" i="21"/>
  <c r="T165" i="21"/>
  <c r="K162" i="21"/>
  <c r="K156" i="21"/>
  <c r="O162" i="21"/>
  <c r="O156" i="21"/>
  <c r="H150" i="21"/>
  <c r="G156" i="21"/>
  <c r="G162" i="21"/>
  <c r="G164" i="21"/>
  <c r="G165" i="21"/>
  <c r="L150" i="21"/>
  <c r="Q150" i="21"/>
  <c r="Y150" i="21"/>
  <c r="U150" i="21"/>
  <c r="U137" i="21"/>
  <c r="V137" i="21" s="1"/>
  <c r="W137" i="21" s="1"/>
  <c r="X137" i="21" s="1"/>
  <c r="Y137" i="21"/>
  <c r="Y131" i="21"/>
  <c r="U131" i="21"/>
  <c r="V131" i="21" s="1"/>
  <c r="W131" i="21" s="1"/>
  <c r="X131" i="21" s="1"/>
  <c r="Y126" i="21"/>
  <c r="U126" i="21"/>
  <c r="V126" i="21" s="1"/>
  <c r="W126" i="21" s="1"/>
  <c r="X126" i="21" s="1"/>
  <c r="AA147" i="47" l="1"/>
  <c r="Z148" i="47"/>
  <c r="AV144" i="47"/>
  <c r="AW143" i="47"/>
  <c r="AD143" i="21"/>
  <c r="AC144" i="21"/>
  <c r="AT134" i="47"/>
  <c r="AT135" i="47" s="1"/>
  <c r="AT136" i="47" s="1"/>
  <c r="AU133" i="47"/>
  <c r="AE140" i="47"/>
  <c r="AF139" i="47"/>
  <c r="U156" i="21"/>
  <c r="U164" i="21"/>
  <c r="U165" i="21"/>
  <c r="I150" i="21"/>
  <c r="H165" i="21"/>
  <c r="H164" i="21"/>
  <c r="Y156" i="21"/>
  <c r="Y164" i="21"/>
  <c r="Y165" i="21"/>
  <c r="Q162" i="21"/>
  <c r="Q156" i="21"/>
  <c r="Q164" i="21"/>
  <c r="Q165" i="21"/>
  <c r="L162" i="21"/>
  <c r="L156" i="21"/>
  <c r="M150" i="21"/>
  <c r="R150" i="21"/>
  <c r="V150" i="21"/>
  <c r="Z150" i="21"/>
  <c r="AD150" i="21"/>
  <c r="AD137" i="21"/>
  <c r="Z137" i="21"/>
  <c r="AA137" i="21" s="1"/>
  <c r="AB137" i="21" s="1"/>
  <c r="AC137" i="21" s="1"/>
  <c r="AD131" i="21"/>
  <c r="Z131" i="21"/>
  <c r="AA131" i="21" s="1"/>
  <c r="AB131" i="21" s="1"/>
  <c r="AC131" i="21" s="1"/>
  <c r="AD126" i="21"/>
  <c r="Z126" i="21"/>
  <c r="AA126" i="21" s="1"/>
  <c r="AB126" i="21" s="1"/>
  <c r="AC126" i="21" s="1"/>
  <c r="AB147" i="47" l="1"/>
  <c r="AA148" i="47"/>
  <c r="AE143" i="21"/>
  <c r="AD144" i="21"/>
  <c r="AX143" i="47"/>
  <c r="AW144" i="47"/>
  <c r="AF140" i="47"/>
  <c r="AG139" i="47"/>
  <c r="AU134" i="47"/>
  <c r="AU135" i="47" s="1"/>
  <c r="AU136" i="47" s="1"/>
  <c r="AV133" i="47"/>
  <c r="CN164" i="21"/>
  <c r="Z156" i="21"/>
  <c r="Z164" i="21"/>
  <c r="Z165" i="21"/>
  <c r="V156" i="21"/>
  <c r="V165" i="21"/>
  <c r="V164" i="21"/>
  <c r="AD156" i="21"/>
  <c r="AD165" i="21"/>
  <c r="AD164" i="21"/>
  <c r="R156" i="21"/>
  <c r="R164" i="21"/>
  <c r="R165" i="21"/>
  <c r="CN165" i="21"/>
  <c r="M156" i="21"/>
  <c r="N150" i="21"/>
  <c r="S150" i="21"/>
  <c r="W150" i="21"/>
  <c r="AA150" i="21"/>
  <c r="AI150" i="21"/>
  <c r="AE150" i="21"/>
  <c r="AI137" i="21"/>
  <c r="AE137" i="21"/>
  <c r="AF137" i="21" s="1"/>
  <c r="AG137" i="21" s="1"/>
  <c r="AH137" i="21" s="1"/>
  <c r="AI131" i="21"/>
  <c r="AE131" i="21"/>
  <c r="AF131" i="21" s="1"/>
  <c r="AG131" i="21" s="1"/>
  <c r="AH131" i="21" s="1"/>
  <c r="AI126" i="21"/>
  <c r="AE126" i="21"/>
  <c r="AF126" i="21" s="1"/>
  <c r="AG126" i="21" s="1"/>
  <c r="AH126" i="21" s="1"/>
  <c r="AC147" i="47" l="1"/>
  <c r="AB148" i="47"/>
  <c r="AX144" i="47"/>
  <c r="AY143" i="47"/>
  <c r="AF143" i="21"/>
  <c r="AE144" i="21"/>
  <c r="AV134" i="47"/>
  <c r="AV135" i="47" s="1"/>
  <c r="AV136" i="47" s="1"/>
  <c r="AW133" i="47"/>
  <c r="AG140" i="47"/>
  <c r="AH139" i="47"/>
  <c r="AE156" i="21"/>
  <c r="AE165" i="21"/>
  <c r="AE164" i="21"/>
  <c r="AI156" i="21"/>
  <c r="AI162" i="21"/>
  <c r="AI164" i="21"/>
  <c r="AI165" i="21"/>
  <c r="S162" i="21"/>
  <c r="S156" i="21"/>
  <c r="S164" i="21"/>
  <c r="S165" i="21"/>
  <c r="N162" i="21"/>
  <c r="N156" i="21"/>
  <c r="W156" i="21"/>
  <c r="W165" i="21"/>
  <c r="W164" i="21"/>
  <c r="AA156" i="21"/>
  <c r="AA164" i="21"/>
  <c r="AA165" i="21"/>
  <c r="AF150" i="21"/>
  <c r="AB150" i="21"/>
  <c r="X150" i="21"/>
  <c r="AJ150" i="21"/>
  <c r="AN150" i="21"/>
  <c r="AN137" i="21"/>
  <c r="AJ137" i="21"/>
  <c r="AK137" i="21" s="1"/>
  <c r="AL137" i="21" s="1"/>
  <c r="AM137" i="21" s="1"/>
  <c r="AN131" i="21"/>
  <c r="AJ131" i="21"/>
  <c r="AK131" i="21" s="1"/>
  <c r="AL131" i="21" s="1"/>
  <c r="AM131" i="21" s="1"/>
  <c r="AJ126" i="21"/>
  <c r="AK126" i="21" s="1"/>
  <c r="AL126" i="21" s="1"/>
  <c r="AM126" i="21" s="1"/>
  <c r="AN126" i="21"/>
  <c r="AD147" i="47" l="1"/>
  <c r="AC148" i="47"/>
  <c r="AG143" i="21"/>
  <c r="AF144" i="21"/>
  <c r="AY144" i="47"/>
  <c r="AZ143" i="47"/>
  <c r="AI139" i="47"/>
  <c r="AH140" i="47"/>
  <c r="AW134" i="47"/>
  <c r="AW135" i="47" s="1"/>
  <c r="AW136" i="47" s="1"/>
  <c r="AX133" i="47"/>
  <c r="X156" i="21"/>
  <c r="X165" i="21"/>
  <c r="X164" i="21"/>
  <c r="AB156" i="21"/>
  <c r="AB164" i="21"/>
  <c r="AB165" i="21"/>
  <c r="AF156" i="21"/>
  <c r="AF162" i="21"/>
  <c r="AF165" i="21"/>
  <c r="AF164" i="21"/>
  <c r="AN156" i="21"/>
  <c r="AN165" i="21"/>
  <c r="AN164" i="21"/>
  <c r="AJ156" i="21"/>
  <c r="AJ162" i="21"/>
  <c r="AJ164" i="21"/>
  <c r="AJ165" i="21"/>
  <c r="AK150" i="21"/>
  <c r="AG150" i="21"/>
  <c r="AC150" i="21"/>
  <c r="AO150" i="21"/>
  <c r="AS150" i="21"/>
  <c r="AO137" i="21"/>
  <c r="AP137" i="21" s="1"/>
  <c r="AQ137" i="21" s="1"/>
  <c r="AR137" i="21" s="1"/>
  <c r="AS137" i="21"/>
  <c r="AO131" i="21"/>
  <c r="AP131" i="21" s="1"/>
  <c r="AQ131" i="21" s="1"/>
  <c r="AR131" i="21" s="1"/>
  <c r="AS131" i="21"/>
  <c r="AO126" i="21"/>
  <c r="AP126" i="21" s="1"/>
  <c r="AQ126" i="21" s="1"/>
  <c r="AR126" i="21" s="1"/>
  <c r="AS126" i="21"/>
  <c r="AE147" i="47" l="1"/>
  <c r="AD148" i="47"/>
  <c r="AZ144" i="47"/>
  <c r="BA143" i="47"/>
  <c r="AH143" i="21"/>
  <c r="AG144" i="21"/>
  <c r="AX134" i="47"/>
  <c r="AX135" i="47" s="1"/>
  <c r="AX136" i="47" s="1"/>
  <c r="AY133" i="47"/>
  <c r="AI140" i="47"/>
  <c r="AJ139" i="47"/>
  <c r="AS156" i="21"/>
  <c r="AS162" i="21"/>
  <c r="AG162" i="21"/>
  <c r="AG156" i="21"/>
  <c r="AG164" i="21"/>
  <c r="AG165" i="21"/>
  <c r="AC156" i="21"/>
  <c r="AC162" i="21"/>
  <c r="AC165" i="21"/>
  <c r="AC164" i="21"/>
  <c r="AK156" i="21"/>
  <c r="AK165" i="21"/>
  <c r="AK164" i="21"/>
  <c r="AO162" i="21"/>
  <c r="AO156" i="21"/>
  <c r="CO164" i="21"/>
  <c r="CP164" i="21"/>
  <c r="CP165" i="21"/>
  <c r="CO165" i="21"/>
  <c r="AH150" i="21"/>
  <c r="AP150" i="21"/>
  <c r="AL150" i="21"/>
  <c r="CO156" i="21"/>
  <c r="AT150" i="21"/>
  <c r="AX150" i="21"/>
  <c r="AX137" i="21"/>
  <c r="AT137" i="21"/>
  <c r="AU137" i="21" s="1"/>
  <c r="AV137" i="21" s="1"/>
  <c r="AW137" i="21" s="1"/>
  <c r="AX131" i="21"/>
  <c r="AT131" i="21"/>
  <c r="AU131" i="21" s="1"/>
  <c r="AV131" i="21" s="1"/>
  <c r="AW131" i="21" s="1"/>
  <c r="AX126" i="21"/>
  <c r="AT126" i="21"/>
  <c r="AU126" i="21" s="1"/>
  <c r="AV126" i="21" s="1"/>
  <c r="AW126" i="21" s="1"/>
  <c r="AF147" i="47" l="1"/>
  <c r="AE148" i="47"/>
  <c r="AI143" i="21"/>
  <c r="AH144" i="21"/>
  <c r="BA144" i="47"/>
  <c r="BB143" i="47"/>
  <c r="AK139" i="47"/>
  <c r="AJ140" i="47"/>
  <c r="AY134" i="47"/>
  <c r="AY135" i="47" s="1"/>
  <c r="AY136" i="47" s="1"/>
  <c r="AZ133" i="47"/>
  <c r="AL156" i="21"/>
  <c r="AL162" i="21"/>
  <c r="AL165" i="21"/>
  <c r="AL164" i="21"/>
  <c r="AT156" i="21"/>
  <c r="AT162" i="21"/>
  <c r="AP162" i="21"/>
  <c r="AP156" i="21"/>
  <c r="AH162" i="21"/>
  <c r="AH156" i="21"/>
  <c r="AH164" i="21"/>
  <c r="AH165" i="21"/>
  <c r="AX162" i="21"/>
  <c r="AX156" i="21"/>
  <c r="AU150" i="21"/>
  <c r="AQ150" i="21"/>
  <c r="AM150" i="21"/>
  <c r="AY150" i="21"/>
  <c r="BC150" i="21"/>
  <c r="AY137" i="21"/>
  <c r="AZ137" i="21" s="1"/>
  <c r="BA137" i="21" s="1"/>
  <c r="BB137" i="21" s="1"/>
  <c r="BC137" i="21"/>
  <c r="BC131" i="21"/>
  <c r="AY131" i="21"/>
  <c r="AZ131" i="21" s="1"/>
  <c r="BA131" i="21" s="1"/>
  <c r="BB131" i="21" s="1"/>
  <c r="BC126" i="21"/>
  <c r="AY126" i="21"/>
  <c r="AZ126" i="21" s="1"/>
  <c r="BA126" i="21" s="1"/>
  <c r="BB126" i="21" s="1"/>
  <c r="AG147" i="47" l="1"/>
  <c r="AF148" i="47"/>
  <c r="BC143" i="47"/>
  <c r="BB144" i="47"/>
  <c r="AJ143" i="21"/>
  <c r="AI144" i="21"/>
  <c r="AZ134" i="47"/>
  <c r="AZ135" i="47" s="1"/>
  <c r="AZ136" i="47" s="1"/>
  <c r="BA133" i="47"/>
  <c r="AK140" i="47"/>
  <c r="AL139" i="47"/>
  <c r="AQ156" i="21"/>
  <c r="AQ162" i="21"/>
  <c r="AU162" i="21"/>
  <c r="AU156" i="21"/>
  <c r="BC156" i="21"/>
  <c r="BC162" i="21"/>
  <c r="AY156" i="21"/>
  <c r="AY162" i="21"/>
  <c r="AM162" i="21"/>
  <c r="AM156" i="21"/>
  <c r="AM165" i="21"/>
  <c r="AM164" i="21"/>
  <c r="AZ150" i="21"/>
  <c r="AR150" i="21"/>
  <c r="AV150" i="21"/>
  <c r="BH150" i="21"/>
  <c r="BD150" i="21"/>
  <c r="BD137" i="21"/>
  <c r="BE137" i="21" s="1"/>
  <c r="BF137" i="21" s="1"/>
  <c r="BG137" i="21" s="1"/>
  <c r="BH137" i="21"/>
  <c r="BH131" i="21"/>
  <c r="BD131" i="21"/>
  <c r="BE131" i="21" s="1"/>
  <c r="BF131" i="21" s="1"/>
  <c r="BG131" i="21" s="1"/>
  <c r="BH126" i="21"/>
  <c r="BD126" i="21"/>
  <c r="BE126" i="21" s="1"/>
  <c r="BF126" i="21" s="1"/>
  <c r="BG126" i="21" s="1"/>
  <c r="AH147" i="47" l="1"/>
  <c r="AG148" i="47"/>
  <c r="AK143" i="21"/>
  <c r="AJ144" i="21"/>
  <c r="BC144" i="47"/>
  <c r="BD143" i="47"/>
  <c r="AL140" i="47"/>
  <c r="AM139" i="47"/>
  <c r="BA134" i="47"/>
  <c r="BA135" i="47" s="1"/>
  <c r="BA136" i="47" s="1"/>
  <c r="BB133" i="47"/>
  <c r="AZ156" i="21"/>
  <c r="AZ162" i="21"/>
  <c r="AR156" i="21"/>
  <c r="AR162" i="21"/>
  <c r="BH156" i="21"/>
  <c r="BH162" i="21"/>
  <c r="AV156" i="21"/>
  <c r="AV162" i="21"/>
  <c r="BD156" i="21"/>
  <c r="BD162" i="21"/>
  <c r="AW150" i="21"/>
  <c r="BE150" i="21"/>
  <c r="BA150" i="21"/>
  <c r="BM150" i="21"/>
  <c r="BI150" i="21"/>
  <c r="BM137" i="21"/>
  <c r="BI137" i="21"/>
  <c r="BJ137" i="21" s="1"/>
  <c r="BK137" i="21" s="1"/>
  <c r="BL137" i="21" s="1"/>
  <c r="BM131" i="21"/>
  <c r="BI131" i="21"/>
  <c r="BJ131" i="21" s="1"/>
  <c r="BK131" i="21" s="1"/>
  <c r="BL131" i="21" s="1"/>
  <c r="BM126" i="21"/>
  <c r="BI126" i="21"/>
  <c r="BJ126" i="21" s="1"/>
  <c r="BK126" i="21" s="1"/>
  <c r="BL126" i="21" s="1"/>
  <c r="AI147" i="47" l="1"/>
  <c r="AH148" i="47"/>
  <c r="BD144" i="47"/>
  <c r="BE143" i="47"/>
  <c r="AL143" i="21"/>
  <c r="AK144" i="21"/>
  <c r="BB134" i="47"/>
  <c r="BB135" i="47" s="1"/>
  <c r="BB136" i="47" s="1"/>
  <c r="BC133" i="47"/>
  <c r="AM140" i="47"/>
  <c r="AN139" i="47"/>
  <c r="BI156" i="21"/>
  <c r="BI162" i="21"/>
  <c r="BA156" i="21"/>
  <c r="BA162" i="21"/>
  <c r="BM162" i="21"/>
  <c r="BM156" i="21"/>
  <c r="AW162" i="21"/>
  <c r="AW156" i="21"/>
  <c r="BE162" i="21"/>
  <c r="BE156" i="21"/>
  <c r="BJ150" i="21"/>
  <c r="BB150" i="21"/>
  <c r="BF150" i="21"/>
  <c r="BN150" i="21"/>
  <c r="BR150" i="21"/>
  <c r="BN137" i="21"/>
  <c r="BO137" i="21" s="1"/>
  <c r="BP137" i="21" s="1"/>
  <c r="BQ137" i="21" s="1"/>
  <c r="BR137" i="21"/>
  <c r="BN131" i="21"/>
  <c r="BO131" i="21" s="1"/>
  <c r="BP131" i="21" s="1"/>
  <c r="BQ131" i="21" s="1"/>
  <c r="BR131" i="21"/>
  <c r="BN126" i="21"/>
  <c r="BO126" i="21" s="1"/>
  <c r="BP126" i="21" s="1"/>
  <c r="BQ126" i="21" s="1"/>
  <c r="BR126" i="21"/>
  <c r="AJ147" i="47" l="1"/>
  <c r="AI148" i="47"/>
  <c r="AM143" i="21"/>
  <c r="AL144" i="21"/>
  <c r="BE144" i="47"/>
  <c r="BF143" i="47"/>
  <c r="BC134" i="47"/>
  <c r="BC135" i="47" s="1"/>
  <c r="BC136" i="47" s="1"/>
  <c r="BD133" i="47"/>
  <c r="AN140" i="47"/>
  <c r="AO139" i="47"/>
  <c r="BR156" i="21"/>
  <c r="BR162" i="21"/>
  <c r="BB156" i="21"/>
  <c r="BB162" i="21"/>
  <c r="BJ156" i="21"/>
  <c r="BJ162" i="21"/>
  <c r="BN162" i="21"/>
  <c r="BN156" i="21"/>
  <c r="BF162" i="21"/>
  <c r="BF156" i="21"/>
  <c r="BG150" i="21"/>
  <c r="BO150" i="21"/>
  <c r="BK150" i="21"/>
  <c r="BS150" i="21"/>
  <c r="BW150" i="21"/>
  <c r="BW137" i="21"/>
  <c r="BS137" i="21"/>
  <c r="BT137" i="21" s="1"/>
  <c r="BU137" i="21" s="1"/>
  <c r="BV137" i="21" s="1"/>
  <c r="BW131" i="21"/>
  <c r="BS131" i="21"/>
  <c r="BT131" i="21" s="1"/>
  <c r="BU131" i="21" s="1"/>
  <c r="BV131" i="21" s="1"/>
  <c r="BW126" i="21"/>
  <c r="BS126" i="21"/>
  <c r="BT126" i="21" s="1"/>
  <c r="BU126" i="21" s="1"/>
  <c r="BV126" i="21" s="1"/>
  <c r="AK147" i="47" l="1"/>
  <c r="AJ148" i="47"/>
  <c r="BF144" i="47"/>
  <c r="BG143" i="47"/>
  <c r="AN143" i="21"/>
  <c r="AM144" i="21"/>
  <c r="AO140" i="47"/>
  <c r="AP139" i="47"/>
  <c r="BD134" i="47"/>
  <c r="BD135" i="47" s="1"/>
  <c r="BD136" i="47" s="1"/>
  <c r="BE133" i="47"/>
  <c r="BW156" i="21"/>
  <c r="BW162" i="21"/>
  <c r="BS156" i="21"/>
  <c r="BS162" i="21"/>
  <c r="BK156" i="21"/>
  <c r="BK162" i="21"/>
  <c r="BO156" i="21"/>
  <c r="BO162" i="21"/>
  <c r="BG156" i="21"/>
  <c r="BG162" i="21"/>
  <c r="BP150" i="21"/>
  <c r="BT150" i="21"/>
  <c r="BL150" i="21"/>
  <c r="BX150" i="21"/>
  <c r="CB150" i="21"/>
  <c r="BX137" i="21"/>
  <c r="BY137" i="21" s="1"/>
  <c r="BZ137" i="21" s="1"/>
  <c r="CA137" i="21" s="1"/>
  <c r="CB137" i="21"/>
  <c r="BX131" i="21"/>
  <c r="BY131" i="21" s="1"/>
  <c r="BZ131" i="21" s="1"/>
  <c r="CA131" i="21" s="1"/>
  <c r="CB131" i="21"/>
  <c r="BX126" i="21"/>
  <c r="BY126" i="21" s="1"/>
  <c r="BZ126" i="21" s="1"/>
  <c r="CA126" i="21" s="1"/>
  <c r="CB126" i="21"/>
  <c r="AL147" i="47" l="1"/>
  <c r="AK148" i="47"/>
  <c r="AO143" i="21"/>
  <c r="AN144" i="21"/>
  <c r="BH143" i="47"/>
  <c r="BG144" i="47"/>
  <c r="BE134" i="47"/>
  <c r="BE135" i="47" s="1"/>
  <c r="BE136" i="47" s="1"/>
  <c r="BF133" i="47"/>
  <c r="AQ139" i="47"/>
  <c r="AP140" i="47"/>
  <c r="BX156" i="21"/>
  <c r="BX162" i="21"/>
  <c r="CB156" i="21"/>
  <c r="CB162" i="21"/>
  <c r="BL156" i="21"/>
  <c r="BL162" i="21"/>
  <c r="BT156" i="21"/>
  <c r="BT162" i="21"/>
  <c r="BP156" i="21"/>
  <c r="BP162" i="21"/>
  <c r="BY150" i="21"/>
  <c r="BU150" i="21"/>
  <c r="BQ150" i="21"/>
  <c r="CG150" i="21"/>
  <c r="CC150" i="21"/>
  <c r="CG137" i="21"/>
  <c r="CC137" i="21"/>
  <c r="CD137" i="21" s="1"/>
  <c r="CE137" i="21" s="1"/>
  <c r="CF137" i="21" s="1"/>
  <c r="CG131" i="21"/>
  <c r="CC131" i="21"/>
  <c r="CD131" i="21" s="1"/>
  <c r="CE131" i="21" s="1"/>
  <c r="CF131" i="21" s="1"/>
  <c r="CG126" i="21"/>
  <c r="CC126" i="21"/>
  <c r="CD126" i="21" s="1"/>
  <c r="CE126" i="21" s="1"/>
  <c r="CF126" i="21" s="1"/>
  <c r="AM147" i="47" l="1"/>
  <c r="AL148" i="47"/>
  <c r="BH144" i="47"/>
  <c r="BI143" i="47"/>
  <c r="AO144" i="21"/>
  <c r="AP143" i="21"/>
  <c r="AQ140" i="47"/>
  <c r="AR139" i="47"/>
  <c r="BF134" i="47"/>
  <c r="BF135" i="47" s="1"/>
  <c r="BF136" i="47" s="1"/>
  <c r="BG133" i="47"/>
  <c r="BQ156" i="21"/>
  <c r="BQ162" i="21"/>
  <c r="BU162" i="21"/>
  <c r="BU156" i="21"/>
  <c r="BY156" i="21"/>
  <c r="BY162" i="21"/>
  <c r="CC162" i="21"/>
  <c r="CC156" i="21"/>
  <c r="CG156" i="21"/>
  <c r="CG162" i="21"/>
  <c r="CD150" i="21"/>
  <c r="BV150" i="21"/>
  <c r="BZ150" i="21"/>
  <c r="CL150" i="21"/>
  <c r="CH150" i="21"/>
  <c r="CL137" i="21"/>
  <c r="CH137" i="21"/>
  <c r="CI137" i="21" s="1"/>
  <c r="CJ137" i="21" s="1"/>
  <c r="CK137" i="21" s="1"/>
  <c r="CL131" i="21"/>
  <c r="CH131" i="21"/>
  <c r="CI131" i="21" s="1"/>
  <c r="CJ131" i="21" s="1"/>
  <c r="CK131" i="21" s="1"/>
  <c r="CL126" i="21"/>
  <c r="CH126" i="21"/>
  <c r="CI126" i="21" s="1"/>
  <c r="CJ126" i="21" s="1"/>
  <c r="CK126" i="21" s="1"/>
  <c r="AN147" i="47" l="1"/>
  <c r="AM148" i="47"/>
  <c r="AP144" i="21"/>
  <c r="AQ143" i="21"/>
  <c r="BI144" i="47"/>
  <c r="BJ143" i="47"/>
  <c r="BG134" i="47"/>
  <c r="BG135" i="47" s="1"/>
  <c r="BG136" i="47" s="1"/>
  <c r="BH133" i="47"/>
  <c r="AS139" i="47"/>
  <c r="AR140" i="47"/>
  <c r="CH156" i="21"/>
  <c r="CH162" i="21"/>
  <c r="BZ156" i="21"/>
  <c r="BZ162" i="21"/>
  <c r="BV162" i="21"/>
  <c r="BV156" i="21"/>
  <c r="CL162" i="21"/>
  <c r="CL156" i="21"/>
  <c r="CD162" i="21"/>
  <c r="CD156" i="21"/>
  <c r="CE150" i="21"/>
  <c r="CI150" i="21"/>
  <c r="CA150" i="21"/>
  <c r="AO147" i="47" l="1"/>
  <c r="AN148" i="47"/>
  <c r="BJ144" i="47"/>
  <c r="BK143" i="47"/>
  <c r="AR143" i="21"/>
  <c r="AQ144" i="21"/>
  <c r="AS140" i="47"/>
  <c r="AT139" i="47"/>
  <c r="BH134" i="47"/>
  <c r="BH135" i="47" s="1"/>
  <c r="BH136" i="47" s="1"/>
  <c r="BI133" i="47"/>
  <c r="CI156" i="21"/>
  <c r="CI162" i="21"/>
  <c r="CA156" i="21"/>
  <c r="CA162" i="21"/>
  <c r="CE156" i="21"/>
  <c r="CE162" i="21"/>
  <c r="CJ150" i="21"/>
  <c r="CF150" i="21"/>
  <c r="AP147" i="47" l="1"/>
  <c r="AO148" i="47"/>
  <c r="AS143" i="21"/>
  <c r="AR144" i="21"/>
  <c r="BK144" i="47"/>
  <c r="BL143" i="47"/>
  <c r="AT140" i="47"/>
  <c r="AU139" i="47"/>
  <c r="BI134" i="47"/>
  <c r="BI135" i="47" s="1"/>
  <c r="BI136" i="47" s="1"/>
  <c r="BJ133" i="47"/>
  <c r="CF156" i="21"/>
  <c r="CF162" i="21"/>
  <c r="CJ156" i="21"/>
  <c r="CJ162" i="21"/>
  <c r="CK150" i="21"/>
  <c r="AQ147" i="47" l="1"/>
  <c r="AP148" i="47"/>
  <c r="BM143" i="47"/>
  <c r="BL144" i="47"/>
  <c r="AS144" i="21"/>
  <c r="AT143" i="21"/>
  <c r="BJ134" i="47"/>
  <c r="BJ135" i="47" s="1"/>
  <c r="BJ136" i="47" s="1"/>
  <c r="BK133" i="47"/>
  <c r="AU140" i="47"/>
  <c r="AV139" i="47"/>
  <c r="CK162" i="21"/>
  <c r="CK156" i="21"/>
  <c r="F45" i="5"/>
  <c r="S40" i="5"/>
  <c r="R40" i="5"/>
  <c r="Q40" i="5"/>
  <c r="P40" i="5"/>
  <c r="I30" i="5"/>
  <c r="E30" i="5"/>
  <c r="F30" i="5" s="1"/>
  <c r="AR147" i="47" l="1"/>
  <c r="AQ148" i="47"/>
  <c r="AU143" i="21"/>
  <c r="AT144" i="21"/>
  <c r="BM144" i="47"/>
  <c r="BN143" i="47"/>
  <c r="AV140" i="47"/>
  <c r="AW139" i="47"/>
  <c r="BK134" i="47"/>
  <c r="BK135" i="47" s="1"/>
  <c r="BK136" i="47" s="1"/>
  <c r="BL133" i="47"/>
  <c r="T53" i="5"/>
  <c r="P38" i="5"/>
  <c r="Q38" i="5"/>
  <c r="T38" i="5"/>
  <c r="T40" i="5"/>
  <c r="T41" i="5" s="1"/>
  <c r="R41" i="5"/>
  <c r="P41" i="5"/>
  <c r="S41" i="5"/>
  <c r="Q41" i="5"/>
  <c r="H2" i="14"/>
  <c r="F81" i="47" l="1"/>
  <c r="G81" i="47"/>
  <c r="H81" i="47"/>
  <c r="F117" i="47"/>
  <c r="E81" i="47"/>
  <c r="E117" i="47"/>
  <c r="G117" i="47"/>
  <c r="H117" i="47"/>
  <c r="G65" i="47"/>
  <c r="G66" i="47" s="1"/>
  <c r="H65" i="47"/>
  <c r="H66" i="47" s="1"/>
  <c r="E65" i="47"/>
  <c r="E66" i="47" s="1"/>
  <c r="F65" i="47"/>
  <c r="F66" i="47" s="1"/>
  <c r="F49" i="47"/>
  <c r="F50" i="47" s="1"/>
  <c r="G49" i="47"/>
  <c r="G50" i="47" s="1"/>
  <c r="H49" i="47"/>
  <c r="H50" i="47" s="1"/>
  <c r="E49" i="47"/>
  <c r="E50" i="47" s="1"/>
  <c r="AS147" i="47"/>
  <c r="AR148" i="47"/>
  <c r="BN144" i="47"/>
  <c r="BO143" i="47"/>
  <c r="AV143" i="21"/>
  <c r="AU144" i="21"/>
  <c r="I65" i="47"/>
  <c r="J65" i="47"/>
  <c r="K65" i="47"/>
  <c r="O65" i="47"/>
  <c r="P65" i="47"/>
  <c r="T65" i="47"/>
  <c r="L65" i="47"/>
  <c r="Q65" i="47"/>
  <c r="U65" i="47"/>
  <c r="R65" i="47"/>
  <c r="M65" i="47"/>
  <c r="Y65" i="47"/>
  <c r="Z65" i="47"/>
  <c r="N65" i="47"/>
  <c r="S65" i="47"/>
  <c r="V65" i="47"/>
  <c r="AD65" i="47"/>
  <c r="AI65" i="47"/>
  <c r="AA65" i="47"/>
  <c r="W65" i="47"/>
  <c r="AE65" i="47"/>
  <c r="AJ65" i="47"/>
  <c r="AB65" i="47"/>
  <c r="AN65" i="47"/>
  <c r="X65" i="47"/>
  <c r="AF65" i="47"/>
  <c r="AG65" i="47"/>
  <c r="AO65" i="47"/>
  <c r="AC65" i="47"/>
  <c r="AK65" i="47"/>
  <c r="AS65" i="47"/>
  <c r="AL65" i="47"/>
  <c r="AX65" i="47"/>
  <c r="AT65" i="47"/>
  <c r="AP65" i="47"/>
  <c r="AH65" i="47"/>
  <c r="AM65" i="47"/>
  <c r="AY65" i="47"/>
  <c r="AQ65" i="47"/>
  <c r="AU65" i="47"/>
  <c r="BC65" i="47"/>
  <c r="AV65" i="47"/>
  <c r="BD65" i="47"/>
  <c r="AR65" i="47"/>
  <c r="AZ65" i="47"/>
  <c r="BH65" i="47"/>
  <c r="BE65" i="47"/>
  <c r="BM65" i="47"/>
  <c r="AW65" i="47"/>
  <c r="BI65" i="47"/>
  <c r="BA65" i="47"/>
  <c r="BJ65" i="47"/>
  <c r="BN65" i="47"/>
  <c r="BB65" i="47"/>
  <c r="BR65" i="47"/>
  <c r="BF65" i="47"/>
  <c r="BK65" i="47"/>
  <c r="BS65" i="47"/>
  <c r="BW65" i="47"/>
  <c r="BO65" i="47"/>
  <c r="BG65" i="47"/>
  <c r="CB65" i="47"/>
  <c r="BT65" i="47"/>
  <c r="BX65" i="47"/>
  <c r="BP65" i="47"/>
  <c r="BL65" i="47"/>
  <c r="CC65" i="47"/>
  <c r="BQ65" i="47"/>
  <c r="BY65" i="47"/>
  <c r="BU65" i="47"/>
  <c r="CG65" i="47"/>
  <c r="CH65" i="47"/>
  <c r="CL65" i="47"/>
  <c r="BZ65" i="47"/>
  <c r="CD65" i="47"/>
  <c r="BV65" i="47"/>
  <c r="CE65" i="47"/>
  <c r="CI65" i="47"/>
  <c r="CA65" i="47"/>
  <c r="CF65" i="47"/>
  <c r="CJ65" i="47"/>
  <c r="CK65" i="47"/>
  <c r="AW140" i="47"/>
  <c r="AX139" i="47"/>
  <c r="BL134" i="47"/>
  <c r="BL135" i="47" s="1"/>
  <c r="BL136" i="47" s="1"/>
  <c r="BM133" i="47"/>
  <c r="J49" i="47"/>
  <c r="I49" i="47"/>
  <c r="K49" i="47"/>
  <c r="O49" i="47"/>
  <c r="P49" i="47"/>
  <c r="Q49" i="47"/>
  <c r="L49" i="47"/>
  <c r="T49" i="47"/>
  <c r="Y49" i="47"/>
  <c r="U49" i="47"/>
  <c r="R49" i="47"/>
  <c r="M49" i="47"/>
  <c r="N49" i="47"/>
  <c r="V49" i="47"/>
  <c r="Z49" i="47"/>
  <c r="AD49" i="47"/>
  <c r="S49" i="47"/>
  <c r="AI49" i="47"/>
  <c r="AA49" i="47"/>
  <c r="W49" i="47"/>
  <c r="AE49" i="47"/>
  <c r="AF49" i="47"/>
  <c r="AJ49" i="47"/>
  <c r="AN49" i="47"/>
  <c r="X49" i="47"/>
  <c r="AB49" i="47"/>
  <c r="AS49" i="47"/>
  <c r="AO49" i="47"/>
  <c r="AG49" i="47"/>
  <c r="AK49" i="47"/>
  <c r="AC49" i="47"/>
  <c r="AT49" i="47"/>
  <c r="AX49" i="47"/>
  <c r="AH49" i="47"/>
  <c r="AP49" i="47"/>
  <c r="AL49" i="47"/>
  <c r="AU49" i="47"/>
  <c r="AM49" i="47"/>
  <c r="AQ49" i="47"/>
  <c r="BC49" i="47"/>
  <c r="AY49" i="47"/>
  <c r="AZ49" i="47"/>
  <c r="BH49" i="47"/>
  <c r="BD49" i="47"/>
  <c r="AV49" i="47"/>
  <c r="AR49" i="47"/>
  <c r="BI49" i="47"/>
  <c r="BE49" i="47"/>
  <c r="AW49" i="47"/>
  <c r="BM49" i="47"/>
  <c r="BA49" i="47"/>
  <c r="BJ49" i="47"/>
  <c r="BR49" i="47"/>
  <c r="BN49" i="47"/>
  <c r="BF49" i="47"/>
  <c r="BB49" i="47"/>
  <c r="BG49" i="47"/>
  <c r="BK49" i="47"/>
  <c r="BS49" i="47"/>
  <c r="BW49" i="47"/>
  <c r="BO49" i="47"/>
  <c r="BP49" i="47"/>
  <c r="BT49" i="47"/>
  <c r="BL49" i="47"/>
  <c r="CB49" i="47"/>
  <c r="BX49" i="47"/>
  <c r="CG49" i="47"/>
  <c r="BU49" i="47"/>
  <c r="BQ49" i="47"/>
  <c r="CC49" i="47"/>
  <c r="BY49" i="47"/>
  <c r="BV49" i="47"/>
  <c r="BZ49" i="47"/>
  <c r="CL49" i="47"/>
  <c r="CD49" i="47"/>
  <c r="CH49" i="47"/>
  <c r="CI49" i="47"/>
  <c r="CE49" i="47"/>
  <c r="CA49" i="47"/>
  <c r="CJ49" i="47"/>
  <c r="CF49" i="47"/>
  <c r="CK49" i="47"/>
  <c r="O81" i="47"/>
  <c r="P81" i="47"/>
  <c r="I81" i="47"/>
  <c r="K81" i="47"/>
  <c r="J81" i="47"/>
  <c r="T81" i="47"/>
  <c r="L81" i="47"/>
  <c r="Q81" i="47"/>
  <c r="R81" i="47"/>
  <c r="Y81" i="47"/>
  <c r="M81" i="47"/>
  <c r="U81" i="47"/>
  <c r="AD81" i="47"/>
  <c r="V81" i="47"/>
  <c r="Z81" i="47"/>
  <c r="N81" i="47"/>
  <c r="S81" i="47"/>
  <c r="W81" i="47"/>
  <c r="AE81" i="47"/>
  <c r="AI81" i="47"/>
  <c r="AA81" i="47"/>
  <c r="AN81" i="47"/>
  <c r="X81" i="47"/>
  <c r="AB81" i="47"/>
  <c r="AF81" i="47"/>
  <c r="AJ81" i="47"/>
  <c r="AO81" i="47"/>
  <c r="AC81" i="47"/>
  <c r="AK81" i="47"/>
  <c r="AG81" i="47"/>
  <c r="AS81" i="47"/>
  <c r="AH81" i="47"/>
  <c r="AL81" i="47"/>
  <c r="AX81" i="47"/>
  <c r="AP81" i="47"/>
  <c r="AT81" i="47"/>
  <c r="BC81" i="47"/>
  <c r="AY81" i="47"/>
  <c r="AQ81" i="47"/>
  <c r="AM81" i="47"/>
  <c r="AU81" i="47"/>
  <c r="BD81" i="47"/>
  <c r="AV81" i="47"/>
  <c r="AR81" i="47"/>
  <c r="AZ81" i="47"/>
  <c r="BH81" i="47"/>
  <c r="BI81" i="47"/>
  <c r="BA81" i="47"/>
  <c r="AW81" i="47"/>
  <c r="BE81" i="47"/>
  <c r="BM81" i="47"/>
  <c r="BR81" i="47"/>
  <c r="BF81" i="47"/>
  <c r="BB81" i="47"/>
  <c r="BN81" i="47"/>
  <c r="BJ81" i="47"/>
  <c r="BW81" i="47"/>
  <c r="BK81" i="47"/>
  <c r="BG81" i="47"/>
  <c r="BS81" i="47"/>
  <c r="BO81" i="47"/>
  <c r="BT81" i="47"/>
  <c r="CB81" i="47"/>
  <c r="BX81" i="47"/>
  <c r="BP81" i="47"/>
  <c r="BL81" i="47"/>
  <c r="BQ81" i="47"/>
  <c r="BY81" i="47"/>
  <c r="BU81" i="47"/>
  <c r="CC81" i="47"/>
  <c r="CG81" i="47"/>
  <c r="CD81" i="47"/>
  <c r="BV81" i="47"/>
  <c r="CH81" i="47"/>
  <c r="CL81" i="47"/>
  <c r="BZ81" i="47"/>
  <c r="CI81" i="47"/>
  <c r="CA81" i="47"/>
  <c r="CE81" i="47"/>
  <c r="CF81" i="47"/>
  <c r="CJ81" i="47"/>
  <c r="CK81" i="47"/>
  <c r="Q28" i="5"/>
  <c r="P28" i="5"/>
  <c r="T28" i="5"/>
  <c r="CN117" i="47" l="1"/>
  <c r="H118" i="47"/>
  <c r="H119" i="47"/>
  <c r="CP117" i="47"/>
  <c r="G118" i="47"/>
  <c r="G119" i="47"/>
  <c r="G121" i="47" s="1"/>
  <c r="G123" i="47" s="1"/>
  <c r="E118" i="47"/>
  <c r="E119" i="47"/>
  <c r="E121" i="47" s="1"/>
  <c r="E123" i="47" s="1"/>
  <c r="E92" i="47"/>
  <c r="E96" i="47" s="1"/>
  <c r="E96" i="21" s="1"/>
  <c r="E82" i="47"/>
  <c r="F118" i="47"/>
  <c r="F119" i="47"/>
  <c r="F121" i="47" s="1"/>
  <c r="F123" i="47" s="1"/>
  <c r="H92" i="47"/>
  <c r="H96" i="47"/>
  <c r="H96" i="21" s="1"/>
  <c r="H82" i="47"/>
  <c r="G92" i="47"/>
  <c r="G96" i="47" s="1"/>
  <c r="G96" i="21" s="1"/>
  <c r="G82" i="47"/>
  <c r="F92" i="47"/>
  <c r="F96" i="47" s="1"/>
  <c r="F96" i="21" s="1"/>
  <c r="F82" i="47"/>
  <c r="AT147" i="47"/>
  <c r="AS148" i="47"/>
  <c r="AW143" i="21"/>
  <c r="AV144" i="21"/>
  <c r="BO144" i="47"/>
  <c r="BP143" i="47"/>
  <c r="BE92" i="47"/>
  <c r="BE98" i="47" s="1"/>
  <c r="BE83" i="47"/>
  <c r="BE82" i="47"/>
  <c r="BX92" i="47"/>
  <c r="BX96" i="47" s="1"/>
  <c r="BX83" i="47"/>
  <c r="BX82" i="47"/>
  <c r="CA92" i="47"/>
  <c r="CA97" i="47" s="1"/>
  <c r="CA83" i="47"/>
  <c r="CA82" i="47"/>
  <c r="CC92" i="47"/>
  <c r="CC98" i="47" s="1"/>
  <c r="CC83" i="47"/>
  <c r="CC82" i="47"/>
  <c r="BT92" i="47"/>
  <c r="BT98" i="47" s="1"/>
  <c r="BT83" i="47"/>
  <c r="BT82" i="47"/>
  <c r="BB92" i="47"/>
  <c r="BB96" i="47" s="1"/>
  <c r="BB83" i="47"/>
  <c r="BB82" i="47"/>
  <c r="BH92" i="47"/>
  <c r="BH96" i="47" s="1"/>
  <c r="BH83" i="47"/>
  <c r="BH82" i="47"/>
  <c r="AY92" i="47"/>
  <c r="AY97" i="47" s="1"/>
  <c r="AY83" i="47"/>
  <c r="AY82" i="47"/>
  <c r="AG92" i="47"/>
  <c r="AG98" i="47" s="1"/>
  <c r="AG83" i="47"/>
  <c r="AG82" i="47"/>
  <c r="AN92" i="47"/>
  <c r="AN96" i="47" s="1"/>
  <c r="CO81" i="47"/>
  <c r="CP81" i="47"/>
  <c r="AN83" i="47"/>
  <c r="AN82" i="47"/>
  <c r="V92" i="47"/>
  <c r="V97" i="47" s="1"/>
  <c r="V83" i="47"/>
  <c r="V82" i="47"/>
  <c r="T92" i="47"/>
  <c r="T98" i="47" s="1"/>
  <c r="T83" i="47"/>
  <c r="T82" i="47"/>
  <c r="CK51" i="47"/>
  <c r="CK50" i="47"/>
  <c r="CL51" i="47"/>
  <c r="E51" i="47"/>
  <c r="G51" i="47"/>
  <c r="CL50" i="47"/>
  <c r="BX51" i="47"/>
  <c r="BX50" i="47"/>
  <c r="BK51" i="47"/>
  <c r="BK50" i="47"/>
  <c r="BM51" i="47"/>
  <c r="BM50" i="47"/>
  <c r="AZ51" i="47"/>
  <c r="AZ50" i="47"/>
  <c r="AH51" i="47"/>
  <c r="AH50" i="47"/>
  <c r="AB51" i="47"/>
  <c r="AB50" i="47"/>
  <c r="AI51" i="47"/>
  <c r="AI50" i="47"/>
  <c r="U51" i="47"/>
  <c r="U50" i="47"/>
  <c r="I51" i="47"/>
  <c r="F51" i="47"/>
  <c r="H51" i="47"/>
  <c r="CF67" i="47"/>
  <c r="CF66" i="47"/>
  <c r="CH67" i="47"/>
  <c r="CH66" i="47"/>
  <c r="BX67" i="47"/>
  <c r="BX66" i="47"/>
  <c r="BF67" i="47"/>
  <c r="BF66" i="47"/>
  <c r="BM67" i="47"/>
  <c r="BM66" i="47"/>
  <c r="AU67" i="47"/>
  <c r="AU66" i="47"/>
  <c r="AL67" i="47"/>
  <c r="AL66" i="47"/>
  <c r="CP65" i="47"/>
  <c r="CO65" i="47"/>
  <c r="AN67" i="47"/>
  <c r="AN66" i="47"/>
  <c r="V67" i="47"/>
  <c r="V66" i="47"/>
  <c r="Q67" i="47"/>
  <c r="Q66" i="47"/>
  <c r="BD92" i="47"/>
  <c r="BD97" i="47" s="1"/>
  <c r="BD83" i="47"/>
  <c r="BD82" i="47"/>
  <c r="CD92" i="47"/>
  <c r="CD98" i="47" s="1"/>
  <c r="CD83" i="47"/>
  <c r="CD82" i="47"/>
  <c r="CI92" i="47"/>
  <c r="CI98" i="47" s="1"/>
  <c r="CI83" i="47"/>
  <c r="CI82" i="47"/>
  <c r="BU92" i="47"/>
  <c r="BU96" i="47" s="1"/>
  <c r="BU83" i="47"/>
  <c r="BU82" i="47"/>
  <c r="BO92" i="47"/>
  <c r="BO98" i="47" s="1"/>
  <c r="BO83" i="47"/>
  <c r="BO82" i="47"/>
  <c r="BF92" i="47"/>
  <c r="BF96" i="47" s="1"/>
  <c r="BF83" i="47"/>
  <c r="BF82" i="47"/>
  <c r="AZ92" i="47"/>
  <c r="AZ97" i="47" s="1"/>
  <c r="AZ83" i="47"/>
  <c r="AZ82" i="47"/>
  <c r="BC92" i="47"/>
  <c r="BC98" i="47" s="1"/>
  <c r="BC83" i="47"/>
  <c r="BC82" i="47"/>
  <c r="AK92" i="47"/>
  <c r="AK96" i="47" s="1"/>
  <c r="AK83" i="47"/>
  <c r="AK82" i="47"/>
  <c r="AA92" i="47"/>
  <c r="AA97" i="47" s="1"/>
  <c r="AA83" i="47"/>
  <c r="AA82" i="47"/>
  <c r="AD92" i="47"/>
  <c r="AD97" i="47" s="1"/>
  <c r="AD83" i="47"/>
  <c r="AD82" i="47"/>
  <c r="J92" i="47"/>
  <c r="J83" i="47"/>
  <c r="J87" i="47"/>
  <c r="J82" i="47"/>
  <c r="CF51" i="47"/>
  <c r="CF50" i="47"/>
  <c r="BZ51" i="47"/>
  <c r="BZ50" i="47"/>
  <c r="CB51" i="47"/>
  <c r="CB50" i="47"/>
  <c r="BG51" i="47"/>
  <c r="BG50" i="47"/>
  <c r="AW51" i="47"/>
  <c r="AW50" i="47"/>
  <c r="AY51" i="47"/>
  <c r="AY50" i="47"/>
  <c r="AX51" i="47"/>
  <c r="AX50" i="47"/>
  <c r="X51" i="47"/>
  <c r="X50" i="47"/>
  <c r="S51" i="47"/>
  <c r="S50" i="47"/>
  <c r="CN49" i="47"/>
  <c r="Y51" i="47"/>
  <c r="Y50" i="47"/>
  <c r="CN50" i="47" s="1"/>
  <c r="J51" i="47"/>
  <c r="J55" i="47"/>
  <c r="J50" i="47"/>
  <c r="CA67" i="47"/>
  <c r="CA66" i="47"/>
  <c r="CG67" i="47"/>
  <c r="CG66" i="47"/>
  <c r="BT67" i="47"/>
  <c r="BT66" i="47"/>
  <c r="BR67" i="47"/>
  <c r="BR66" i="47"/>
  <c r="BE67" i="47"/>
  <c r="BE66" i="47"/>
  <c r="AQ67" i="47"/>
  <c r="AQ66" i="47"/>
  <c r="AS67" i="47"/>
  <c r="AS66" i="47"/>
  <c r="AB67" i="47"/>
  <c r="AB66" i="47"/>
  <c r="S67" i="47"/>
  <c r="S66" i="47"/>
  <c r="L67" i="47"/>
  <c r="L71" i="47"/>
  <c r="L66" i="47"/>
  <c r="CK92" i="47"/>
  <c r="CK97" i="47" s="1"/>
  <c r="CK83" i="47"/>
  <c r="CK82" i="47"/>
  <c r="AX92" i="47"/>
  <c r="AX97" i="47" s="1"/>
  <c r="AX83" i="47"/>
  <c r="AX82" i="47"/>
  <c r="BJ92" i="47"/>
  <c r="BJ97" i="47" s="1"/>
  <c r="BJ83" i="47"/>
  <c r="BJ82" i="47"/>
  <c r="BZ92" i="47"/>
  <c r="BZ97" i="47" s="1"/>
  <c r="BZ83" i="47"/>
  <c r="BZ82" i="47"/>
  <c r="BY92" i="47"/>
  <c r="BY96" i="47" s="1"/>
  <c r="BY83" i="47"/>
  <c r="BY82" i="47"/>
  <c r="BS92" i="47"/>
  <c r="BS96" i="47" s="1"/>
  <c r="BS83" i="47"/>
  <c r="BS82" i="47"/>
  <c r="BR92" i="47"/>
  <c r="BR96" i="47" s="1"/>
  <c r="BR83" i="47"/>
  <c r="BR82" i="47"/>
  <c r="AR92" i="47"/>
  <c r="AR96" i="47" s="1"/>
  <c r="AR83" i="47"/>
  <c r="AR82" i="47"/>
  <c r="AT92" i="47"/>
  <c r="AT97" i="47" s="1"/>
  <c r="AT83" i="47"/>
  <c r="AT82" i="47"/>
  <c r="AC92" i="47"/>
  <c r="AC96" i="47" s="1"/>
  <c r="AC83" i="47"/>
  <c r="AC82" i="47"/>
  <c r="AI92" i="47"/>
  <c r="AI96" i="47" s="1"/>
  <c r="AI83" i="47"/>
  <c r="AI82" i="47"/>
  <c r="U92" i="47"/>
  <c r="U98" i="47" s="1"/>
  <c r="U83" i="47"/>
  <c r="U82" i="47"/>
  <c r="K92" i="47"/>
  <c r="K97" i="47" s="1"/>
  <c r="K83" i="47"/>
  <c r="K82" i="47"/>
  <c r="K87" i="47"/>
  <c r="CJ51" i="47"/>
  <c r="CJ50" i="47"/>
  <c r="BV51" i="47"/>
  <c r="BV50" i="47"/>
  <c r="BL51" i="47"/>
  <c r="BL50" i="47"/>
  <c r="BB51" i="47"/>
  <c r="BB50" i="47"/>
  <c r="BE51" i="47"/>
  <c r="BE50" i="47"/>
  <c r="BC51" i="47"/>
  <c r="BC50" i="47"/>
  <c r="AT51" i="47"/>
  <c r="AT50" i="47"/>
  <c r="CP49" i="47"/>
  <c r="CO49" i="47"/>
  <c r="AN51" i="47"/>
  <c r="AN50" i="47"/>
  <c r="AD51" i="47"/>
  <c r="AD50" i="47"/>
  <c r="T51" i="47"/>
  <c r="T50" i="47"/>
  <c r="BM134" i="47"/>
  <c r="BM135" i="47" s="1"/>
  <c r="BM136" i="47" s="1"/>
  <c r="BN133" i="47"/>
  <c r="CI67" i="47"/>
  <c r="CI66" i="47"/>
  <c r="BU67" i="47"/>
  <c r="BU66" i="47"/>
  <c r="CB67" i="47"/>
  <c r="CB66" i="47"/>
  <c r="BB67" i="47"/>
  <c r="BB66" i="47"/>
  <c r="BH67" i="47"/>
  <c r="BH66" i="47"/>
  <c r="AY67" i="47"/>
  <c r="AY66" i="47"/>
  <c r="AK67" i="47"/>
  <c r="AK66" i="47"/>
  <c r="AJ67" i="47"/>
  <c r="AJ66" i="47"/>
  <c r="N67" i="47"/>
  <c r="N66" i="47"/>
  <c r="T67" i="47"/>
  <c r="T66" i="47"/>
  <c r="AJ92" i="47"/>
  <c r="AJ98" i="47" s="1"/>
  <c r="AJ83" i="47"/>
  <c r="AJ82" i="47"/>
  <c r="AM92" i="47"/>
  <c r="AM96" i="47" s="1"/>
  <c r="AM83" i="47"/>
  <c r="AM82" i="47"/>
  <c r="CL92" i="47"/>
  <c r="CL97" i="47" s="1"/>
  <c r="CL83" i="47"/>
  <c r="CL82" i="47"/>
  <c r="BQ92" i="47"/>
  <c r="BQ97" i="47" s="1"/>
  <c r="BQ83" i="47"/>
  <c r="BQ82" i="47"/>
  <c r="BG92" i="47"/>
  <c r="BG96" i="47" s="1"/>
  <c r="BG83" i="47"/>
  <c r="BG82" i="47"/>
  <c r="BM92" i="47"/>
  <c r="BM97" i="47" s="1"/>
  <c r="BM83" i="47"/>
  <c r="BM82" i="47"/>
  <c r="AV92" i="47"/>
  <c r="AV98" i="47" s="1"/>
  <c r="AV83" i="47"/>
  <c r="AV82" i="47"/>
  <c r="AP92" i="47"/>
  <c r="AP96" i="47" s="1"/>
  <c r="AP83" i="47"/>
  <c r="AP82" i="47"/>
  <c r="AO92" i="47"/>
  <c r="AO96" i="47" s="1"/>
  <c r="AO83" i="47"/>
  <c r="AO82" i="47"/>
  <c r="AE92" i="47"/>
  <c r="AE98" i="47" s="1"/>
  <c r="AE83" i="47"/>
  <c r="AE82" i="47"/>
  <c r="M92" i="47"/>
  <c r="M96" i="47" s="1"/>
  <c r="M96" i="21" s="1"/>
  <c r="M83" i="47"/>
  <c r="M82" i="47"/>
  <c r="I92" i="47"/>
  <c r="I96" i="47" s="1"/>
  <c r="I96" i="21" s="1"/>
  <c r="I83" i="47"/>
  <c r="H83" i="47"/>
  <c r="G83" i="47"/>
  <c r="E83" i="47"/>
  <c r="F83" i="47"/>
  <c r="CA51" i="47"/>
  <c r="CA50" i="47"/>
  <c r="BY51" i="47"/>
  <c r="BY50" i="47"/>
  <c r="BT51" i="47"/>
  <c r="BT50" i="47"/>
  <c r="BF51" i="47"/>
  <c r="BF50" i="47"/>
  <c r="BI51" i="47"/>
  <c r="BI50" i="47"/>
  <c r="AQ51" i="47"/>
  <c r="AQ50" i="47"/>
  <c r="AC51" i="47"/>
  <c r="AC50" i="47"/>
  <c r="AJ51" i="47"/>
  <c r="AJ50" i="47"/>
  <c r="Z51" i="47"/>
  <c r="Z50" i="47"/>
  <c r="L51" i="47"/>
  <c r="L55" i="47"/>
  <c r="L50" i="47"/>
  <c r="CE67" i="47"/>
  <c r="CE66" i="47"/>
  <c r="BY67" i="47"/>
  <c r="BY66" i="47"/>
  <c r="BG67" i="47"/>
  <c r="BG66" i="47"/>
  <c r="BN67" i="47"/>
  <c r="BN66" i="47"/>
  <c r="AZ67" i="47"/>
  <c r="AZ66" i="47"/>
  <c r="AM67" i="47"/>
  <c r="AM66" i="47"/>
  <c r="AC67" i="47"/>
  <c r="AC66" i="47"/>
  <c r="AE67" i="47"/>
  <c r="AE66" i="47"/>
  <c r="Z67" i="47"/>
  <c r="Z66" i="47"/>
  <c r="P67" i="47"/>
  <c r="P66" i="47"/>
  <c r="AR51" i="47"/>
  <c r="AR50" i="47"/>
  <c r="AM51" i="47"/>
  <c r="AM50" i="47"/>
  <c r="AK51" i="47"/>
  <c r="AK50" i="47"/>
  <c r="AF51" i="47"/>
  <c r="AF50" i="47"/>
  <c r="V51" i="47"/>
  <c r="V50" i="47"/>
  <c r="Q51" i="47"/>
  <c r="Q50" i="47"/>
  <c r="AY139" i="47"/>
  <c r="AX140" i="47"/>
  <c r="BV67" i="47"/>
  <c r="BV66" i="47"/>
  <c r="BQ67" i="47"/>
  <c r="BQ66" i="47"/>
  <c r="BO67" i="47"/>
  <c r="BO66" i="47"/>
  <c r="BJ67" i="47"/>
  <c r="BJ66" i="47"/>
  <c r="AR67" i="47"/>
  <c r="AR66" i="47"/>
  <c r="AH67" i="47"/>
  <c r="AH66" i="47"/>
  <c r="AO67" i="47"/>
  <c r="AO66" i="47"/>
  <c r="W67" i="47"/>
  <c r="W66" i="47"/>
  <c r="CN65" i="47"/>
  <c r="Y67" i="47"/>
  <c r="Y66" i="47"/>
  <c r="CN66" i="47" s="1"/>
  <c r="O67" i="47"/>
  <c r="O66" i="47"/>
  <c r="BL92" i="47"/>
  <c r="BL96" i="47" s="1"/>
  <c r="BL83" i="47"/>
  <c r="BL82" i="47"/>
  <c r="Y92" i="47"/>
  <c r="CN92" i="47" s="1"/>
  <c r="CN81" i="47"/>
  <c r="Y83" i="47"/>
  <c r="Y82" i="47"/>
  <c r="CN82" i="47" s="1"/>
  <c r="P92" i="47"/>
  <c r="P96" i="47" s="1"/>
  <c r="P96" i="21" s="1"/>
  <c r="P83" i="47"/>
  <c r="P82" i="47"/>
  <c r="CE51" i="47"/>
  <c r="CE50" i="47"/>
  <c r="CC51" i="47"/>
  <c r="CC50" i="47"/>
  <c r="BP51" i="47"/>
  <c r="BP50" i="47"/>
  <c r="BN51" i="47"/>
  <c r="BN50" i="47"/>
  <c r="CJ92" i="47"/>
  <c r="CJ98" i="47" s="1"/>
  <c r="CJ83" i="47"/>
  <c r="CJ82" i="47"/>
  <c r="BV92" i="47"/>
  <c r="BV98" i="47" s="1"/>
  <c r="BV83" i="47"/>
  <c r="BV82" i="47"/>
  <c r="BP92" i="47"/>
  <c r="BP96" i="47" s="1"/>
  <c r="BP83" i="47"/>
  <c r="BP82" i="47"/>
  <c r="BW92" i="47"/>
  <c r="BW97" i="47" s="1"/>
  <c r="BW83" i="47"/>
  <c r="BW82" i="47"/>
  <c r="AW92" i="47"/>
  <c r="AW97" i="47" s="1"/>
  <c r="AW83" i="47"/>
  <c r="AW82" i="47"/>
  <c r="AU92" i="47"/>
  <c r="AU97" i="47" s="1"/>
  <c r="AU83" i="47"/>
  <c r="AU82" i="47"/>
  <c r="AL92" i="47"/>
  <c r="AL96" i="47" s="1"/>
  <c r="AL83" i="47"/>
  <c r="AL82" i="47"/>
  <c r="AF92" i="47"/>
  <c r="AF98" i="47" s="1"/>
  <c r="AF83" i="47"/>
  <c r="AF82" i="47"/>
  <c r="S92" i="47"/>
  <c r="S97" i="47" s="1"/>
  <c r="S83" i="47"/>
  <c r="S82" i="47"/>
  <c r="R92" i="47"/>
  <c r="R96" i="47" s="1"/>
  <c r="R96" i="21" s="1"/>
  <c r="R83" i="47"/>
  <c r="R82" i="47"/>
  <c r="O92" i="47"/>
  <c r="O97" i="47" s="1"/>
  <c r="O83" i="47"/>
  <c r="O82" i="47"/>
  <c r="CI51" i="47"/>
  <c r="CI50" i="47"/>
  <c r="BQ51" i="47"/>
  <c r="BQ50" i="47"/>
  <c r="BO51" i="47"/>
  <c r="BO50" i="47"/>
  <c r="BR51" i="47"/>
  <c r="BR50" i="47"/>
  <c r="AV51" i="47"/>
  <c r="AV50" i="47"/>
  <c r="AU51" i="47"/>
  <c r="AU50" i="47"/>
  <c r="AG51" i="47"/>
  <c r="AG50" i="47"/>
  <c r="AE51" i="47"/>
  <c r="AE50" i="47"/>
  <c r="N51" i="47"/>
  <c r="N50" i="47"/>
  <c r="P51" i="47"/>
  <c r="P50" i="47"/>
  <c r="CD67" i="47"/>
  <c r="CD66" i="47"/>
  <c r="CC67" i="47"/>
  <c r="CC66" i="47"/>
  <c r="BW67" i="47"/>
  <c r="BW66" i="47"/>
  <c r="BA67" i="47"/>
  <c r="BA66" i="47"/>
  <c r="BD67" i="47"/>
  <c r="BD66" i="47"/>
  <c r="AP67" i="47"/>
  <c r="AP66" i="47"/>
  <c r="AG67" i="47"/>
  <c r="AG66" i="47"/>
  <c r="AA67" i="47"/>
  <c r="AA66" i="47"/>
  <c r="M67" i="47"/>
  <c r="M66" i="47"/>
  <c r="K67" i="47"/>
  <c r="K71" i="47"/>
  <c r="K66" i="47"/>
  <c r="CH92" i="47"/>
  <c r="CH98" i="47" s="1"/>
  <c r="CH83" i="47"/>
  <c r="CH82" i="47"/>
  <c r="W92" i="47"/>
  <c r="W98" i="47" s="1"/>
  <c r="W83" i="47"/>
  <c r="W82" i="47"/>
  <c r="BA92" i="47"/>
  <c r="BA96" i="47" s="1"/>
  <c r="BA83" i="47"/>
  <c r="BA82" i="47"/>
  <c r="AB92" i="47"/>
  <c r="AB98" i="47" s="1"/>
  <c r="AB83" i="47"/>
  <c r="AB82" i="47"/>
  <c r="Q92" i="47"/>
  <c r="Q98" i="47" s="1"/>
  <c r="Q83" i="47"/>
  <c r="Q82" i="47"/>
  <c r="CH51" i="47"/>
  <c r="CH50" i="47"/>
  <c r="BW51" i="47"/>
  <c r="BW50" i="47"/>
  <c r="BJ51" i="47"/>
  <c r="BJ50" i="47"/>
  <c r="BD51" i="47"/>
  <c r="BD50" i="47"/>
  <c r="AL51" i="47"/>
  <c r="AL50" i="47"/>
  <c r="AO51" i="47"/>
  <c r="AO50" i="47"/>
  <c r="W51" i="47"/>
  <c r="W50" i="47"/>
  <c r="M51" i="47"/>
  <c r="M50" i="47"/>
  <c r="O51" i="47"/>
  <c r="O50" i="47"/>
  <c r="CK67" i="47"/>
  <c r="CK66" i="47"/>
  <c r="BZ67" i="47"/>
  <c r="BZ66" i="47"/>
  <c r="BL67" i="47"/>
  <c r="BL66" i="47"/>
  <c r="BS67" i="47"/>
  <c r="BS66" i="47"/>
  <c r="BI67" i="47"/>
  <c r="BI66" i="47"/>
  <c r="AV67" i="47"/>
  <c r="AV66" i="47"/>
  <c r="AT67" i="47"/>
  <c r="AT66" i="47"/>
  <c r="AF67" i="47"/>
  <c r="AF66" i="47"/>
  <c r="AI67" i="47"/>
  <c r="AI66" i="47"/>
  <c r="R67" i="47"/>
  <c r="R66" i="47"/>
  <c r="J67" i="47"/>
  <c r="J71" i="47"/>
  <c r="J66" i="47"/>
  <c r="BK92" i="47"/>
  <c r="BK96" i="47" s="1"/>
  <c r="BK83" i="47"/>
  <c r="BK82" i="47"/>
  <c r="CF92" i="47"/>
  <c r="CF96" i="47" s="1"/>
  <c r="CF83" i="47"/>
  <c r="CF82" i="47"/>
  <c r="AH92" i="47"/>
  <c r="AH96" i="47" s="1"/>
  <c r="AH83" i="47"/>
  <c r="AH82" i="47"/>
  <c r="N92" i="47"/>
  <c r="N96" i="47" s="1"/>
  <c r="N96" i="21" s="1"/>
  <c r="N83" i="47"/>
  <c r="N82" i="47"/>
  <c r="BU51" i="47"/>
  <c r="BU50" i="47"/>
  <c r="CE92" i="47"/>
  <c r="CE98" i="47" s="1"/>
  <c r="CE83" i="47"/>
  <c r="CE82" i="47"/>
  <c r="CG92" i="47"/>
  <c r="CG97" i="47" s="1"/>
  <c r="CG83" i="47"/>
  <c r="CG82" i="47"/>
  <c r="CB92" i="47"/>
  <c r="CB98" i="47" s="1"/>
  <c r="CB83" i="47"/>
  <c r="CB82" i="47"/>
  <c r="BN92" i="47"/>
  <c r="BN96" i="47" s="1"/>
  <c r="BN83" i="47"/>
  <c r="BN82" i="47"/>
  <c r="BI92" i="47"/>
  <c r="BI98" i="47" s="1"/>
  <c r="BI83" i="47"/>
  <c r="BI82" i="47"/>
  <c r="AQ92" i="47"/>
  <c r="AQ97" i="47" s="1"/>
  <c r="AQ83" i="47"/>
  <c r="AQ82" i="47"/>
  <c r="AS92" i="47"/>
  <c r="AS98" i="47" s="1"/>
  <c r="AS83" i="47"/>
  <c r="AS82" i="47"/>
  <c r="X92" i="47"/>
  <c r="X98" i="47" s="1"/>
  <c r="X83" i="47"/>
  <c r="X82" i="47"/>
  <c r="Z92" i="47"/>
  <c r="Z98" i="47" s="1"/>
  <c r="Z83" i="47"/>
  <c r="Z82" i="47"/>
  <c r="L92" i="47"/>
  <c r="L97" i="47" s="1"/>
  <c r="L83" i="47"/>
  <c r="L82" i="47"/>
  <c r="L87" i="47"/>
  <c r="CD51" i="47"/>
  <c r="CD50" i="47"/>
  <c r="CG51" i="47"/>
  <c r="CG50" i="47"/>
  <c r="BS51" i="47"/>
  <c r="BS50" i="47"/>
  <c r="BA51" i="47"/>
  <c r="BA50" i="47"/>
  <c r="BH51" i="47"/>
  <c r="BH50" i="47"/>
  <c r="AP51" i="47"/>
  <c r="AP50" i="47"/>
  <c r="AS51" i="47"/>
  <c r="AS50" i="47"/>
  <c r="AA51" i="47"/>
  <c r="AA50" i="47"/>
  <c r="R51" i="47"/>
  <c r="R50" i="47"/>
  <c r="K51" i="47"/>
  <c r="K55" i="47"/>
  <c r="K50" i="47"/>
  <c r="CJ67" i="47"/>
  <c r="CJ66" i="47"/>
  <c r="CL67" i="47"/>
  <c r="CL66" i="47"/>
  <c r="BP67" i="47"/>
  <c r="BP66" i="47"/>
  <c r="BK67" i="47"/>
  <c r="BK66" i="47"/>
  <c r="AW67" i="47"/>
  <c r="AW66" i="47"/>
  <c r="BC67" i="47"/>
  <c r="BC66" i="47"/>
  <c r="AX67" i="47"/>
  <c r="AX66" i="47"/>
  <c r="X67" i="47"/>
  <c r="X66" i="47"/>
  <c r="AD67" i="47"/>
  <c r="AD66" i="47"/>
  <c r="U67" i="47"/>
  <c r="U66" i="47"/>
  <c r="I67" i="47"/>
  <c r="H67" i="47"/>
  <c r="F67" i="47"/>
  <c r="E67" i="47"/>
  <c r="G67" i="47"/>
  <c r="BH60" i="25"/>
  <c r="BG60" i="25"/>
  <c r="BF60" i="25"/>
  <c r="BE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BH14" i="25"/>
  <c r="BH13" i="25"/>
  <c r="BM7" i="25"/>
  <c r="BL7" i="25"/>
  <c r="BK7" i="25"/>
  <c r="BM6" i="25"/>
  <c r="BM5" i="25"/>
  <c r="BL6" i="25"/>
  <c r="BL5" i="25"/>
  <c r="BK6" i="25"/>
  <c r="BJ6" i="25"/>
  <c r="BK5" i="25"/>
  <c r="BJ5" i="25"/>
  <c r="BM4" i="25"/>
  <c r="BL4" i="25"/>
  <c r="BJ7" i="25"/>
  <c r="BK4" i="25"/>
  <c r="BJ4" i="25"/>
  <c r="B16" i="25"/>
  <c r="C30" i="25"/>
  <c r="C48" i="25" s="1"/>
  <c r="C31" i="25"/>
  <c r="D31" i="25"/>
  <c r="C20" i="25"/>
  <c r="C41" i="25" s="1"/>
  <c r="C21" i="25"/>
  <c r="C38" i="25" s="1"/>
  <c r="D21" i="25"/>
  <c r="D38" i="25" s="1"/>
  <c r="E8" i="36"/>
  <c r="F8" i="36" s="1"/>
  <c r="G8" i="36" s="1"/>
  <c r="H8" i="36" s="1"/>
  <c r="E7" i="36"/>
  <c r="F7" i="36" s="1"/>
  <c r="G7" i="36" s="1"/>
  <c r="H7" i="36" s="1"/>
  <c r="E5" i="36"/>
  <c r="F5" i="36" s="1"/>
  <c r="G5" i="36" s="1"/>
  <c r="H5" i="36" s="1"/>
  <c r="E4" i="36"/>
  <c r="F4" i="36" s="1"/>
  <c r="G4" i="36" s="1"/>
  <c r="H4" i="36" s="1"/>
  <c r="F3" i="36"/>
  <c r="G3" i="36" s="1"/>
  <c r="H3" i="36" s="1"/>
  <c r="BE96" i="47" l="1"/>
  <c r="V98" i="47"/>
  <c r="F122" i="47"/>
  <c r="BE97" i="47"/>
  <c r="G122" i="47"/>
  <c r="CN119" i="47"/>
  <c r="CP119" i="47"/>
  <c r="H121" i="47"/>
  <c r="CN118" i="47"/>
  <c r="CP118" i="47"/>
  <c r="AU147" i="47"/>
  <c r="AT148" i="47"/>
  <c r="BP144" i="47"/>
  <c r="BQ143" i="47"/>
  <c r="AW144" i="21"/>
  <c r="AX143" i="21"/>
  <c r="T97" i="47"/>
  <c r="CH96" i="47"/>
  <c r="AK97" i="47"/>
  <c r="O102" i="47"/>
  <c r="I101" i="47"/>
  <c r="BC97" i="47"/>
  <c r="BT97" i="47"/>
  <c r="AF97" i="47"/>
  <c r="BU98" i="47"/>
  <c r="BG97" i="47"/>
  <c r="BZ96" i="47"/>
  <c r="Y97" i="47"/>
  <c r="BM96" i="47"/>
  <c r="BY98" i="47"/>
  <c r="CN51" i="47"/>
  <c r="CN83" i="47"/>
  <c r="AE96" i="47"/>
  <c r="BM98" i="47"/>
  <c r="X97" i="47"/>
  <c r="BK98" i="47"/>
  <c r="W96" i="47"/>
  <c r="AB97" i="47"/>
  <c r="W97" i="47"/>
  <c r="T96" i="47"/>
  <c r="T96" i="21" s="1"/>
  <c r="U97" i="47"/>
  <c r="BX98" i="47"/>
  <c r="CF97" i="47"/>
  <c r="BU97" i="47"/>
  <c r="BN97" i="47"/>
  <c r="AI97" i="47"/>
  <c r="BR98" i="47"/>
  <c r="CH97" i="47"/>
  <c r="Y98" i="47"/>
  <c r="I97" i="47"/>
  <c r="AI98" i="47"/>
  <c r="BT96" i="47"/>
  <c r="CA96" i="47"/>
  <c r="CB96" i="47"/>
  <c r="AW96" i="47"/>
  <c r="M97" i="47"/>
  <c r="AO97" i="47"/>
  <c r="AV96" i="47"/>
  <c r="BK97" i="47"/>
  <c r="Q96" i="47"/>
  <c r="Q96" i="21" s="1"/>
  <c r="BA98" i="47"/>
  <c r="AO98" i="47"/>
  <c r="CL98" i="47"/>
  <c r="AJ96" i="47"/>
  <c r="BO97" i="47"/>
  <c r="BB97" i="47"/>
  <c r="AS96" i="47"/>
  <c r="AH97" i="47"/>
  <c r="Q97" i="47"/>
  <c r="S96" i="47"/>
  <c r="S96" i="21" s="1"/>
  <c r="BV96" i="47"/>
  <c r="BR97" i="47"/>
  <c r="AN97" i="47"/>
  <c r="AT98" i="47"/>
  <c r="CJ96" i="47"/>
  <c r="BL97" i="47"/>
  <c r="AQ98" i="47"/>
  <c r="BN98" i="47"/>
  <c r="CG98" i="47"/>
  <c r="AH98" i="47"/>
  <c r="CF98" i="47"/>
  <c r="S98" i="47"/>
  <c r="AL97" i="47"/>
  <c r="AW98" i="47"/>
  <c r="AP97" i="47"/>
  <c r="BG98" i="47"/>
  <c r="AY96" i="47"/>
  <c r="U96" i="47"/>
  <c r="U96" i="21" s="1"/>
  <c r="AY98" i="47"/>
  <c r="N98" i="47"/>
  <c r="AM97" i="47"/>
  <c r="AJ97" i="47"/>
  <c r="BJ98" i="47"/>
  <c r="AN98" i="47"/>
  <c r="AG96" i="47"/>
  <c r="BB98" i="47"/>
  <c r="N97" i="47"/>
  <c r="BL98" i="47"/>
  <c r="AR97" i="47"/>
  <c r="BJ96" i="47"/>
  <c r="AG97" i="47"/>
  <c r="AE97" i="47"/>
  <c r="AM98" i="47"/>
  <c r="AR98" i="47"/>
  <c r="BZ98" i="47"/>
  <c r="BO96" i="47"/>
  <c r="BD98" i="47"/>
  <c r="V96" i="47"/>
  <c r="CC97" i="47"/>
  <c r="X96" i="47"/>
  <c r="CJ97" i="47"/>
  <c r="Y96" i="47"/>
  <c r="CN96" i="47" s="1"/>
  <c r="M98" i="47"/>
  <c r="L98" i="47" s="1"/>
  <c r="K98" i="47" s="1"/>
  <c r="J98" i="47" s="1"/>
  <c r="I98" i="47" s="1"/>
  <c r="H98" i="47" s="1"/>
  <c r="G98" i="47" s="1"/>
  <c r="F98" i="47" s="1"/>
  <c r="E98" i="47" s="1"/>
  <c r="CL96" i="47"/>
  <c r="J97" i="47"/>
  <c r="BH97" i="47"/>
  <c r="BX97" i="47"/>
  <c r="AS97" i="47"/>
  <c r="CB97" i="47"/>
  <c r="AB96" i="47"/>
  <c r="R97" i="47"/>
  <c r="AL98" i="47"/>
  <c r="AU98" i="47"/>
  <c r="BP98" i="47"/>
  <c r="BV97" i="47"/>
  <c r="CN67" i="47"/>
  <c r="AP98" i="47"/>
  <c r="BQ98" i="47"/>
  <c r="CP50" i="47"/>
  <c r="CO50" i="47"/>
  <c r="AC97" i="47"/>
  <c r="BS97" i="47"/>
  <c r="AX98" i="47"/>
  <c r="AD98" i="47"/>
  <c r="AZ98" i="47"/>
  <c r="CI96" i="47"/>
  <c r="O98" i="47"/>
  <c r="R98" i="47"/>
  <c r="AU96" i="47"/>
  <c r="BP97" i="47"/>
  <c r="CP51" i="47"/>
  <c r="CO51" i="47"/>
  <c r="J96" i="47"/>
  <c r="J96" i="21" s="1"/>
  <c r="AK98" i="47"/>
  <c r="BC96" i="47"/>
  <c r="BD96" i="47"/>
  <c r="CP92" i="47"/>
  <c r="CO92" i="47"/>
  <c r="BH98" i="47"/>
  <c r="CC96" i="47"/>
  <c r="CA98" i="47"/>
  <c r="CE96" i="47"/>
  <c r="O96" i="47"/>
  <c r="O96" i="21" s="1"/>
  <c r="AF96" i="47"/>
  <c r="BW96" i="47"/>
  <c r="BN134" i="47"/>
  <c r="BN135" i="47" s="1"/>
  <c r="BN136" i="47" s="1"/>
  <c r="BO133" i="47"/>
  <c r="Z96" i="47"/>
  <c r="CE97" i="47"/>
  <c r="P97" i="47"/>
  <c r="AY140" i="47"/>
  <c r="AZ139" i="47"/>
  <c r="BY97" i="47"/>
  <c r="CK98" i="47"/>
  <c r="AA96" i="47"/>
  <c r="BF98" i="47"/>
  <c r="CD96" i="47"/>
  <c r="CO66" i="47"/>
  <c r="CP66" i="47"/>
  <c r="BI96" i="47"/>
  <c r="Z97" i="47"/>
  <c r="AQ96" i="47"/>
  <c r="BI97" i="47"/>
  <c r="BA97" i="47"/>
  <c r="BW98" i="47"/>
  <c r="P98" i="47"/>
  <c r="AV97" i="47"/>
  <c r="K96" i="47"/>
  <c r="K96" i="21" s="1"/>
  <c r="AT96" i="47"/>
  <c r="CK96" i="47"/>
  <c r="BF97" i="47"/>
  <c r="CD97" i="47"/>
  <c r="CP67" i="47"/>
  <c r="CO67" i="47"/>
  <c r="CP82" i="47"/>
  <c r="CO82" i="47"/>
  <c r="CG96" i="47"/>
  <c r="BQ96" i="47"/>
  <c r="AC98" i="47"/>
  <c r="BS98" i="47"/>
  <c r="AD96" i="47"/>
  <c r="AA98" i="47"/>
  <c r="CP96" i="47"/>
  <c r="L96" i="47"/>
  <c r="L96" i="21" s="1"/>
  <c r="AX96" i="47"/>
  <c r="AZ96" i="47"/>
  <c r="CI97" i="47"/>
  <c r="CP83" i="47"/>
  <c r="CO83" i="47"/>
  <c r="H97" i="47"/>
  <c r="D20" i="25"/>
  <c r="D41" i="25" s="1"/>
  <c r="D30" i="25"/>
  <c r="D47" i="25" s="1"/>
  <c r="C55" i="25"/>
  <c r="D40" i="25"/>
  <c r="C45" i="25"/>
  <c r="C52" i="25" s="1"/>
  <c r="C40" i="25"/>
  <c r="D48" i="25"/>
  <c r="D55" i="25" s="1"/>
  <c r="C47" i="25"/>
  <c r="D45" i="25"/>
  <c r="D52" i="25" s="1"/>
  <c r="C32" i="25"/>
  <c r="L2" i="14"/>
  <c r="I2" i="14"/>
  <c r="M2" i="14"/>
  <c r="C19" i="25"/>
  <c r="D19" i="25"/>
  <c r="H123" i="47" l="1"/>
  <c r="CN121" i="47"/>
  <c r="CP121" i="47"/>
  <c r="AV147" i="47"/>
  <c r="AU148" i="47"/>
  <c r="AX144" i="21"/>
  <c r="AY143" i="21"/>
  <c r="BQ144" i="47"/>
  <c r="BR143" i="47"/>
  <c r="G97" i="47"/>
  <c r="I102" i="47"/>
  <c r="J102" i="47" s="1"/>
  <c r="K102" i="47" s="1"/>
  <c r="L102" i="47" s="1"/>
  <c r="M102" i="47" s="1"/>
  <c r="N102" i="47" s="1"/>
  <c r="CO96" i="47"/>
  <c r="O101" i="47"/>
  <c r="CO97" i="47"/>
  <c r="CP98" i="47"/>
  <c r="CO98" i="47"/>
  <c r="CN98" i="47"/>
  <c r="CP97" i="47"/>
  <c r="BA139" i="47"/>
  <c r="AZ140" i="47"/>
  <c r="BO134" i="47"/>
  <c r="BO135" i="47" s="1"/>
  <c r="BO136" i="47" s="1"/>
  <c r="BP133" i="47"/>
  <c r="CN97" i="47"/>
  <c r="J101" i="47"/>
  <c r="K101" i="47" s="1"/>
  <c r="L101" i="47" s="1"/>
  <c r="M101" i="47" s="1"/>
  <c r="N101" i="47" s="1"/>
  <c r="D32" i="25"/>
  <c r="D35" i="25" s="1"/>
  <c r="C35" i="25"/>
  <c r="C54" i="25"/>
  <c r="D54" i="25"/>
  <c r="K2" i="14"/>
  <c r="J2" i="14"/>
  <c r="B12" i="25"/>
  <c r="BH12" i="25" s="1"/>
  <c r="B11" i="25"/>
  <c r="BH11" i="25" s="1"/>
  <c r="I31" i="25"/>
  <c r="H31" i="25"/>
  <c r="I30" i="25"/>
  <c r="H30" i="25"/>
  <c r="G31" i="25"/>
  <c r="G30" i="25"/>
  <c r="I21" i="25"/>
  <c r="H21" i="25"/>
  <c r="I20" i="25"/>
  <c r="H20" i="25"/>
  <c r="G21" i="25"/>
  <c r="G20" i="25"/>
  <c r="CP123" i="47" l="1"/>
  <c r="CN123" i="47"/>
  <c r="AW147" i="47"/>
  <c r="AV148" i="47"/>
  <c r="BR144" i="47"/>
  <c r="BS143" i="47"/>
  <c r="AZ143" i="21"/>
  <c r="AY144" i="21"/>
  <c r="F97" i="47"/>
  <c r="BP134" i="47"/>
  <c r="BP135" i="47" s="1"/>
  <c r="BP136" i="47" s="1"/>
  <c r="BQ133" i="47"/>
  <c r="BA140" i="47"/>
  <c r="BB139" i="47"/>
  <c r="I32" i="25"/>
  <c r="AN30" i="25"/>
  <c r="Y30" i="25"/>
  <c r="H32" i="25"/>
  <c r="G45" i="25"/>
  <c r="G48" i="25"/>
  <c r="G47" i="25"/>
  <c r="G32" i="25"/>
  <c r="G41" i="25"/>
  <c r="G40" i="25"/>
  <c r="G38" i="25"/>
  <c r="BH15" i="25"/>
  <c r="BH16" i="25" s="1"/>
  <c r="H19" i="25"/>
  <c r="I19" i="25"/>
  <c r="B21" i="25" s="1"/>
  <c r="I29" i="25"/>
  <c r="E31" i="25"/>
  <c r="G19" i="25"/>
  <c r="F31" i="25"/>
  <c r="E30" i="25"/>
  <c r="F30" i="25"/>
  <c r="E21" i="25"/>
  <c r="F20" i="25"/>
  <c r="F21" i="25"/>
  <c r="E20" i="25"/>
  <c r="AX147" i="47" l="1"/>
  <c r="AW148" i="47"/>
  <c r="BA143" i="21"/>
  <c r="AZ144" i="21"/>
  <c r="BT143" i="47"/>
  <c r="BS144" i="47"/>
  <c r="E97" i="47"/>
  <c r="BQ134" i="47"/>
  <c r="BQ135" i="47" s="1"/>
  <c r="BQ136" i="47" s="1"/>
  <c r="BR133" i="47"/>
  <c r="BB140" i="47"/>
  <c r="BC139" i="47"/>
  <c r="G54" i="25"/>
  <c r="G52" i="25"/>
  <c r="G55" i="25"/>
  <c r="F38" i="25"/>
  <c r="E41" i="25"/>
  <c r="E40" i="25"/>
  <c r="E54" i="25" s="1"/>
  <c r="F48" i="25"/>
  <c r="F47" i="25"/>
  <c r="F32" i="25"/>
  <c r="E48" i="25"/>
  <c r="E32" i="25"/>
  <c r="E47" i="25"/>
  <c r="F45" i="25"/>
  <c r="E38" i="25"/>
  <c r="F41" i="25"/>
  <c r="F40" i="25"/>
  <c r="F54" i="25" s="1"/>
  <c r="E45" i="25"/>
  <c r="B20" i="25"/>
  <c r="E19" i="25"/>
  <c r="F19" i="25"/>
  <c r="AY147" i="47" l="1"/>
  <c r="AX148" i="47"/>
  <c r="BT144" i="47"/>
  <c r="BU143" i="47"/>
  <c r="BA144" i="21"/>
  <c r="BB143" i="21"/>
  <c r="BR134" i="47"/>
  <c r="BR135" i="47" s="1"/>
  <c r="BR136" i="47" s="1"/>
  <c r="BS133" i="47"/>
  <c r="BC140" i="47"/>
  <c r="BD139" i="47"/>
  <c r="F55" i="25"/>
  <c r="E35" i="25"/>
  <c r="E52" i="25"/>
  <c r="E55" i="25"/>
  <c r="F52" i="25"/>
  <c r="F35" i="25"/>
  <c r="H14" i="25"/>
  <c r="AZ147" i="47" l="1"/>
  <c r="AY148" i="47"/>
  <c r="BB144" i="21"/>
  <c r="BC143" i="21"/>
  <c r="BU144" i="47"/>
  <c r="BV143" i="47"/>
  <c r="BS134" i="47"/>
  <c r="BS135" i="47" s="1"/>
  <c r="BS136" i="47" s="1"/>
  <c r="BT133" i="47"/>
  <c r="BD140" i="47"/>
  <c r="BE139" i="47"/>
  <c r="O30" i="25"/>
  <c r="O29" i="25" s="1"/>
  <c r="O31" i="25" s="1"/>
  <c r="O32" i="25" s="1"/>
  <c r="P30" i="25"/>
  <c r="P29" i="25" s="1"/>
  <c r="P31" i="25" s="1"/>
  <c r="P32" i="25" s="1"/>
  <c r="Q30" i="25"/>
  <c r="Q29" i="25" s="1"/>
  <c r="Q31" i="25" s="1"/>
  <c r="Q32" i="25" s="1"/>
  <c r="AA30" i="25"/>
  <c r="AA29" i="25" s="1"/>
  <c r="AA31" i="25" s="1"/>
  <c r="AA32" i="25" s="1"/>
  <c r="AC30" i="25"/>
  <c r="AC29" i="25" s="1"/>
  <c r="AC31" i="25" s="1"/>
  <c r="AC32" i="25" s="1"/>
  <c r="S30" i="25"/>
  <c r="S29" i="25"/>
  <c r="S31" i="25" s="1"/>
  <c r="S32" i="25" s="1"/>
  <c r="G35" i="25"/>
  <c r="BM28" i="25"/>
  <c r="AE30" i="25"/>
  <c r="J30" i="25"/>
  <c r="AM30" i="25"/>
  <c r="AY30" i="25"/>
  <c r="AB30" i="25"/>
  <c r="AZ30" i="25"/>
  <c r="AO30" i="25"/>
  <c r="T30" i="25"/>
  <c r="BA30" i="25"/>
  <c r="R30" i="25"/>
  <c r="AD30" i="25"/>
  <c r="AP30" i="25"/>
  <c r="BB30" i="25"/>
  <c r="V30" i="25"/>
  <c r="AH30" i="25"/>
  <c r="AT30" i="25"/>
  <c r="K30" i="25"/>
  <c r="L30" i="25"/>
  <c r="AQ30" i="25"/>
  <c r="BC30" i="25"/>
  <c r="AF30" i="25"/>
  <c r="AR30" i="25"/>
  <c r="BD30" i="25"/>
  <c r="U30" i="25"/>
  <c r="AG30" i="25"/>
  <c r="AS30" i="25"/>
  <c r="BE30" i="25"/>
  <c r="BF30" i="25"/>
  <c r="W30" i="25"/>
  <c r="AI30" i="25"/>
  <c r="AU30" i="25"/>
  <c r="BG30" i="25"/>
  <c r="X30" i="25"/>
  <c r="AJ30" i="25"/>
  <c r="AV30" i="25"/>
  <c r="BH30" i="25"/>
  <c r="BH29" i="25" s="1"/>
  <c r="M30" i="25"/>
  <c r="AK30" i="25"/>
  <c r="AW30" i="25"/>
  <c r="N30" i="25"/>
  <c r="Z30" i="25"/>
  <c r="AL30" i="25"/>
  <c r="AX30" i="25"/>
  <c r="BA147" i="47" l="1"/>
  <c r="AZ148" i="47"/>
  <c r="BW143" i="47"/>
  <c r="BV144" i="47"/>
  <c r="BD143" i="21"/>
  <c r="BC144" i="21"/>
  <c r="BE140" i="47"/>
  <c r="BF139" i="47"/>
  <c r="BT134" i="47"/>
  <c r="BT135" i="47" s="1"/>
  <c r="BT136" i="47" s="1"/>
  <c r="BU133" i="47"/>
  <c r="W29" i="25"/>
  <c r="W31" i="25" s="1"/>
  <c r="W32" i="25" s="1"/>
  <c r="L29" i="25"/>
  <c r="L31" i="25" s="1"/>
  <c r="L32" i="25" s="1"/>
  <c r="AQ29" i="25"/>
  <c r="AQ31" i="25" s="1"/>
  <c r="AQ32" i="25" s="1"/>
  <c r="Z29" i="25"/>
  <c r="Z31" i="25" s="1"/>
  <c r="Z32" i="25" s="1"/>
  <c r="AH29" i="25"/>
  <c r="AH31" i="25" s="1"/>
  <c r="AH32" i="25" s="1"/>
  <c r="J29" i="25"/>
  <c r="J31" i="25" s="1"/>
  <c r="J32" i="25" s="1"/>
  <c r="AB29" i="25"/>
  <c r="AB31" i="25" s="1"/>
  <c r="AB32" i="25" s="1"/>
  <c r="AK29" i="25"/>
  <c r="AK31" i="25" s="1"/>
  <c r="AK32" i="25" s="1"/>
  <c r="Y29" i="25"/>
  <c r="Y31" i="25" s="1"/>
  <c r="Y32" i="25" s="1"/>
  <c r="M29" i="25"/>
  <c r="M31" i="25" s="1"/>
  <c r="M32" i="25" s="1"/>
  <c r="AE29" i="25"/>
  <c r="AE31" i="25" s="1"/>
  <c r="AE32" i="25" s="1"/>
  <c r="AU29" i="25"/>
  <c r="AU31" i="25" s="1"/>
  <c r="AU32" i="25" s="1"/>
  <c r="AW29" i="25"/>
  <c r="AW31" i="25" s="1"/>
  <c r="AW32" i="25" s="1"/>
  <c r="BD29" i="25"/>
  <c r="BD31" i="25" s="1"/>
  <c r="BD32" i="25" s="1"/>
  <c r="AD29" i="25"/>
  <c r="AD31" i="25" s="1"/>
  <c r="AD32" i="25" s="1"/>
  <c r="AZ29" i="25"/>
  <c r="AZ31" i="25" s="1"/>
  <c r="AZ32" i="25" s="1"/>
  <c r="N29" i="25"/>
  <c r="N31" i="25" s="1"/>
  <c r="N32" i="25" s="1"/>
  <c r="BF29" i="25"/>
  <c r="BF31" i="25" s="1"/>
  <c r="BF32" i="25" s="1"/>
  <c r="AY29" i="25"/>
  <c r="AY31" i="25" s="1"/>
  <c r="AY32" i="25" s="1"/>
  <c r="AS29" i="25"/>
  <c r="AS31" i="25" s="1"/>
  <c r="AS32" i="25" s="1"/>
  <c r="BB29" i="25"/>
  <c r="BB31" i="25" s="1"/>
  <c r="BB32" i="25" s="1"/>
  <c r="AV29" i="25"/>
  <c r="AV31" i="25" s="1"/>
  <c r="AV32" i="25" s="1"/>
  <c r="R29" i="25"/>
  <c r="R31" i="25" s="1"/>
  <c r="R32" i="25" s="1"/>
  <c r="AI29" i="25"/>
  <c r="AI31" i="25" s="1"/>
  <c r="AI32" i="25" s="1"/>
  <c r="K29" i="25"/>
  <c r="K31" i="25" s="1"/>
  <c r="K32" i="25" s="1"/>
  <c r="AT29" i="25"/>
  <c r="AT31" i="25" s="1"/>
  <c r="AT32" i="25" s="1"/>
  <c r="BE29" i="25"/>
  <c r="BE31" i="25" s="1"/>
  <c r="BE32" i="25" s="1"/>
  <c r="V29" i="25"/>
  <c r="V31" i="25" s="1"/>
  <c r="V32" i="25" s="1"/>
  <c r="AG29" i="25"/>
  <c r="AG31" i="25" s="1"/>
  <c r="AG32" i="25" s="1"/>
  <c r="U29" i="25"/>
  <c r="U31" i="25" s="1"/>
  <c r="U32" i="25" s="1"/>
  <c r="AJ29" i="25"/>
  <c r="AJ31" i="25" s="1"/>
  <c r="AJ32" i="25" s="1"/>
  <c r="AR29" i="25"/>
  <c r="AR31" i="25" s="1"/>
  <c r="AR32" i="25" s="1"/>
  <c r="X29" i="25"/>
  <c r="X31" i="25" s="1"/>
  <c r="X32" i="25" s="1"/>
  <c r="BA29" i="25"/>
  <c r="BA31" i="25" s="1"/>
  <c r="BA32" i="25" s="1"/>
  <c r="AL29" i="25"/>
  <c r="AL31" i="25" s="1"/>
  <c r="AL32" i="25" s="1"/>
  <c r="AM29" i="25"/>
  <c r="AM31" i="25" s="1"/>
  <c r="AM32" i="25" s="1"/>
  <c r="AP29" i="25"/>
  <c r="AP31" i="25" s="1"/>
  <c r="AP32" i="25" s="1"/>
  <c r="AF29" i="25"/>
  <c r="AF31" i="25" s="1"/>
  <c r="AF32" i="25" s="1"/>
  <c r="AX29" i="25"/>
  <c r="AX31" i="25" s="1"/>
  <c r="AX32" i="25" s="1"/>
  <c r="BG29" i="25"/>
  <c r="BG31" i="25" s="1"/>
  <c r="BG32" i="25" s="1"/>
  <c r="BC29" i="25"/>
  <c r="BC31" i="25" s="1"/>
  <c r="BC32" i="25" s="1"/>
  <c r="T29" i="25"/>
  <c r="T31" i="25" s="1"/>
  <c r="T32" i="25" s="1"/>
  <c r="I35" i="25"/>
  <c r="H35" i="25"/>
  <c r="BK30" i="25"/>
  <c r="BM30" i="25"/>
  <c r="BL30" i="25"/>
  <c r="BJ30" i="25"/>
  <c r="BM29" i="25"/>
  <c r="AO29" i="25"/>
  <c r="AN29" i="25"/>
  <c r="BL29" i="25" s="1"/>
  <c r="BB147" i="47" l="1"/>
  <c r="BA148" i="47"/>
  <c r="BD144" i="21"/>
  <c r="BE143" i="21"/>
  <c r="BW144" i="47"/>
  <c r="BX143" i="47"/>
  <c r="BU134" i="47"/>
  <c r="BU135" i="47" s="1"/>
  <c r="BU136" i="47" s="1"/>
  <c r="BV133" i="47"/>
  <c r="BG139" i="47"/>
  <c r="BF140" i="47"/>
  <c r="BH31" i="25"/>
  <c r="BH32" i="25" s="1"/>
  <c r="AN31" i="25"/>
  <c r="AN32" i="25" s="1"/>
  <c r="BJ29" i="25"/>
  <c r="AO31" i="25"/>
  <c r="AO32" i="25" s="1"/>
  <c r="BK29" i="25"/>
  <c r="BC147" i="47" l="1"/>
  <c r="BB148" i="47"/>
  <c r="BX144" i="47"/>
  <c r="BY143" i="47"/>
  <c r="BF143" i="21"/>
  <c r="BE144" i="21"/>
  <c r="BG140" i="47"/>
  <c r="BH139" i="47"/>
  <c r="BV134" i="47"/>
  <c r="BV135" i="47" s="1"/>
  <c r="BV136" i="47" s="1"/>
  <c r="BW133" i="47"/>
  <c r="BL31" i="25"/>
  <c r="BJ31" i="25"/>
  <c r="BM31" i="25"/>
  <c r="BK31" i="25"/>
  <c r="BD147" i="47" l="1"/>
  <c r="BC148" i="47"/>
  <c r="BG143" i="21"/>
  <c r="BF144" i="21"/>
  <c r="BZ143" i="47"/>
  <c r="BY144" i="47"/>
  <c r="BW134" i="47"/>
  <c r="BW135" i="47" s="1"/>
  <c r="BW136" i="47" s="1"/>
  <c r="BX133" i="47"/>
  <c r="BI139" i="47"/>
  <c r="BH140" i="47"/>
  <c r="T47" i="25"/>
  <c r="BE147" i="47" l="1"/>
  <c r="BD148" i="47"/>
  <c r="CA143" i="47"/>
  <c r="BZ144" i="47"/>
  <c r="BG144" i="21"/>
  <c r="BH143" i="21"/>
  <c r="BI140" i="47"/>
  <c r="BJ139" i="47"/>
  <c r="BX134" i="47"/>
  <c r="BX135" i="47" s="1"/>
  <c r="BX136" i="47" s="1"/>
  <c r="BY133" i="47"/>
  <c r="I55" i="10" a="1"/>
  <c r="I55" i="10" s="1"/>
  <c r="I54" i="10" a="1"/>
  <c r="I54" i="10" s="1"/>
  <c r="I53" i="10" a="1"/>
  <c r="I53" i="10" s="1"/>
  <c r="I52" i="10" a="1"/>
  <c r="I52" i="10" s="1"/>
  <c r="I51" i="10" a="1"/>
  <c r="I51" i="10" s="1"/>
  <c r="I50" i="10" a="1"/>
  <c r="I50" i="10" s="1"/>
  <c r="I49" i="10" a="1"/>
  <c r="I49" i="10" s="1"/>
  <c r="I48" i="10" a="1"/>
  <c r="I48" i="10" s="1"/>
  <c r="I47" i="10" a="1"/>
  <c r="I47" i="10" s="1"/>
  <c r="I46" i="10" a="1"/>
  <c r="I46" i="10" s="1"/>
  <c r="I45" i="10" a="1"/>
  <c r="I45" i="10" s="1"/>
  <c r="I44" i="10" a="1"/>
  <c r="I44" i="10" s="1"/>
  <c r="I43" i="10" a="1"/>
  <c r="I43" i="10" s="1"/>
  <c r="I42" i="10" a="1"/>
  <c r="I42" i="10" s="1"/>
  <c r="I41" i="10" a="1"/>
  <c r="I41" i="10" s="1"/>
  <c r="I40" i="10" a="1"/>
  <c r="I40" i="10" s="1"/>
  <c r="I39" i="10" a="1"/>
  <c r="I39" i="10" s="1"/>
  <c r="I38" i="10" a="1"/>
  <c r="I38" i="10" s="1"/>
  <c r="I37" i="10" a="1"/>
  <c r="I37" i="10" s="1"/>
  <c r="BF147" i="47" l="1"/>
  <c r="BE148" i="47"/>
  <c r="BI143" i="21"/>
  <c r="BH144" i="21"/>
  <c r="CB143" i="47"/>
  <c r="CA144" i="47"/>
  <c r="BY134" i="47"/>
  <c r="BY135" i="47" s="1"/>
  <c r="BY136" i="47" s="1"/>
  <c r="BZ133" i="47"/>
  <c r="BJ140" i="47"/>
  <c r="BK139" i="47"/>
  <c r="E116" i="21"/>
  <c r="BG147" i="47" l="1"/>
  <c r="BF148" i="47"/>
  <c r="CB144" i="47"/>
  <c r="CC143" i="47"/>
  <c r="BJ143" i="21"/>
  <c r="BI144" i="21"/>
  <c r="BZ134" i="47"/>
  <c r="BZ135" i="47" s="1"/>
  <c r="BZ136" i="47" s="1"/>
  <c r="CA133" i="47"/>
  <c r="BK140" i="47"/>
  <c r="BL139" i="47"/>
  <c r="E125" i="21"/>
  <c r="E124" i="21"/>
  <c r="E122" i="21"/>
  <c r="J110" i="21"/>
  <c r="F110" i="21"/>
  <c r="F116" i="21" s="1"/>
  <c r="BH147" i="47" l="1"/>
  <c r="BG148" i="47"/>
  <c r="BK143" i="21"/>
  <c r="BJ144" i="21"/>
  <c r="CD143" i="47"/>
  <c r="CC144" i="47"/>
  <c r="BL140" i="47"/>
  <c r="BM139" i="47"/>
  <c r="CA134" i="47"/>
  <c r="CA135" i="47" s="1"/>
  <c r="CA136" i="47" s="1"/>
  <c r="CB133" i="47"/>
  <c r="F125" i="21"/>
  <c r="F124" i="21"/>
  <c r="J116" i="21"/>
  <c r="O110" i="21"/>
  <c r="P110" i="21" s="1"/>
  <c r="K110" i="21"/>
  <c r="K116" i="21" s="1"/>
  <c r="T110" i="21"/>
  <c r="G110" i="21"/>
  <c r="BI147" i="47" l="1"/>
  <c r="BH148" i="47"/>
  <c r="CD144" i="47"/>
  <c r="CE143" i="47"/>
  <c r="BL143" i="21"/>
  <c r="BK144" i="21"/>
  <c r="CB134" i="47"/>
  <c r="CB135" i="47" s="1"/>
  <c r="CB136" i="47" s="1"/>
  <c r="CC133" i="47"/>
  <c r="BM140" i="47"/>
  <c r="BN139" i="47"/>
  <c r="P116" i="21"/>
  <c r="P125" i="21"/>
  <c r="P124" i="21"/>
  <c r="G116" i="21"/>
  <c r="G125" i="21"/>
  <c r="G124" i="21"/>
  <c r="T116" i="21"/>
  <c r="T124" i="21"/>
  <c r="T125" i="21"/>
  <c r="O122" i="21"/>
  <c r="O116" i="21"/>
  <c r="Y110" i="21"/>
  <c r="U110" i="21"/>
  <c r="H110" i="21"/>
  <c r="L110" i="21"/>
  <c r="L116" i="21" s="1"/>
  <c r="P122" i="21"/>
  <c r="Q110" i="21"/>
  <c r="D50" i="5"/>
  <c r="BJ147" i="47" l="1"/>
  <c r="BI148" i="47"/>
  <c r="BM143" i="21"/>
  <c r="BL144" i="21"/>
  <c r="CF143" i="47"/>
  <c r="CE144" i="47"/>
  <c r="BO139" i="47"/>
  <c r="BN140" i="47"/>
  <c r="CC134" i="47"/>
  <c r="CC135" i="47" s="1"/>
  <c r="CC136" i="47" s="1"/>
  <c r="CD133" i="47"/>
  <c r="H116" i="21"/>
  <c r="H125" i="21"/>
  <c r="H124" i="21"/>
  <c r="Y116" i="21"/>
  <c r="Y124" i="21"/>
  <c r="Y125" i="21"/>
  <c r="U116" i="21"/>
  <c r="U124" i="21"/>
  <c r="U125" i="21"/>
  <c r="Q116" i="21"/>
  <c r="Q124" i="21"/>
  <c r="Q125" i="21"/>
  <c r="V110" i="21"/>
  <c r="L122" i="21"/>
  <c r="M110" i="21"/>
  <c r="M116" i="21" s="1"/>
  <c r="AD110" i="21"/>
  <c r="Z110" i="21"/>
  <c r="Q122" i="21"/>
  <c r="R110" i="21"/>
  <c r="I110" i="21"/>
  <c r="I116" i="21" s="1"/>
  <c r="E102" i="21"/>
  <c r="BK147" i="47" l="1"/>
  <c r="BJ148" i="47"/>
  <c r="CG143" i="47"/>
  <c r="CF144" i="47"/>
  <c r="BN143" i="21"/>
  <c r="BM144" i="21"/>
  <c r="CD134" i="47"/>
  <c r="CD135" i="47" s="1"/>
  <c r="CD136" i="47" s="1"/>
  <c r="CE133" i="47"/>
  <c r="BO140" i="47"/>
  <c r="BP139" i="47"/>
  <c r="CN124" i="21"/>
  <c r="CN125" i="21"/>
  <c r="V116" i="21"/>
  <c r="V125" i="21"/>
  <c r="V124" i="21"/>
  <c r="R116" i="21"/>
  <c r="R124" i="21"/>
  <c r="R125" i="21"/>
  <c r="Z116" i="21"/>
  <c r="Z124" i="21"/>
  <c r="Z125" i="21"/>
  <c r="AD116" i="21"/>
  <c r="AD125" i="21"/>
  <c r="AD124" i="21"/>
  <c r="AA110" i="21"/>
  <c r="CN116" i="21"/>
  <c r="AE110" i="21"/>
  <c r="AI110" i="21"/>
  <c r="N110" i="21"/>
  <c r="N116" i="21" s="1"/>
  <c r="W110" i="21"/>
  <c r="S110" i="21"/>
  <c r="BL147" i="47" l="1"/>
  <c r="BK148" i="47"/>
  <c r="BO143" i="21"/>
  <c r="BN144" i="21"/>
  <c r="CH143" i="47"/>
  <c r="CG144" i="47"/>
  <c r="BQ139" i="47"/>
  <c r="BP140" i="47"/>
  <c r="CE134" i="47"/>
  <c r="CE135" i="47" s="1"/>
  <c r="CE136" i="47" s="1"/>
  <c r="CF133" i="47"/>
  <c r="AE116" i="21"/>
  <c r="AE125" i="21"/>
  <c r="AE124" i="21"/>
  <c r="S116" i="21"/>
  <c r="S125" i="21"/>
  <c r="S124" i="21"/>
  <c r="W116" i="21"/>
  <c r="W125" i="21"/>
  <c r="W124" i="21"/>
  <c r="AA116" i="21"/>
  <c r="AA124" i="21"/>
  <c r="AA125" i="21"/>
  <c r="AI116" i="21"/>
  <c r="AI124" i="21"/>
  <c r="AI125" i="21"/>
  <c r="D3" i="3"/>
  <c r="D6" i="3"/>
  <c r="D5" i="3"/>
  <c r="D4" i="3"/>
  <c r="D7" i="3"/>
  <c r="C6" i="3"/>
  <c r="C5" i="3"/>
  <c r="C3" i="3"/>
  <c r="C2" i="3"/>
  <c r="C4" i="3"/>
  <c r="C7" i="3"/>
  <c r="AB110" i="21"/>
  <c r="AF110" i="21"/>
  <c r="AI122" i="21"/>
  <c r="AJ110" i="21"/>
  <c r="AN110" i="21"/>
  <c r="S122" i="21"/>
  <c r="X110" i="21"/>
  <c r="N122" i="21"/>
  <c r="I20" i="3"/>
  <c r="Q28" i="41" s="1"/>
  <c r="Q26" i="41" s="1"/>
  <c r="I156" i="47" s="1"/>
  <c r="I158" i="47" s="1"/>
  <c r="D2" i="3"/>
  <c r="BM147" i="47" l="1"/>
  <c r="BL148" i="47"/>
  <c r="CI143" i="47"/>
  <c r="CH144" i="47"/>
  <c r="BP143" i="21"/>
  <c r="BO144" i="21"/>
  <c r="CF134" i="47"/>
  <c r="CF135" i="47" s="1"/>
  <c r="CF136" i="47" s="1"/>
  <c r="CG133" i="47"/>
  <c r="CA160" i="47"/>
  <c r="CA161" i="47" s="1"/>
  <c r="CA163" i="47" s="1"/>
  <c r="AP160" i="47"/>
  <c r="AP161" i="47" s="1"/>
  <c r="AP163" i="47" s="1"/>
  <c r="U160" i="47"/>
  <c r="U161" i="47" s="1"/>
  <c r="U163" i="47" s="1"/>
  <c r="AR160" i="47"/>
  <c r="AR161" i="47" s="1"/>
  <c r="AR163" i="47" s="1"/>
  <c r="BX160" i="47"/>
  <c r="BX161" i="47" s="1"/>
  <c r="BX163" i="47" s="1"/>
  <c r="N160" i="47"/>
  <c r="N161" i="47" s="1"/>
  <c r="N163" i="47" s="1"/>
  <c r="AX160" i="47"/>
  <c r="AX161" i="47" s="1"/>
  <c r="AX163" i="47" s="1"/>
  <c r="BI160" i="47"/>
  <c r="BI161" i="47" s="1"/>
  <c r="BI163" i="47" s="1"/>
  <c r="AZ160" i="47"/>
  <c r="AZ161" i="47" s="1"/>
  <c r="AZ163" i="47" s="1"/>
  <c r="AB160" i="47"/>
  <c r="AB161" i="47" s="1"/>
  <c r="AB163" i="47" s="1"/>
  <c r="X160" i="47"/>
  <c r="X161" i="47" s="1"/>
  <c r="X163" i="47" s="1"/>
  <c r="AF160" i="47"/>
  <c r="AF161" i="47" s="1"/>
  <c r="AF163" i="47" s="1"/>
  <c r="BU160" i="47"/>
  <c r="BU161" i="47" s="1"/>
  <c r="BU163" i="47" s="1"/>
  <c r="AS160" i="47"/>
  <c r="AS161" i="47" s="1"/>
  <c r="AS163" i="47" s="1"/>
  <c r="CJ160" i="47"/>
  <c r="CJ161" i="47" s="1"/>
  <c r="CJ163" i="47" s="1"/>
  <c r="BC160" i="47"/>
  <c r="BC161" i="47" s="1"/>
  <c r="BC163" i="47" s="1"/>
  <c r="S160" i="47"/>
  <c r="S161" i="47" s="1"/>
  <c r="S163" i="47" s="1"/>
  <c r="T160" i="47"/>
  <c r="T161" i="47" s="1"/>
  <c r="T163" i="47" s="1"/>
  <c r="AU160" i="47"/>
  <c r="AU161" i="47" s="1"/>
  <c r="AU163" i="47" s="1"/>
  <c r="CH160" i="47"/>
  <c r="CH161" i="47" s="1"/>
  <c r="CH163" i="47" s="1"/>
  <c r="V160" i="47"/>
  <c r="V161" i="47" s="1"/>
  <c r="BJ160" i="47"/>
  <c r="BJ161" i="47" s="1"/>
  <c r="BJ163" i="47" s="1"/>
  <c r="L160" i="47"/>
  <c r="AK160" i="47"/>
  <c r="AK161" i="47" s="1"/>
  <c r="AK163" i="47" s="1"/>
  <c r="BK160" i="47"/>
  <c r="BK161" i="47" s="1"/>
  <c r="BK163" i="47" s="1"/>
  <c r="I160" i="47"/>
  <c r="I161" i="47" s="1"/>
  <c r="BH160" i="47"/>
  <c r="BH161" i="47" s="1"/>
  <c r="BH163" i="47" s="1"/>
  <c r="CE160" i="47"/>
  <c r="CE161" i="47" s="1"/>
  <c r="CE163" i="47" s="1"/>
  <c r="BP160" i="47"/>
  <c r="BP161" i="47" s="1"/>
  <c r="BP163" i="47" s="1"/>
  <c r="AD160" i="47"/>
  <c r="AD161" i="47" s="1"/>
  <c r="BA160" i="47"/>
  <c r="BA161" i="47" s="1"/>
  <c r="BA163" i="47" s="1"/>
  <c r="AA160" i="47"/>
  <c r="AA161" i="47" s="1"/>
  <c r="AA163" i="47" s="1"/>
  <c r="BM160" i="47"/>
  <c r="BM161" i="47" s="1"/>
  <c r="BM163" i="47" s="1"/>
  <c r="BZ160" i="47"/>
  <c r="BZ161" i="47" s="1"/>
  <c r="BZ163" i="47" s="1"/>
  <c r="CG160" i="47"/>
  <c r="CG161" i="47" s="1"/>
  <c r="CG163" i="47" s="1"/>
  <c r="AW160" i="47"/>
  <c r="AW161" i="47" s="1"/>
  <c r="AW163" i="47" s="1"/>
  <c r="BO160" i="47"/>
  <c r="BO161" i="47" s="1"/>
  <c r="BO163" i="47" s="1"/>
  <c r="BD160" i="47"/>
  <c r="BD161" i="47" s="1"/>
  <c r="BD163" i="47" s="1"/>
  <c r="AY160" i="47"/>
  <c r="AY161" i="47" s="1"/>
  <c r="AY163" i="47" s="1"/>
  <c r="BS160" i="47"/>
  <c r="BS161" i="47" s="1"/>
  <c r="BS163" i="47" s="1"/>
  <c r="AJ160" i="47"/>
  <c r="AJ161" i="47" s="1"/>
  <c r="AJ163" i="47" s="1"/>
  <c r="F160" i="47"/>
  <c r="F161" i="47" s="1"/>
  <c r="F163" i="47" s="1"/>
  <c r="AN160" i="47"/>
  <c r="J160" i="47"/>
  <c r="AM160" i="47"/>
  <c r="AM161" i="47" s="1"/>
  <c r="AM163" i="47" s="1"/>
  <c r="CF160" i="47"/>
  <c r="CF161" i="47" s="1"/>
  <c r="CF163" i="47" s="1"/>
  <c r="BT160" i="47"/>
  <c r="BT161" i="47" s="1"/>
  <c r="BT163" i="47" s="1"/>
  <c r="CD160" i="47"/>
  <c r="CD161" i="47" s="1"/>
  <c r="CD163" i="47" s="1"/>
  <c r="O160" i="47"/>
  <c r="O161" i="47" s="1"/>
  <c r="BL160" i="47"/>
  <c r="BL161" i="47" s="1"/>
  <c r="BL163" i="47" s="1"/>
  <c r="Q160" i="47"/>
  <c r="Q161" i="47" s="1"/>
  <c r="Q163" i="47" s="1"/>
  <c r="BR160" i="47"/>
  <c r="BR161" i="47" s="1"/>
  <c r="BR163" i="47" s="1"/>
  <c r="AE160" i="47"/>
  <c r="AE161" i="47" s="1"/>
  <c r="AE163" i="47" s="1"/>
  <c r="E160" i="47"/>
  <c r="E161" i="47" s="1"/>
  <c r="E163" i="47" s="1"/>
  <c r="Y160" i="47"/>
  <c r="BF160" i="47"/>
  <c r="BF161" i="47" s="1"/>
  <c r="BF163" i="47" s="1"/>
  <c r="AQ160" i="47"/>
  <c r="AQ161" i="47" s="1"/>
  <c r="AQ163" i="47" s="1"/>
  <c r="AC160" i="47"/>
  <c r="AC161" i="47" s="1"/>
  <c r="AC163" i="47" s="1"/>
  <c r="BE160" i="47"/>
  <c r="BE161" i="47" s="1"/>
  <c r="BE163" i="47" s="1"/>
  <c r="R160" i="47"/>
  <c r="R161" i="47" s="1"/>
  <c r="CB160" i="47"/>
  <c r="CB161" i="47" s="1"/>
  <c r="CB163" i="47" s="1"/>
  <c r="AO160" i="47"/>
  <c r="AO161" i="47" s="1"/>
  <c r="AO163" i="47" s="1"/>
  <c r="AT160" i="47"/>
  <c r="AT161" i="47" s="1"/>
  <c r="AT163" i="47" s="1"/>
  <c r="BN160" i="47"/>
  <c r="BN161" i="47" s="1"/>
  <c r="BN163" i="47" s="1"/>
  <c r="H160" i="47"/>
  <c r="H161" i="47" s="1"/>
  <c r="H163" i="47" s="1"/>
  <c r="AV160" i="47"/>
  <c r="AV161" i="47" s="1"/>
  <c r="AV163" i="47" s="1"/>
  <c r="BV160" i="47"/>
  <c r="BV161" i="47" s="1"/>
  <c r="BV163" i="47" s="1"/>
  <c r="BY160" i="47"/>
  <c r="BY161" i="47" s="1"/>
  <c r="BY163" i="47" s="1"/>
  <c r="BW160" i="47"/>
  <c r="BW161" i="47" s="1"/>
  <c r="BW163" i="47" s="1"/>
  <c r="BG160" i="47"/>
  <c r="BG161" i="47" s="1"/>
  <c r="BG163" i="47" s="1"/>
  <c r="AH160" i="47"/>
  <c r="AH161" i="47" s="1"/>
  <c r="AH163" i="47" s="1"/>
  <c r="P160" i="47"/>
  <c r="P161" i="47" s="1"/>
  <c r="P163" i="47" s="1"/>
  <c r="AL160" i="47"/>
  <c r="AL161" i="47" s="1"/>
  <c r="AL163" i="47" s="1"/>
  <c r="Z160" i="47"/>
  <c r="Z161" i="47" s="1"/>
  <c r="AI160" i="47"/>
  <c r="AI161" i="47" s="1"/>
  <c r="AI163" i="47" s="1"/>
  <c r="G160" i="47"/>
  <c r="G161" i="47" s="1"/>
  <c r="G163" i="47" s="1"/>
  <c r="BB160" i="47"/>
  <c r="BB161" i="47" s="1"/>
  <c r="BB163" i="47" s="1"/>
  <c r="CC160" i="47"/>
  <c r="CC161" i="47" s="1"/>
  <c r="CC163" i="47" s="1"/>
  <c r="CI160" i="47"/>
  <c r="CI161" i="47" s="1"/>
  <c r="CI163" i="47" s="1"/>
  <c r="CK160" i="47"/>
  <c r="CK161" i="47" s="1"/>
  <c r="CK163" i="47" s="1"/>
  <c r="W160" i="47"/>
  <c r="W161" i="47" s="1"/>
  <c r="BQ160" i="47"/>
  <c r="BQ161" i="47" s="1"/>
  <c r="BQ163" i="47" s="1"/>
  <c r="K160" i="47"/>
  <c r="AG160" i="47"/>
  <c r="AG161" i="47" s="1"/>
  <c r="AG163" i="47" s="1"/>
  <c r="M160" i="47"/>
  <c r="M161" i="47" s="1"/>
  <c r="CL160" i="47"/>
  <c r="CL161" i="47" s="1"/>
  <c r="CL163" i="47" s="1"/>
  <c r="BQ140" i="47"/>
  <c r="BR139" i="47"/>
  <c r="I156" i="21"/>
  <c r="H156" i="21"/>
  <c r="AJ116" i="21"/>
  <c r="AJ124" i="21"/>
  <c r="AJ125" i="21"/>
  <c r="AF116" i="21"/>
  <c r="AF125" i="21"/>
  <c r="AF124" i="21"/>
  <c r="AB116" i="21"/>
  <c r="AB124" i="21"/>
  <c r="AB125" i="21"/>
  <c r="X116" i="21"/>
  <c r="X125" i="21"/>
  <c r="X124" i="21"/>
  <c r="AN116" i="21"/>
  <c r="AN125" i="21"/>
  <c r="AN124" i="21"/>
  <c r="V29" i="5"/>
  <c r="V27" i="5" s="1"/>
  <c r="I32" i="47" s="1"/>
  <c r="I34" i="47" s="1"/>
  <c r="U29" i="5"/>
  <c r="Q29" i="5"/>
  <c r="Q27" i="5" s="1"/>
  <c r="I80" i="47" s="1"/>
  <c r="I82" i="47" s="1"/>
  <c r="P29" i="5"/>
  <c r="P27" i="5" s="1"/>
  <c r="I64" i="47" s="1"/>
  <c r="I66" i="47" s="1"/>
  <c r="T29" i="5"/>
  <c r="T27" i="5" s="1"/>
  <c r="I48" i="47" s="1"/>
  <c r="I50" i="47" s="1"/>
  <c r="U27" i="5"/>
  <c r="E5" i="3"/>
  <c r="E3" i="3"/>
  <c r="E6" i="3"/>
  <c r="E2" i="3"/>
  <c r="E4" i="3"/>
  <c r="E7" i="3"/>
  <c r="K28" i="10"/>
  <c r="L28" i="10" s="1"/>
  <c r="AC110" i="21"/>
  <c r="AS110" i="21"/>
  <c r="AS116" i="21" s="1"/>
  <c r="AO110" i="21"/>
  <c r="AO116" i="21" s="1"/>
  <c r="AF122" i="21"/>
  <c r="AG110" i="21"/>
  <c r="AJ122" i="21"/>
  <c r="AK110" i="21"/>
  <c r="E94" i="21"/>
  <c r="E95" i="21"/>
  <c r="I11" i="20"/>
  <c r="J11" i="20" s="1"/>
  <c r="K11" i="20" s="1"/>
  <c r="L11" i="20" s="1"/>
  <c r="M11" i="20" s="1"/>
  <c r="N11" i="20" s="1"/>
  <c r="O11" i="20" s="1"/>
  <c r="P11" i="20" s="1"/>
  <c r="Q11" i="20" s="1"/>
  <c r="R11" i="20" s="1"/>
  <c r="S11" i="20" s="1"/>
  <c r="T11" i="20" s="1"/>
  <c r="U11" i="20" s="1"/>
  <c r="V11" i="20" s="1"/>
  <c r="W11" i="20" s="1"/>
  <c r="X11" i="20" s="1"/>
  <c r="Y11" i="20" s="1"/>
  <c r="Z11" i="20" s="1"/>
  <c r="AA11" i="20" s="1"/>
  <c r="AB11" i="20" s="1"/>
  <c r="AC11" i="20" s="1"/>
  <c r="AD11" i="20" s="1"/>
  <c r="AE11" i="20" s="1"/>
  <c r="AF11" i="20" s="1"/>
  <c r="AG11" i="20" s="1"/>
  <c r="AH11" i="20" s="1"/>
  <c r="AI11" i="20" s="1"/>
  <c r="AJ11" i="20" s="1"/>
  <c r="AK11" i="20" s="1"/>
  <c r="AL11" i="20" s="1"/>
  <c r="AM11" i="20" s="1"/>
  <c r="AN11" i="20" s="1"/>
  <c r="M163" i="47" l="1"/>
  <c r="M162" i="47"/>
  <c r="BN147" i="47"/>
  <c r="BM148" i="47"/>
  <c r="BQ143" i="21"/>
  <c r="BP144" i="21"/>
  <c r="CI144" i="47"/>
  <c r="CJ143" i="47"/>
  <c r="R163" i="47"/>
  <c r="R162" i="47"/>
  <c r="Z163" i="47"/>
  <c r="Z162" i="47"/>
  <c r="AD163" i="47"/>
  <c r="AD162" i="47"/>
  <c r="V163" i="47"/>
  <c r="V162" i="47"/>
  <c r="AI52" i="47"/>
  <c r="AI53" i="47" s="1"/>
  <c r="AI55" i="47" s="1"/>
  <c r="BX52" i="47"/>
  <c r="BX53" i="47" s="1"/>
  <c r="Z52" i="47"/>
  <c r="Z53" i="47" s="1"/>
  <c r="BD52" i="47"/>
  <c r="BD53" i="47" s="1"/>
  <c r="AK52" i="47"/>
  <c r="AK53" i="47" s="1"/>
  <c r="AK55" i="47" s="1"/>
  <c r="S52" i="47"/>
  <c r="S53" i="47" s="1"/>
  <c r="S55" i="47" s="1"/>
  <c r="BF52" i="47"/>
  <c r="BF53" i="47" s="1"/>
  <c r="AX52" i="47"/>
  <c r="AX53" i="47" s="1"/>
  <c r="AW52" i="47"/>
  <c r="AW53" i="47" s="1"/>
  <c r="CF52" i="47"/>
  <c r="CF53" i="47" s="1"/>
  <c r="BM52" i="47"/>
  <c r="BM53" i="47" s="1"/>
  <c r="CK52" i="47"/>
  <c r="CK53" i="47" s="1"/>
  <c r="CJ52" i="47"/>
  <c r="CJ53" i="47" s="1"/>
  <c r="G52" i="47"/>
  <c r="G53" i="47" s="1"/>
  <c r="AC52" i="47"/>
  <c r="AC53" i="47" s="1"/>
  <c r="AC55" i="47" s="1"/>
  <c r="CA52" i="47"/>
  <c r="CA53" i="47" s="1"/>
  <c r="F52" i="47"/>
  <c r="F53" i="47" s="1"/>
  <c r="I52" i="47"/>
  <c r="I53" i="47" s="1"/>
  <c r="BW52" i="47"/>
  <c r="BW53" i="47" s="1"/>
  <c r="BS52" i="47"/>
  <c r="BS53" i="47" s="1"/>
  <c r="BN52" i="47"/>
  <c r="BN53" i="47" s="1"/>
  <c r="AA52" i="47"/>
  <c r="AA53" i="47" s="1"/>
  <c r="AA55" i="47" s="1"/>
  <c r="AP52" i="47"/>
  <c r="AP53" i="47" s="1"/>
  <c r="BR52" i="47"/>
  <c r="BR53" i="47" s="1"/>
  <c r="Q52" i="47"/>
  <c r="Q53" i="47" s="1"/>
  <c r="Q55" i="47" s="1"/>
  <c r="BU52" i="47"/>
  <c r="BU53" i="47" s="1"/>
  <c r="BL52" i="47"/>
  <c r="BL53" i="47" s="1"/>
  <c r="X52" i="47"/>
  <c r="X53" i="47" s="1"/>
  <c r="X55" i="47" s="1"/>
  <c r="AS52" i="47"/>
  <c r="AS53" i="47" s="1"/>
  <c r="CH52" i="47"/>
  <c r="CH53" i="47" s="1"/>
  <c r="AH52" i="47"/>
  <c r="AH53" i="47" s="1"/>
  <c r="AH55" i="47" s="1"/>
  <c r="AN52" i="47"/>
  <c r="AM52" i="47"/>
  <c r="AM53" i="47" s="1"/>
  <c r="AM55" i="47" s="1"/>
  <c r="K52" i="47"/>
  <c r="H52" i="47"/>
  <c r="H53" i="47" s="1"/>
  <c r="H55" i="47" s="1"/>
  <c r="AL52" i="47"/>
  <c r="AL53" i="47" s="1"/>
  <c r="AL55" i="47" s="1"/>
  <c r="M52" i="47"/>
  <c r="M53" i="47" s="1"/>
  <c r="E52" i="47"/>
  <c r="E53" i="47" s="1"/>
  <c r="E55" i="47" s="1"/>
  <c r="BG52" i="47"/>
  <c r="BG53" i="47" s="1"/>
  <c r="BV52" i="47"/>
  <c r="BV53" i="47" s="1"/>
  <c r="CB52" i="47"/>
  <c r="CB53" i="47" s="1"/>
  <c r="BY52" i="47"/>
  <c r="BY53" i="47" s="1"/>
  <c r="CG52" i="47"/>
  <c r="CG53" i="47" s="1"/>
  <c r="BB52" i="47"/>
  <c r="BB53" i="47" s="1"/>
  <c r="BT52" i="47"/>
  <c r="BT53" i="47" s="1"/>
  <c r="BI52" i="47"/>
  <c r="BI53" i="47" s="1"/>
  <c r="AG52" i="47"/>
  <c r="AG53" i="47" s="1"/>
  <c r="AG55" i="47" s="1"/>
  <c r="Y52" i="47"/>
  <c r="AO52" i="47"/>
  <c r="AO53" i="47" s="1"/>
  <c r="CL52" i="47"/>
  <c r="CL53" i="47" s="1"/>
  <c r="AV52" i="47"/>
  <c r="AV53" i="47" s="1"/>
  <c r="BC52" i="47"/>
  <c r="BC53" i="47" s="1"/>
  <c r="T52" i="47"/>
  <c r="T53" i="47" s="1"/>
  <c r="T55" i="47" s="1"/>
  <c r="U52" i="47"/>
  <c r="U53" i="47" s="1"/>
  <c r="U55" i="47" s="1"/>
  <c r="BH52" i="47"/>
  <c r="BH53" i="47" s="1"/>
  <c r="N52" i="47"/>
  <c r="N53" i="47" s="1"/>
  <c r="N55" i="47" s="1"/>
  <c r="V52" i="47"/>
  <c r="V53" i="47" s="1"/>
  <c r="AE52" i="47"/>
  <c r="AE53" i="47" s="1"/>
  <c r="AE55" i="47" s="1"/>
  <c r="AU52" i="47"/>
  <c r="AU53" i="47" s="1"/>
  <c r="O52" i="47"/>
  <c r="O53" i="47" s="1"/>
  <c r="R52" i="47"/>
  <c r="R53" i="47" s="1"/>
  <c r="AZ52" i="47"/>
  <c r="AZ53" i="47" s="1"/>
  <c r="AD52" i="47"/>
  <c r="AD53" i="47" s="1"/>
  <c r="L52" i="47"/>
  <c r="P52" i="47"/>
  <c r="P53" i="47" s="1"/>
  <c r="P55" i="47" s="1"/>
  <c r="AT52" i="47"/>
  <c r="AT53" i="47" s="1"/>
  <c r="BP52" i="47"/>
  <c r="BP53" i="47" s="1"/>
  <c r="AQ52" i="47"/>
  <c r="AQ53" i="47" s="1"/>
  <c r="AR52" i="47"/>
  <c r="AR53" i="47" s="1"/>
  <c r="J52" i="47"/>
  <c r="AJ52" i="47"/>
  <c r="AJ53" i="47" s="1"/>
  <c r="AJ55" i="47" s="1"/>
  <c r="W52" i="47"/>
  <c r="W53" i="47" s="1"/>
  <c r="CE52" i="47"/>
  <c r="CE53" i="47" s="1"/>
  <c r="AF52" i="47"/>
  <c r="AF53" i="47" s="1"/>
  <c r="AF55" i="47" s="1"/>
  <c r="CC52" i="47"/>
  <c r="CC53" i="47" s="1"/>
  <c r="CI52" i="47"/>
  <c r="CI53" i="47" s="1"/>
  <c r="BZ52" i="47"/>
  <c r="BZ53" i="47" s="1"/>
  <c r="BE52" i="47"/>
  <c r="BE53" i="47" s="1"/>
  <c r="AB52" i="47"/>
  <c r="AB53" i="47" s="1"/>
  <c r="AB55" i="47" s="1"/>
  <c r="CD52" i="47"/>
  <c r="CD53" i="47" s="1"/>
  <c r="BO52" i="47"/>
  <c r="BO53" i="47" s="1"/>
  <c r="BA52" i="47"/>
  <c r="BA53" i="47" s="1"/>
  <c r="BJ52" i="47"/>
  <c r="BJ53" i="47" s="1"/>
  <c r="AY52" i="47"/>
  <c r="AY53" i="47" s="1"/>
  <c r="BK52" i="47"/>
  <c r="BK53" i="47" s="1"/>
  <c r="BQ52" i="47"/>
  <c r="BQ53" i="47" s="1"/>
  <c r="CK68" i="47"/>
  <c r="CK69" i="47" s="1"/>
  <c r="CH68" i="47"/>
  <c r="CH69" i="47" s="1"/>
  <c r="AE68" i="47"/>
  <c r="AE69" i="47" s="1"/>
  <c r="AE71" i="47" s="1"/>
  <c r="CF68" i="47"/>
  <c r="CF69" i="47" s="1"/>
  <c r="CD68" i="47"/>
  <c r="CD69" i="47" s="1"/>
  <c r="AD68" i="47"/>
  <c r="AD69" i="47" s="1"/>
  <c r="BA68" i="47"/>
  <c r="BA69" i="47" s="1"/>
  <c r="E68" i="47"/>
  <c r="E69" i="47" s="1"/>
  <c r="E71" i="47" s="1"/>
  <c r="BI68" i="47"/>
  <c r="BI69" i="47" s="1"/>
  <c r="BN68" i="47"/>
  <c r="BN69" i="47" s="1"/>
  <c r="CI68" i="47"/>
  <c r="CI69" i="47" s="1"/>
  <c r="CG68" i="47"/>
  <c r="CG69" i="47" s="1"/>
  <c r="M68" i="47"/>
  <c r="M69" i="47" s="1"/>
  <c r="BZ68" i="47"/>
  <c r="BZ69" i="47" s="1"/>
  <c r="G68" i="47"/>
  <c r="G69" i="47" s="1"/>
  <c r="CC68" i="47"/>
  <c r="CC69" i="47" s="1"/>
  <c r="BX68" i="47"/>
  <c r="BX69" i="47" s="1"/>
  <c r="X68" i="47"/>
  <c r="X69" i="47" s="1"/>
  <c r="X71" i="47" s="1"/>
  <c r="AH68" i="47"/>
  <c r="AH69" i="47" s="1"/>
  <c r="AH71" i="47" s="1"/>
  <c r="Q68" i="47"/>
  <c r="Q69" i="47" s="1"/>
  <c r="Q71" i="47" s="1"/>
  <c r="AF68" i="47"/>
  <c r="AF69" i="47" s="1"/>
  <c r="AF71" i="47" s="1"/>
  <c r="AK68" i="47"/>
  <c r="AK69" i="47" s="1"/>
  <c r="AK71" i="47" s="1"/>
  <c r="R68" i="47"/>
  <c r="R69" i="47" s="1"/>
  <c r="AL68" i="47"/>
  <c r="AL69" i="47" s="1"/>
  <c r="AL71" i="47" s="1"/>
  <c r="K68" i="47"/>
  <c r="BC68" i="47"/>
  <c r="BC69" i="47" s="1"/>
  <c r="W68" i="47"/>
  <c r="W69" i="47" s="1"/>
  <c r="AY68" i="47"/>
  <c r="AY69" i="47" s="1"/>
  <c r="BE68" i="47"/>
  <c r="BE69" i="47" s="1"/>
  <c r="AM68" i="47"/>
  <c r="AM69" i="47" s="1"/>
  <c r="AM71" i="47" s="1"/>
  <c r="BG68" i="47"/>
  <c r="BG69" i="47" s="1"/>
  <c r="BT68" i="47"/>
  <c r="BT69" i="47" s="1"/>
  <c r="L68" i="47"/>
  <c r="AV68" i="47"/>
  <c r="AV69" i="47" s="1"/>
  <c r="BW68" i="47"/>
  <c r="BW69" i="47" s="1"/>
  <c r="BL68" i="47"/>
  <c r="BL69" i="47" s="1"/>
  <c r="AU68" i="47"/>
  <c r="AU69" i="47" s="1"/>
  <c r="BO68" i="47"/>
  <c r="BO69" i="47" s="1"/>
  <c r="AZ68" i="47"/>
  <c r="AZ69" i="47" s="1"/>
  <c r="BQ68" i="47"/>
  <c r="BQ69" i="47" s="1"/>
  <c r="BD68" i="47"/>
  <c r="BD69" i="47" s="1"/>
  <c r="AT68" i="47"/>
  <c r="AT69" i="47" s="1"/>
  <c r="BV68" i="47"/>
  <c r="BV69" i="47" s="1"/>
  <c r="AI68" i="47"/>
  <c r="AI69" i="47" s="1"/>
  <c r="AI71" i="47" s="1"/>
  <c r="Z68" i="47"/>
  <c r="Z69" i="47" s="1"/>
  <c r="BH68" i="47"/>
  <c r="BH69" i="47" s="1"/>
  <c r="CA68" i="47"/>
  <c r="CA69" i="47" s="1"/>
  <c r="AX68" i="47"/>
  <c r="AX69" i="47" s="1"/>
  <c r="O68" i="47"/>
  <c r="O69" i="47" s="1"/>
  <c r="AJ68" i="47"/>
  <c r="AJ69" i="47" s="1"/>
  <c r="AJ71" i="47" s="1"/>
  <c r="T68" i="47"/>
  <c r="T69" i="47" s="1"/>
  <c r="T71" i="47" s="1"/>
  <c r="F68" i="47"/>
  <c r="F69" i="47" s="1"/>
  <c r="AB68" i="47"/>
  <c r="AB69" i="47" s="1"/>
  <c r="AB71" i="47" s="1"/>
  <c r="S68" i="47"/>
  <c r="S69" i="47" s="1"/>
  <c r="S71" i="47" s="1"/>
  <c r="BP68" i="47"/>
  <c r="BP69" i="47" s="1"/>
  <c r="N68" i="47"/>
  <c r="N69" i="47" s="1"/>
  <c r="N71" i="47" s="1"/>
  <c r="BJ68" i="47"/>
  <c r="BJ69" i="47" s="1"/>
  <c r="AA68" i="47"/>
  <c r="AA69" i="47" s="1"/>
  <c r="AA71" i="47" s="1"/>
  <c r="BF68" i="47"/>
  <c r="BF69" i="47" s="1"/>
  <c r="J68" i="47"/>
  <c r="AW68" i="47"/>
  <c r="AW69" i="47" s="1"/>
  <c r="Y68" i="47"/>
  <c r="BY68" i="47"/>
  <c r="BY69" i="47" s="1"/>
  <c r="V68" i="47"/>
  <c r="V69" i="47" s="1"/>
  <c r="BU68" i="47"/>
  <c r="BU69" i="47" s="1"/>
  <c r="BM68" i="47"/>
  <c r="BM69" i="47" s="1"/>
  <c r="CL68" i="47"/>
  <c r="CL69" i="47" s="1"/>
  <c r="BR68" i="47"/>
  <c r="BR69" i="47" s="1"/>
  <c r="CB68" i="47"/>
  <c r="CB69" i="47" s="1"/>
  <c r="AO68" i="47"/>
  <c r="AO69" i="47" s="1"/>
  <c r="P68" i="47"/>
  <c r="P69" i="47" s="1"/>
  <c r="P71" i="47" s="1"/>
  <c r="BK68" i="47"/>
  <c r="BK69" i="47" s="1"/>
  <c r="BB68" i="47"/>
  <c r="BB69" i="47" s="1"/>
  <c r="AP68" i="47"/>
  <c r="AP69" i="47" s="1"/>
  <c r="AS68" i="47"/>
  <c r="AS69" i="47" s="1"/>
  <c r="CE68" i="47"/>
  <c r="CE69" i="47" s="1"/>
  <c r="CJ68" i="47"/>
  <c r="CJ69" i="47" s="1"/>
  <c r="AC68" i="47"/>
  <c r="AC69" i="47" s="1"/>
  <c r="AC71" i="47" s="1"/>
  <c r="AG68" i="47"/>
  <c r="AG69" i="47" s="1"/>
  <c r="AG71" i="47" s="1"/>
  <c r="BS68" i="47"/>
  <c r="BS69" i="47" s="1"/>
  <c r="I68" i="47"/>
  <c r="I69" i="47" s="1"/>
  <c r="AQ68" i="47"/>
  <c r="AQ69" i="47" s="1"/>
  <c r="H68" i="47"/>
  <c r="H69" i="47" s="1"/>
  <c r="H71" i="47" s="1"/>
  <c r="AN68" i="47"/>
  <c r="U68" i="47"/>
  <c r="U69" i="47" s="1"/>
  <c r="U71" i="47" s="1"/>
  <c r="AR68" i="47"/>
  <c r="AR69" i="47" s="1"/>
  <c r="CG84" i="47"/>
  <c r="CG85" i="47" s="1"/>
  <c r="BJ84" i="47"/>
  <c r="BJ85" i="47" s="1"/>
  <c r="AI84" i="47"/>
  <c r="AI85" i="47" s="1"/>
  <c r="AI87" i="47" s="1"/>
  <c r="AZ84" i="47"/>
  <c r="AZ85" i="47" s="1"/>
  <c r="AA84" i="47"/>
  <c r="AA85" i="47" s="1"/>
  <c r="AA87" i="47" s="1"/>
  <c r="M84" i="47"/>
  <c r="M85" i="47" s="1"/>
  <c r="AL84" i="47"/>
  <c r="AL85" i="47" s="1"/>
  <c r="AL87" i="47" s="1"/>
  <c r="H84" i="47"/>
  <c r="H85" i="47" s="1"/>
  <c r="H87" i="47" s="1"/>
  <c r="BX84" i="47"/>
  <c r="BX85" i="47" s="1"/>
  <c r="AN84" i="47"/>
  <c r="BK84" i="47"/>
  <c r="BK85" i="47" s="1"/>
  <c r="R84" i="47"/>
  <c r="R85" i="47" s="1"/>
  <c r="AJ84" i="47"/>
  <c r="AJ85" i="47" s="1"/>
  <c r="AJ87" i="47" s="1"/>
  <c r="T84" i="47"/>
  <c r="T85" i="47" s="1"/>
  <c r="T87" i="47" s="1"/>
  <c r="AG84" i="47"/>
  <c r="AG85" i="47" s="1"/>
  <c r="AG87" i="47" s="1"/>
  <c r="CL84" i="47"/>
  <c r="CL85" i="47" s="1"/>
  <c r="X84" i="47"/>
  <c r="X85" i="47" s="1"/>
  <c r="X87" i="47" s="1"/>
  <c r="AT84" i="47"/>
  <c r="AT85" i="47" s="1"/>
  <c r="BI84" i="47"/>
  <c r="BI85" i="47" s="1"/>
  <c r="CF84" i="47"/>
  <c r="CF85" i="47" s="1"/>
  <c r="BF84" i="47"/>
  <c r="BF85" i="47" s="1"/>
  <c r="AE84" i="47"/>
  <c r="AE85" i="47" s="1"/>
  <c r="AE87" i="47" s="1"/>
  <c r="BC84" i="47"/>
  <c r="BC85" i="47" s="1"/>
  <c r="AR84" i="47"/>
  <c r="AR85" i="47" s="1"/>
  <c r="CC84" i="47"/>
  <c r="CC85" i="47" s="1"/>
  <c r="BT84" i="47"/>
  <c r="BT85" i="47" s="1"/>
  <c r="AD84" i="47"/>
  <c r="AD85" i="47" s="1"/>
  <c r="BU84" i="47"/>
  <c r="BU85" i="47" s="1"/>
  <c r="L84" i="47"/>
  <c r="BE84" i="47"/>
  <c r="BE85" i="47" s="1"/>
  <c r="BR84" i="47"/>
  <c r="BR85" i="47" s="1"/>
  <c r="CA84" i="47"/>
  <c r="CA85" i="47" s="1"/>
  <c r="AB84" i="47"/>
  <c r="AB85" i="47" s="1"/>
  <c r="AB87" i="47" s="1"/>
  <c r="CH84" i="47"/>
  <c r="CH85" i="47" s="1"/>
  <c r="AK84" i="47"/>
  <c r="AK85" i="47" s="1"/>
  <c r="AK87" i="47" s="1"/>
  <c r="AS84" i="47"/>
  <c r="AS85" i="47" s="1"/>
  <c r="AH84" i="47"/>
  <c r="AH85" i="47" s="1"/>
  <c r="AH87" i="47" s="1"/>
  <c r="BZ84" i="47"/>
  <c r="BZ85" i="47" s="1"/>
  <c r="BY84" i="47"/>
  <c r="BY85" i="47" s="1"/>
  <c r="AF84" i="47"/>
  <c r="AF85" i="47" s="1"/>
  <c r="AF87" i="47" s="1"/>
  <c r="CJ84" i="47"/>
  <c r="CJ85" i="47" s="1"/>
  <c r="BA84" i="47"/>
  <c r="BA85" i="47" s="1"/>
  <c r="Y84" i="47"/>
  <c r="CB84" i="47"/>
  <c r="CB85" i="47" s="1"/>
  <c r="S84" i="47"/>
  <c r="S85" i="47" s="1"/>
  <c r="S87" i="47" s="1"/>
  <c r="CK84" i="47"/>
  <c r="CK85" i="47" s="1"/>
  <c r="BS84" i="47"/>
  <c r="BS85" i="47" s="1"/>
  <c r="AO84" i="47"/>
  <c r="AO85" i="47" s="1"/>
  <c r="CD84" i="47"/>
  <c r="CD85" i="47" s="1"/>
  <c r="BP84" i="47"/>
  <c r="BP85" i="47" s="1"/>
  <c r="BQ84" i="47"/>
  <c r="BQ85" i="47" s="1"/>
  <c r="J84" i="47"/>
  <c r="AV84" i="47"/>
  <c r="AV85" i="47" s="1"/>
  <c r="F84" i="47"/>
  <c r="F85" i="47" s="1"/>
  <c r="W84" i="47"/>
  <c r="W85" i="47" s="1"/>
  <c r="CE84" i="47"/>
  <c r="CE85" i="47" s="1"/>
  <c r="BB84" i="47"/>
  <c r="BB85" i="47" s="1"/>
  <c r="N84" i="47"/>
  <c r="N85" i="47" s="1"/>
  <c r="N87" i="47" s="1"/>
  <c r="BG84" i="47"/>
  <c r="BG85" i="47" s="1"/>
  <c r="BH84" i="47"/>
  <c r="BH85" i="47" s="1"/>
  <c r="AW84" i="47"/>
  <c r="AW85" i="47" s="1"/>
  <c r="U84" i="47"/>
  <c r="U85" i="47" s="1"/>
  <c r="U87" i="47" s="1"/>
  <c r="BV84" i="47"/>
  <c r="BV85" i="47" s="1"/>
  <c r="K84" i="47"/>
  <c r="Z84" i="47"/>
  <c r="Z85" i="47" s="1"/>
  <c r="Q84" i="47"/>
  <c r="Q85" i="47" s="1"/>
  <c r="Q87" i="47" s="1"/>
  <c r="P84" i="47"/>
  <c r="P85" i="47" s="1"/>
  <c r="P87" i="47" s="1"/>
  <c r="AX84" i="47"/>
  <c r="AX85" i="47" s="1"/>
  <c r="AM84" i="47"/>
  <c r="AM85" i="47" s="1"/>
  <c r="AM87" i="47" s="1"/>
  <c r="BM84" i="47"/>
  <c r="BM85" i="47" s="1"/>
  <c r="G84" i="47"/>
  <c r="G85" i="47" s="1"/>
  <c r="BN84" i="47"/>
  <c r="BN85" i="47" s="1"/>
  <c r="I84" i="47"/>
  <c r="I85" i="47" s="1"/>
  <c r="AY84" i="47"/>
  <c r="AY85" i="47" s="1"/>
  <c r="AQ84" i="47"/>
  <c r="AQ85" i="47" s="1"/>
  <c r="O84" i="47"/>
  <c r="O85" i="47" s="1"/>
  <c r="E84" i="47"/>
  <c r="E85" i="47" s="1"/>
  <c r="E87" i="47" s="1"/>
  <c r="CI84" i="47"/>
  <c r="CI85" i="47" s="1"/>
  <c r="V84" i="47"/>
  <c r="V85" i="47" s="1"/>
  <c r="BL84" i="47"/>
  <c r="BL85" i="47" s="1"/>
  <c r="BW84" i="47"/>
  <c r="BW85" i="47" s="1"/>
  <c r="AP84" i="47"/>
  <c r="AP85" i="47" s="1"/>
  <c r="AC84" i="47"/>
  <c r="AC85" i="47" s="1"/>
  <c r="AC87" i="47" s="1"/>
  <c r="BD84" i="47"/>
  <c r="BD85" i="47" s="1"/>
  <c r="AU84" i="47"/>
  <c r="AU85" i="47" s="1"/>
  <c r="BO84" i="47"/>
  <c r="BO85" i="47" s="1"/>
  <c r="CP160" i="47"/>
  <c r="CO160" i="47"/>
  <c r="AN161" i="47"/>
  <c r="W36" i="47"/>
  <c r="W37" i="47" s="1"/>
  <c r="BH36" i="47"/>
  <c r="BH37" i="47" s="1"/>
  <c r="AQ36" i="47"/>
  <c r="AQ37" i="47" s="1"/>
  <c r="BZ36" i="47"/>
  <c r="BZ37" i="47" s="1"/>
  <c r="CF36" i="47"/>
  <c r="CF37" i="47" s="1"/>
  <c r="Z36" i="47"/>
  <c r="Z37" i="47" s="1"/>
  <c r="S36" i="47"/>
  <c r="S37" i="47" s="1"/>
  <c r="S39" i="47" s="1"/>
  <c r="AI36" i="47"/>
  <c r="AI37" i="47" s="1"/>
  <c r="AI39" i="47" s="1"/>
  <c r="T36" i="47"/>
  <c r="T37" i="47" s="1"/>
  <c r="T39" i="47" s="1"/>
  <c r="Y36" i="47"/>
  <c r="AU36" i="47"/>
  <c r="AU37" i="47" s="1"/>
  <c r="N36" i="47"/>
  <c r="N37" i="47" s="1"/>
  <c r="N39" i="47" s="1"/>
  <c r="CL36" i="47"/>
  <c r="CL37" i="47" s="1"/>
  <c r="BG36" i="47"/>
  <c r="BG37" i="47" s="1"/>
  <c r="AV36" i="47"/>
  <c r="AV37" i="47" s="1"/>
  <c r="AC36" i="47"/>
  <c r="AC37" i="47" s="1"/>
  <c r="AC39" i="47" s="1"/>
  <c r="BX36" i="47"/>
  <c r="BX37" i="47" s="1"/>
  <c r="BK36" i="47"/>
  <c r="BK37" i="47" s="1"/>
  <c r="CK36" i="47"/>
  <c r="CK37" i="47" s="1"/>
  <c r="CG36" i="47"/>
  <c r="CG37" i="47" s="1"/>
  <c r="CI36" i="47"/>
  <c r="CI37" i="47" s="1"/>
  <c r="BR36" i="47"/>
  <c r="BR37" i="47" s="1"/>
  <c r="I36" i="47"/>
  <c r="I37" i="47" s="1"/>
  <c r="BC36" i="47"/>
  <c r="BC37" i="47" s="1"/>
  <c r="CJ36" i="47"/>
  <c r="CJ37" i="47" s="1"/>
  <c r="CE36" i="47"/>
  <c r="CE37" i="47" s="1"/>
  <c r="BW36" i="47"/>
  <c r="BW37" i="47" s="1"/>
  <c r="J36" i="47"/>
  <c r="AP36" i="47"/>
  <c r="AP37" i="47" s="1"/>
  <c r="F36" i="47"/>
  <c r="F37" i="47" s="1"/>
  <c r="M36" i="47"/>
  <c r="M37" i="47" s="1"/>
  <c r="BY36" i="47"/>
  <c r="BY37" i="47" s="1"/>
  <c r="Q36" i="47"/>
  <c r="Q37" i="47" s="1"/>
  <c r="Q39" i="47" s="1"/>
  <c r="BM36" i="47"/>
  <c r="BM37" i="47" s="1"/>
  <c r="BB36" i="47"/>
  <c r="BB37" i="47" s="1"/>
  <c r="AL36" i="47"/>
  <c r="AL37" i="47" s="1"/>
  <c r="AL39" i="47" s="1"/>
  <c r="AW36" i="47"/>
  <c r="AW37" i="47" s="1"/>
  <c r="X36" i="47"/>
  <c r="X37" i="47" s="1"/>
  <c r="X39" i="47" s="1"/>
  <c r="AO36" i="47"/>
  <c r="AO37" i="47" s="1"/>
  <c r="E36" i="47"/>
  <c r="E37" i="47" s="1"/>
  <c r="E39" i="47" s="1"/>
  <c r="G36" i="47"/>
  <c r="G37" i="47" s="1"/>
  <c r="V36" i="47"/>
  <c r="V37" i="47" s="1"/>
  <c r="BJ36" i="47"/>
  <c r="BJ37" i="47" s="1"/>
  <c r="H36" i="47"/>
  <c r="H37" i="47" s="1"/>
  <c r="H39" i="47" s="1"/>
  <c r="AT36" i="47"/>
  <c r="AT37" i="47" s="1"/>
  <c r="CH36" i="47"/>
  <c r="CH37" i="47" s="1"/>
  <c r="BV36" i="47"/>
  <c r="BV37" i="47" s="1"/>
  <c r="CC36" i="47"/>
  <c r="CC37" i="47" s="1"/>
  <c r="CD36" i="47"/>
  <c r="CD37" i="47" s="1"/>
  <c r="BE36" i="47"/>
  <c r="BE37" i="47" s="1"/>
  <c r="AB36" i="47"/>
  <c r="AB37" i="47" s="1"/>
  <c r="AB39" i="47" s="1"/>
  <c r="AK36" i="47"/>
  <c r="AK37" i="47" s="1"/>
  <c r="AK39" i="47" s="1"/>
  <c r="BI36" i="47"/>
  <c r="BI37" i="47" s="1"/>
  <c r="BQ36" i="47"/>
  <c r="BQ37" i="47" s="1"/>
  <c r="BS36" i="47"/>
  <c r="BS37" i="47" s="1"/>
  <c r="BT36" i="47"/>
  <c r="BT37" i="47" s="1"/>
  <c r="BL36" i="47"/>
  <c r="BL37" i="47" s="1"/>
  <c r="O36" i="47"/>
  <c r="O37" i="47" s="1"/>
  <c r="K36" i="47"/>
  <c r="AD36" i="47"/>
  <c r="AD37" i="47" s="1"/>
  <c r="AZ36" i="47"/>
  <c r="AZ37" i="47" s="1"/>
  <c r="AH36" i="47"/>
  <c r="AH37" i="47" s="1"/>
  <c r="AH39" i="47" s="1"/>
  <c r="R36" i="47"/>
  <c r="R37" i="47" s="1"/>
  <c r="AY36" i="47"/>
  <c r="AY37" i="47" s="1"/>
  <c r="AR36" i="47"/>
  <c r="AR37" i="47" s="1"/>
  <c r="CB36" i="47"/>
  <c r="CB37" i="47" s="1"/>
  <c r="AM36" i="47"/>
  <c r="AM37" i="47" s="1"/>
  <c r="AM39" i="47" s="1"/>
  <c r="U36" i="47"/>
  <c r="U37" i="47" s="1"/>
  <c r="U39" i="47" s="1"/>
  <c r="BP36" i="47"/>
  <c r="BP37" i="47" s="1"/>
  <c r="BU36" i="47"/>
  <c r="BU37" i="47" s="1"/>
  <c r="BO36" i="47"/>
  <c r="BO37" i="47" s="1"/>
  <c r="CA36" i="47"/>
  <c r="CA37" i="47" s="1"/>
  <c r="BN36" i="47"/>
  <c r="BN37" i="47" s="1"/>
  <c r="L36" i="47"/>
  <c r="AS36" i="47"/>
  <c r="AS37" i="47" s="1"/>
  <c r="AA36" i="47"/>
  <c r="AA37" i="47" s="1"/>
  <c r="AA39" i="47" s="1"/>
  <c r="BD36" i="47"/>
  <c r="BD37" i="47" s="1"/>
  <c r="AF36" i="47"/>
  <c r="AF37" i="47" s="1"/>
  <c r="AF39" i="47" s="1"/>
  <c r="BA36" i="47"/>
  <c r="BA37" i="47" s="1"/>
  <c r="BF36" i="47"/>
  <c r="BF37" i="47" s="1"/>
  <c r="AN36" i="47"/>
  <c r="AG36" i="47"/>
  <c r="AG37" i="47" s="1"/>
  <c r="AG39" i="47" s="1"/>
  <c r="AE36" i="47"/>
  <c r="AE37" i="47" s="1"/>
  <c r="AE39" i="47" s="1"/>
  <c r="AJ36" i="47"/>
  <c r="AJ37" i="47" s="1"/>
  <c r="AJ39" i="47" s="1"/>
  <c r="AX36" i="47"/>
  <c r="AX37" i="47" s="1"/>
  <c r="P36" i="47"/>
  <c r="P37" i="47" s="1"/>
  <c r="P39" i="47" s="1"/>
  <c r="I163" i="47"/>
  <c r="I165" i="47"/>
  <c r="J165" i="47" s="1"/>
  <c r="K165" i="47" s="1"/>
  <c r="L165" i="47" s="1"/>
  <c r="M165" i="47" s="1"/>
  <c r="N165" i="47" s="1"/>
  <c r="I162" i="47"/>
  <c r="W163" i="47"/>
  <c r="W162" i="47"/>
  <c r="O163" i="47"/>
  <c r="O165" i="47"/>
  <c r="CG134" i="47"/>
  <c r="CG135" i="47" s="1"/>
  <c r="CG136" i="47" s="1"/>
  <c r="CH133" i="47"/>
  <c r="BR140" i="47"/>
  <c r="BS139" i="47"/>
  <c r="J30" i="5"/>
  <c r="I16" i="47"/>
  <c r="I18" i="47" s="1"/>
  <c r="CN160" i="47"/>
  <c r="Y161" i="47"/>
  <c r="Y162" i="47" s="1"/>
  <c r="CN156" i="21"/>
  <c r="CP156" i="21"/>
  <c r="CO124" i="21"/>
  <c r="CP124" i="21"/>
  <c r="AC116" i="21"/>
  <c r="AC124" i="21"/>
  <c r="AC125" i="21"/>
  <c r="AG116" i="21"/>
  <c r="AG124" i="21"/>
  <c r="AG125" i="21"/>
  <c r="CP125" i="21"/>
  <c r="CO125" i="21"/>
  <c r="AK116" i="21"/>
  <c r="AK124" i="21"/>
  <c r="AK125" i="21"/>
  <c r="W27" i="5"/>
  <c r="H28" i="10"/>
  <c r="I28" i="10" s="1"/>
  <c r="AG122" i="21"/>
  <c r="AH110" i="21"/>
  <c r="AL110" i="21"/>
  <c r="AX110" i="21"/>
  <c r="AX116" i="21" s="1"/>
  <c r="AT110" i="21"/>
  <c r="AT116" i="21" s="1"/>
  <c r="CP116" i="21"/>
  <c r="CO116" i="21"/>
  <c r="AC122" i="21"/>
  <c r="AP110" i="21"/>
  <c r="AP116" i="21" s="1"/>
  <c r="AX39" i="47" l="1"/>
  <c r="AX38" i="47"/>
  <c r="BD39" i="47"/>
  <c r="BD38" i="47"/>
  <c r="BP39" i="47"/>
  <c r="BP38" i="47"/>
  <c r="AZ39" i="47"/>
  <c r="AZ38" i="47"/>
  <c r="BI39" i="47"/>
  <c r="BI38" i="47"/>
  <c r="AT39" i="47"/>
  <c r="AT38" i="47"/>
  <c r="AW39" i="47"/>
  <c r="AW38" i="47"/>
  <c r="AP39" i="47"/>
  <c r="AP38" i="47"/>
  <c r="CI39" i="47"/>
  <c r="CI38" i="47"/>
  <c r="CL39" i="47"/>
  <c r="CL38" i="47"/>
  <c r="CF39" i="47"/>
  <c r="CF38" i="47"/>
  <c r="BO87" i="47"/>
  <c r="BO86" i="47"/>
  <c r="CI87" i="47"/>
  <c r="CI86" i="47"/>
  <c r="BM87" i="47"/>
  <c r="BM86" i="47"/>
  <c r="F87" i="47"/>
  <c r="F86" i="47"/>
  <c r="CK87" i="47"/>
  <c r="CK86" i="47"/>
  <c r="BZ87" i="47"/>
  <c r="BZ86" i="47"/>
  <c r="BE87" i="47"/>
  <c r="BE86" i="47"/>
  <c r="CE71" i="47"/>
  <c r="CE70" i="47"/>
  <c r="BR71" i="47"/>
  <c r="BR70" i="47"/>
  <c r="F71" i="47"/>
  <c r="F70" i="47"/>
  <c r="BL71" i="47"/>
  <c r="BL70" i="47"/>
  <c r="AY71" i="47"/>
  <c r="AY70" i="47"/>
  <c r="CG71" i="47"/>
  <c r="CG70" i="47"/>
  <c r="CF71" i="47"/>
  <c r="CF70" i="47"/>
  <c r="BA55" i="47"/>
  <c r="BA54" i="47"/>
  <c r="AT55" i="47"/>
  <c r="AT54" i="47"/>
  <c r="CL55" i="47"/>
  <c r="CL54" i="47"/>
  <c r="BY55" i="47"/>
  <c r="BY54" i="47"/>
  <c r="BU55" i="47"/>
  <c r="BU54" i="47"/>
  <c r="CF55" i="47"/>
  <c r="CF54" i="47"/>
  <c r="BX55" i="47"/>
  <c r="BX54" i="47"/>
  <c r="CG39" i="47"/>
  <c r="CG38" i="47"/>
  <c r="BZ39" i="47"/>
  <c r="BZ38" i="47"/>
  <c r="AU87" i="47"/>
  <c r="AU86" i="47"/>
  <c r="AW87" i="47"/>
  <c r="AW86" i="47"/>
  <c r="AV87" i="47"/>
  <c r="AV86" i="47"/>
  <c r="BF87" i="47"/>
  <c r="BF86" i="47"/>
  <c r="AS71" i="47"/>
  <c r="AS70" i="47"/>
  <c r="CL71" i="47"/>
  <c r="CL70" i="47"/>
  <c r="BF71" i="47"/>
  <c r="BF70" i="47"/>
  <c r="BV71" i="47"/>
  <c r="BV70" i="47"/>
  <c r="BW71" i="47"/>
  <c r="BW70" i="47"/>
  <c r="CI71" i="47"/>
  <c r="CI70" i="47"/>
  <c r="BO55" i="47"/>
  <c r="BO54" i="47"/>
  <c r="CE55" i="47"/>
  <c r="CE54" i="47"/>
  <c r="AO55" i="47"/>
  <c r="AO54" i="47"/>
  <c r="CB55" i="47"/>
  <c r="CB54" i="47"/>
  <c r="F55" i="47"/>
  <c r="F54" i="47"/>
  <c r="AW55" i="47"/>
  <c r="AW54" i="47"/>
  <c r="AS39" i="47"/>
  <c r="AS38" i="47"/>
  <c r="BJ39" i="47"/>
  <c r="BJ38" i="47"/>
  <c r="BB39" i="47"/>
  <c r="BB38" i="47"/>
  <c r="BW39" i="47"/>
  <c r="BW38" i="47"/>
  <c r="CK39" i="47"/>
  <c r="CK38" i="47"/>
  <c r="AU39" i="47"/>
  <c r="AU38" i="47"/>
  <c r="AQ39" i="47"/>
  <c r="AQ38" i="47"/>
  <c r="BD87" i="47"/>
  <c r="BD86" i="47"/>
  <c r="AX87" i="47"/>
  <c r="AX86" i="47"/>
  <c r="BH87" i="47"/>
  <c r="BH86" i="47"/>
  <c r="CB87" i="47"/>
  <c r="CB86" i="47"/>
  <c r="AS87" i="47"/>
  <c r="AS86" i="47"/>
  <c r="BU87" i="47"/>
  <c r="BU86" i="47"/>
  <c r="CF87" i="47"/>
  <c r="CF86" i="47"/>
  <c r="AZ87" i="47"/>
  <c r="AZ86" i="47"/>
  <c r="AQ71" i="47"/>
  <c r="AQ70" i="47"/>
  <c r="AP71" i="47"/>
  <c r="AP70" i="47"/>
  <c r="BM71" i="47"/>
  <c r="BM70" i="47"/>
  <c r="AT71" i="47"/>
  <c r="AT70" i="47"/>
  <c r="AV71" i="47"/>
  <c r="AV70" i="47"/>
  <c r="BC71" i="47"/>
  <c r="BC70" i="47"/>
  <c r="BN71" i="47"/>
  <c r="BN70" i="47"/>
  <c r="CH71" i="47"/>
  <c r="CH70" i="47"/>
  <c r="CD55" i="47"/>
  <c r="CD54" i="47"/>
  <c r="BV55" i="47"/>
  <c r="BV54" i="47"/>
  <c r="BR55" i="47"/>
  <c r="BR54" i="47"/>
  <c r="CA55" i="47"/>
  <c r="CA54" i="47"/>
  <c r="AX55" i="47"/>
  <c r="AX54" i="47"/>
  <c r="CB39" i="47"/>
  <c r="CB38" i="47"/>
  <c r="BE39" i="47"/>
  <c r="BE38" i="47"/>
  <c r="BM39" i="47"/>
  <c r="BM38" i="47"/>
  <c r="CE39" i="47"/>
  <c r="CE38" i="47"/>
  <c r="BK39" i="47"/>
  <c r="BK38" i="47"/>
  <c r="BH39" i="47"/>
  <c r="BH38" i="47"/>
  <c r="AQ87" i="47"/>
  <c r="AQ86" i="47"/>
  <c r="BG87" i="47"/>
  <c r="BG86" i="47"/>
  <c r="BQ87" i="47"/>
  <c r="BQ86" i="47"/>
  <c r="BI87" i="47"/>
  <c r="BI86" i="47"/>
  <c r="BK87" i="47"/>
  <c r="BK86" i="47"/>
  <c r="BB71" i="47"/>
  <c r="BB70" i="47"/>
  <c r="BU71" i="47"/>
  <c r="BU70" i="47"/>
  <c r="BJ71" i="47"/>
  <c r="BJ70" i="47"/>
  <c r="BD71" i="47"/>
  <c r="BD70" i="47"/>
  <c r="BX71" i="47"/>
  <c r="BX70" i="47"/>
  <c r="BI71" i="47"/>
  <c r="BI70" i="47"/>
  <c r="CK71" i="47"/>
  <c r="CK70" i="47"/>
  <c r="BH55" i="47"/>
  <c r="BH54" i="47"/>
  <c r="BG55" i="47"/>
  <c r="BG54" i="47"/>
  <c r="AP55" i="47"/>
  <c r="AP54" i="47"/>
  <c r="BF55" i="47"/>
  <c r="BF54" i="47"/>
  <c r="BN39" i="47"/>
  <c r="BN38" i="47"/>
  <c r="AR39" i="47"/>
  <c r="AR38" i="47"/>
  <c r="BL39" i="47"/>
  <c r="BL38" i="47"/>
  <c r="CD39" i="47"/>
  <c r="CD38" i="47"/>
  <c r="G39" i="47"/>
  <c r="G38" i="47"/>
  <c r="CJ39" i="47"/>
  <c r="CJ38" i="47"/>
  <c r="BX39" i="47"/>
  <c r="BX38" i="47"/>
  <c r="AP87" i="47"/>
  <c r="AP86" i="47"/>
  <c r="AY87" i="47"/>
  <c r="AY86" i="47"/>
  <c r="BP87" i="47"/>
  <c r="BP86" i="47"/>
  <c r="BA87" i="47"/>
  <c r="BA86" i="47"/>
  <c r="CH87" i="47"/>
  <c r="CH86" i="47"/>
  <c r="BT87" i="47"/>
  <c r="BT86" i="47"/>
  <c r="AT87" i="47"/>
  <c r="AT86" i="47"/>
  <c r="BJ87" i="47"/>
  <c r="BJ86" i="47"/>
  <c r="BS71" i="47"/>
  <c r="BS70" i="47"/>
  <c r="BK71" i="47"/>
  <c r="BK70" i="47"/>
  <c r="AX71" i="47"/>
  <c r="AX70" i="47"/>
  <c r="BQ71" i="47"/>
  <c r="BQ70" i="47"/>
  <c r="BT71" i="47"/>
  <c r="BT70" i="47"/>
  <c r="CC71" i="47"/>
  <c r="CC70" i="47"/>
  <c r="BQ55" i="47"/>
  <c r="BQ54" i="47"/>
  <c r="BE55" i="47"/>
  <c r="BE54" i="47"/>
  <c r="AZ55" i="47"/>
  <c r="AZ54" i="47"/>
  <c r="BI55" i="47"/>
  <c r="BI54" i="47"/>
  <c r="CH55" i="47"/>
  <c r="CH54" i="47"/>
  <c r="G55" i="47"/>
  <c r="G54" i="47"/>
  <c r="BF39" i="47"/>
  <c r="BF38" i="47"/>
  <c r="CA39" i="47"/>
  <c r="CA38" i="47"/>
  <c r="AY39" i="47"/>
  <c r="AY38" i="47"/>
  <c r="BT39" i="47"/>
  <c r="BT38" i="47"/>
  <c r="CC39" i="47"/>
  <c r="CC38" i="47"/>
  <c r="BY39" i="47"/>
  <c r="BY38" i="47"/>
  <c r="BC39" i="47"/>
  <c r="BC38" i="47"/>
  <c r="BW87" i="47"/>
  <c r="BW86" i="47"/>
  <c r="BB87" i="47"/>
  <c r="BB86" i="47"/>
  <c r="CD87" i="47"/>
  <c r="CD86" i="47"/>
  <c r="CJ87" i="47"/>
  <c r="CJ86" i="47"/>
  <c r="CC87" i="47"/>
  <c r="CC86" i="47"/>
  <c r="BX87" i="47"/>
  <c r="BX86" i="47"/>
  <c r="CG87" i="47"/>
  <c r="CG86" i="47"/>
  <c r="BY71" i="47"/>
  <c r="BY70" i="47"/>
  <c r="BP71" i="47"/>
  <c r="BP70" i="47"/>
  <c r="CA71" i="47"/>
  <c r="CA70" i="47"/>
  <c r="AZ71" i="47"/>
  <c r="AZ70" i="47"/>
  <c r="BG71" i="47"/>
  <c r="BG70" i="47"/>
  <c r="G71" i="47"/>
  <c r="G70" i="47"/>
  <c r="BA71" i="47"/>
  <c r="BA70" i="47"/>
  <c r="BK55" i="47"/>
  <c r="BK54" i="47"/>
  <c r="BZ55" i="47"/>
  <c r="BZ54" i="47"/>
  <c r="AR55" i="47"/>
  <c r="AR54" i="47"/>
  <c r="BT55" i="47"/>
  <c r="BT54" i="47"/>
  <c r="AS55" i="47"/>
  <c r="AS54" i="47"/>
  <c r="BN55" i="47"/>
  <c r="BN54" i="47"/>
  <c r="CJ55" i="47"/>
  <c r="CJ54" i="47"/>
  <c r="BA39" i="47"/>
  <c r="BA38" i="47"/>
  <c r="BO39" i="47"/>
  <c r="BO38" i="47"/>
  <c r="BS39" i="47"/>
  <c r="BS38" i="47"/>
  <c r="BV39" i="47"/>
  <c r="BV38" i="47"/>
  <c r="AO39" i="47"/>
  <c r="AO38" i="47"/>
  <c r="AV39" i="47"/>
  <c r="AV38" i="47"/>
  <c r="BL87" i="47"/>
  <c r="BL86" i="47"/>
  <c r="BN87" i="47"/>
  <c r="BN86" i="47"/>
  <c r="CE87" i="47"/>
  <c r="CE86" i="47"/>
  <c r="AO87" i="47"/>
  <c r="AO86" i="47"/>
  <c r="CA87" i="47"/>
  <c r="CA86" i="47"/>
  <c r="AR87" i="47"/>
  <c r="AR86" i="47"/>
  <c r="CL87" i="47"/>
  <c r="CL86" i="47"/>
  <c r="AR71" i="47"/>
  <c r="AR70" i="47"/>
  <c r="AO71" i="47"/>
  <c r="AO70" i="47"/>
  <c r="BH71" i="47"/>
  <c r="BH70" i="47"/>
  <c r="BO71" i="47"/>
  <c r="BO70" i="47"/>
  <c r="BZ71" i="47"/>
  <c r="BZ70" i="47"/>
  <c r="AY55" i="47"/>
  <c r="AY54" i="47"/>
  <c r="CI55" i="47"/>
  <c r="CI54" i="47"/>
  <c r="AQ55" i="47"/>
  <c r="AQ54" i="47"/>
  <c r="BC55" i="47"/>
  <c r="BC54" i="47"/>
  <c r="BB55" i="47"/>
  <c r="BB54" i="47"/>
  <c r="BS55" i="47"/>
  <c r="BS54" i="47"/>
  <c r="CK55" i="47"/>
  <c r="CK54" i="47"/>
  <c r="BD55" i="47"/>
  <c r="BD54" i="47"/>
  <c r="BU39" i="47"/>
  <c r="BU38" i="47"/>
  <c r="BQ39" i="47"/>
  <c r="BQ38" i="47"/>
  <c r="CH39" i="47"/>
  <c r="CH38" i="47"/>
  <c r="F39" i="47"/>
  <c r="F38" i="47"/>
  <c r="BR39" i="47"/>
  <c r="BR38" i="47"/>
  <c r="BG39" i="47"/>
  <c r="BG38" i="47"/>
  <c r="G87" i="47"/>
  <c r="G86" i="47"/>
  <c r="BV87" i="47"/>
  <c r="BV86" i="47"/>
  <c r="BS87" i="47"/>
  <c r="BS86" i="47"/>
  <c r="BY87" i="47"/>
  <c r="BY86" i="47"/>
  <c r="BR87" i="47"/>
  <c r="BR86" i="47"/>
  <c r="BC87" i="47"/>
  <c r="BC86" i="47"/>
  <c r="CJ71" i="47"/>
  <c r="CJ70" i="47"/>
  <c r="CB71" i="47"/>
  <c r="CB70" i="47"/>
  <c r="AW71" i="47"/>
  <c r="AW70" i="47"/>
  <c r="AU71" i="47"/>
  <c r="AU70" i="47"/>
  <c r="BE71" i="47"/>
  <c r="BE70" i="47"/>
  <c r="CD71" i="47"/>
  <c r="CD70" i="47"/>
  <c r="BJ55" i="47"/>
  <c r="BJ54" i="47"/>
  <c r="CC55" i="47"/>
  <c r="CC54" i="47"/>
  <c r="BP55" i="47"/>
  <c r="BP54" i="47"/>
  <c r="AU55" i="47"/>
  <c r="AU54" i="47"/>
  <c r="AV55" i="47"/>
  <c r="AV54" i="47"/>
  <c r="CG55" i="47"/>
  <c r="CG54" i="47"/>
  <c r="BL55" i="47"/>
  <c r="BL54" i="47"/>
  <c r="BW55" i="47"/>
  <c r="BW54" i="47"/>
  <c r="BM55" i="47"/>
  <c r="BM54" i="47"/>
  <c r="BO147" i="47"/>
  <c r="BN148" i="47"/>
  <c r="CJ144" i="47"/>
  <c r="CK143" i="47"/>
  <c r="BQ144" i="21"/>
  <c r="BR143" i="21"/>
  <c r="CN162" i="47"/>
  <c r="CO162" i="47"/>
  <c r="R87" i="47"/>
  <c r="R86" i="47"/>
  <c r="R71" i="47"/>
  <c r="R70" i="47"/>
  <c r="R55" i="47"/>
  <c r="R54" i="47"/>
  <c r="R39" i="47"/>
  <c r="R38" i="47"/>
  <c r="Z87" i="47"/>
  <c r="Z86" i="47"/>
  <c r="Z39" i="47"/>
  <c r="Z38" i="47"/>
  <c r="Z71" i="47"/>
  <c r="Z70" i="47"/>
  <c r="Z55" i="47"/>
  <c r="Z54" i="47"/>
  <c r="AD71" i="47"/>
  <c r="AD70" i="47"/>
  <c r="AD39" i="47"/>
  <c r="AD38" i="47"/>
  <c r="AD87" i="47"/>
  <c r="AD86" i="47"/>
  <c r="AD55" i="47"/>
  <c r="AD54" i="47"/>
  <c r="M55" i="47"/>
  <c r="M54" i="47"/>
  <c r="M39" i="47"/>
  <c r="M38" i="47"/>
  <c r="M71" i="47"/>
  <c r="M70" i="47"/>
  <c r="M87" i="47"/>
  <c r="M86" i="47"/>
  <c r="V71" i="47"/>
  <c r="V70" i="47"/>
  <c r="V87" i="47"/>
  <c r="V86" i="47"/>
  <c r="V55" i="47"/>
  <c r="V54" i="47"/>
  <c r="V39" i="47"/>
  <c r="V38" i="47"/>
  <c r="O87" i="47"/>
  <c r="O89" i="47"/>
  <c r="W55" i="47"/>
  <c r="W54" i="47"/>
  <c r="CN52" i="47"/>
  <c r="Y53" i="47"/>
  <c r="Y54" i="47" s="1"/>
  <c r="CP52" i="47"/>
  <c r="CO52" i="47"/>
  <c r="AN53" i="47"/>
  <c r="O39" i="47"/>
  <c r="O41" i="47"/>
  <c r="CN36" i="47"/>
  <c r="Y37" i="47"/>
  <c r="Y38" i="47" s="1"/>
  <c r="CN84" i="47"/>
  <c r="Y85" i="47"/>
  <c r="Y86" i="47" s="1"/>
  <c r="I71" i="47"/>
  <c r="I70" i="47"/>
  <c r="I73" i="47"/>
  <c r="J73" i="47" s="1"/>
  <c r="K73" i="47" s="1"/>
  <c r="L73" i="47" s="1"/>
  <c r="M73" i="47" s="1"/>
  <c r="N73" i="47" s="1"/>
  <c r="O71" i="47"/>
  <c r="O73" i="47"/>
  <c r="BS140" i="47"/>
  <c r="BT139" i="47"/>
  <c r="W39" i="47"/>
  <c r="W38" i="47"/>
  <c r="CP161" i="47"/>
  <c r="CO161" i="47"/>
  <c r="AN163" i="47"/>
  <c r="I87" i="47"/>
  <c r="I89" i="47"/>
  <c r="J89" i="47" s="1"/>
  <c r="K89" i="47" s="1"/>
  <c r="L89" i="47" s="1"/>
  <c r="M89" i="47" s="1"/>
  <c r="N89" i="47" s="1"/>
  <c r="I86" i="47"/>
  <c r="CP84" i="47"/>
  <c r="CO84" i="47"/>
  <c r="AN85" i="47"/>
  <c r="CH134" i="47"/>
  <c r="CH135" i="47" s="1"/>
  <c r="CH136" i="47" s="1"/>
  <c r="CI133" i="47"/>
  <c r="I39" i="47"/>
  <c r="I38" i="47"/>
  <c r="I41" i="47"/>
  <c r="J41" i="47" s="1"/>
  <c r="K41" i="47" s="1"/>
  <c r="L41" i="47" s="1"/>
  <c r="M41" i="47" s="1"/>
  <c r="N41" i="47" s="1"/>
  <c r="CN68" i="47"/>
  <c r="Y69" i="47"/>
  <c r="Y70" i="47" s="1"/>
  <c r="O55" i="47"/>
  <c r="O57" i="47"/>
  <c r="CP36" i="47"/>
  <c r="CO36" i="47"/>
  <c r="AN37" i="47"/>
  <c r="W87" i="47"/>
  <c r="W86" i="47"/>
  <c r="Y163" i="47"/>
  <c r="CN163" i="47" s="1"/>
  <c r="CN161" i="47"/>
  <c r="CP68" i="47"/>
  <c r="CO68" i="47"/>
  <c r="AN69" i="47"/>
  <c r="I55" i="47"/>
  <c r="I54" i="47"/>
  <c r="I57" i="47"/>
  <c r="J57" i="47" s="1"/>
  <c r="K57" i="47" s="1"/>
  <c r="L57" i="47" s="1"/>
  <c r="M57" i="47" s="1"/>
  <c r="N57" i="47" s="1"/>
  <c r="N20" i="47"/>
  <c r="N21" i="47" s="1"/>
  <c r="N23" i="47" s="1"/>
  <c r="BF20" i="47"/>
  <c r="BF21" i="47" s="1"/>
  <c r="BN20" i="47"/>
  <c r="BN21" i="47" s="1"/>
  <c r="CK20" i="47"/>
  <c r="CK21" i="47" s="1"/>
  <c r="AP20" i="47"/>
  <c r="AP21" i="47" s="1"/>
  <c r="W20" i="47"/>
  <c r="W21" i="47" s="1"/>
  <c r="U20" i="47"/>
  <c r="U21" i="47" s="1"/>
  <c r="U23" i="47" s="1"/>
  <c r="BM20" i="47"/>
  <c r="BM21" i="47" s="1"/>
  <c r="AN20" i="47"/>
  <c r="AF20" i="47"/>
  <c r="AF21" i="47" s="1"/>
  <c r="AF23" i="47" s="1"/>
  <c r="AF91" i="47" s="1"/>
  <c r="AM20" i="47"/>
  <c r="AM21" i="47" s="1"/>
  <c r="AM23" i="47" s="1"/>
  <c r="AM91" i="47" s="1"/>
  <c r="CF20" i="47"/>
  <c r="CF21" i="47" s="1"/>
  <c r="T20" i="47"/>
  <c r="T21" i="47" s="1"/>
  <c r="T23" i="47" s="1"/>
  <c r="T91" i="47" s="1"/>
  <c r="AB20" i="47"/>
  <c r="AB21" i="47" s="1"/>
  <c r="AB23" i="47" s="1"/>
  <c r="AB91" i="47" s="1"/>
  <c r="CH20" i="47"/>
  <c r="CH21" i="47" s="1"/>
  <c r="BW20" i="47"/>
  <c r="BW21" i="47" s="1"/>
  <c r="CE20" i="47"/>
  <c r="CE21" i="47" s="1"/>
  <c r="O20" i="47"/>
  <c r="O21" i="47" s="1"/>
  <c r="BG20" i="47"/>
  <c r="BG21" i="47" s="1"/>
  <c r="BT20" i="47"/>
  <c r="BT21" i="47" s="1"/>
  <c r="AZ20" i="47"/>
  <c r="AZ21" i="47" s="1"/>
  <c r="G20" i="47"/>
  <c r="G21" i="47" s="1"/>
  <c r="R20" i="47"/>
  <c r="R21" i="47" s="1"/>
  <c r="BH20" i="47"/>
  <c r="BH21" i="47" s="1"/>
  <c r="S20" i="47"/>
  <c r="S21" i="47" s="1"/>
  <c r="S23" i="47" s="1"/>
  <c r="BJ20" i="47"/>
  <c r="BJ21" i="47" s="1"/>
  <c r="AQ20" i="47"/>
  <c r="AQ21" i="47" s="1"/>
  <c r="AY20" i="47"/>
  <c r="AY21" i="47" s="1"/>
  <c r="BD20" i="47"/>
  <c r="BD21" i="47" s="1"/>
  <c r="BA20" i="47"/>
  <c r="BA21" i="47" s="1"/>
  <c r="BK20" i="47"/>
  <c r="BK21" i="47" s="1"/>
  <c r="AH20" i="47"/>
  <c r="AH21" i="47" s="1"/>
  <c r="AH23" i="47" s="1"/>
  <c r="AH91" i="47" s="1"/>
  <c r="AC20" i="47"/>
  <c r="AC21" i="47" s="1"/>
  <c r="AC23" i="47" s="1"/>
  <c r="AC91" i="47" s="1"/>
  <c r="AK20" i="47"/>
  <c r="AK21" i="47" s="1"/>
  <c r="AK23" i="47" s="1"/>
  <c r="AK91" i="47" s="1"/>
  <c r="BV20" i="47"/>
  <c r="BV21" i="47" s="1"/>
  <c r="P20" i="47"/>
  <c r="P21" i="47" s="1"/>
  <c r="P23" i="47" s="1"/>
  <c r="P91" i="47" s="1"/>
  <c r="AT20" i="47"/>
  <c r="AT21" i="47" s="1"/>
  <c r="BC20" i="47"/>
  <c r="BC21" i="47" s="1"/>
  <c r="Q20" i="47"/>
  <c r="Q21" i="47" s="1"/>
  <c r="Q23" i="47" s="1"/>
  <c r="BS20" i="47"/>
  <c r="BS21" i="47" s="1"/>
  <c r="BB20" i="47"/>
  <c r="BB21" i="47" s="1"/>
  <c r="AO20" i="47"/>
  <c r="AO21" i="47" s="1"/>
  <c r="V20" i="47"/>
  <c r="V21" i="47" s="1"/>
  <c r="CB20" i="47"/>
  <c r="CB21" i="47" s="1"/>
  <c r="AX20" i="47"/>
  <c r="AX21" i="47" s="1"/>
  <c r="AW20" i="47"/>
  <c r="AW21" i="47" s="1"/>
  <c r="Y20" i="47"/>
  <c r="Z20" i="47"/>
  <c r="Z21" i="47" s="1"/>
  <c r="AS20" i="47"/>
  <c r="AS21" i="47" s="1"/>
  <c r="CJ20" i="47"/>
  <c r="CJ21" i="47" s="1"/>
  <c r="M20" i="47"/>
  <c r="M21" i="47" s="1"/>
  <c r="AV20" i="47"/>
  <c r="AV21" i="47" s="1"/>
  <c r="BI20" i="47"/>
  <c r="BI21" i="47" s="1"/>
  <c r="CC20" i="47"/>
  <c r="CC21" i="47" s="1"/>
  <c r="AJ20" i="47"/>
  <c r="AJ21" i="47" s="1"/>
  <c r="AJ23" i="47" s="1"/>
  <c r="AJ91" i="47" s="1"/>
  <c r="E20" i="47"/>
  <c r="E21" i="47" s="1"/>
  <c r="E23" i="47" s="1"/>
  <c r="E91" i="47" s="1"/>
  <c r="AL20" i="47"/>
  <c r="AL21" i="47" s="1"/>
  <c r="AL23" i="47" s="1"/>
  <c r="AL91" i="47" s="1"/>
  <c r="BQ20" i="47"/>
  <c r="BQ21" i="47" s="1"/>
  <c r="F20" i="47"/>
  <c r="F21" i="47" s="1"/>
  <c r="X20" i="47"/>
  <c r="X21" i="47" s="1"/>
  <c r="X23" i="47" s="1"/>
  <c r="X91" i="47" s="1"/>
  <c r="CG20" i="47"/>
  <c r="CG21" i="47" s="1"/>
  <c r="BX20" i="47"/>
  <c r="BX21" i="47" s="1"/>
  <c r="BE20" i="47"/>
  <c r="BE21" i="47" s="1"/>
  <c r="BO20" i="47"/>
  <c r="BO21" i="47" s="1"/>
  <c r="AD20" i="47"/>
  <c r="AD21" i="47" s="1"/>
  <c r="CA20" i="47"/>
  <c r="CA21" i="47" s="1"/>
  <c r="AR20" i="47"/>
  <c r="AR21" i="47" s="1"/>
  <c r="BZ20" i="47"/>
  <c r="BZ21" i="47" s="1"/>
  <c r="AA20" i="47"/>
  <c r="AA21" i="47" s="1"/>
  <c r="AA23" i="47" s="1"/>
  <c r="AA91" i="47" s="1"/>
  <c r="CD20" i="47"/>
  <c r="CD21" i="47" s="1"/>
  <c r="BR20" i="47"/>
  <c r="BR21" i="47" s="1"/>
  <c r="L20" i="47"/>
  <c r="AI20" i="47"/>
  <c r="AI21" i="47" s="1"/>
  <c r="AI23" i="47" s="1"/>
  <c r="AI91" i="47" s="1"/>
  <c r="BU20" i="47"/>
  <c r="BU21" i="47" s="1"/>
  <c r="AE20" i="47"/>
  <c r="AE21" i="47" s="1"/>
  <c r="AE23" i="47" s="1"/>
  <c r="AE91" i="47" s="1"/>
  <c r="J20" i="47"/>
  <c r="BL20" i="47"/>
  <c r="BL21" i="47" s="1"/>
  <c r="H20" i="47"/>
  <c r="H21" i="47" s="1"/>
  <c r="H23" i="47" s="1"/>
  <c r="H91" i="47" s="1"/>
  <c r="BP20" i="47"/>
  <c r="BP21" i="47" s="1"/>
  <c r="I20" i="47"/>
  <c r="I21" i="47" s="1"/>
  <c r="CL20" i="47"/>
  <c r="CL21" i="47" s="1"/>
  <c r="CI20" i="47"/>
  <c r="CI21" i="47" s="1"/>
  <c r="K20" i="47"/>
  <c r="AG20" i="47"/>
  <c r="AG21" i="47" s="1"/>
  <c r="AG23" i="47" s="1"/>
  <c r="AG91" i="47" s="1"/>
  <c r="AU20" i="47"/>
  <c r="AU21" i="47" s="1"/>
  <c r="BY20" i="47"/>
  <c r="BY21" i="47" s="1"/>
  <c r="W71" i="47"/>
  <c r="W70" i="47"/>
  <c r="AL116" i="21"/>
  <c r="AL125" i="21"/>
  <c r="AL124" i="21"/>
  <c r="AH116" i="21"/>
  <c r="AH124" i="21"/>
  <c r="AH125" i="21"/>
  <c r="AQ110" i="21"/>
  <c r="AQ116" i="21" s="1"/>
  <c r="AU110" i="21"/>
  <c r="AU116" i="21" s="1"/>
  <c r="BC110" i="21"/>
  <c r="BC116" i="21" s="1"/>
  <c r="AY110" i="21"/>
  <c r="AY116" i="21" s="1"/>
  <c r="E117" i="21"/>
  <c r="AL122" i="21"/>
  <c r="AM110" i="21"/>
  <c r="AH122" i="21"/>
  <c r="E25" i="21"/>
  <c r="E24" i="21"/>
  <c r="E41" i="21"/>
  <c r="E40" i="21"/>
  <c r="E57" i="21"/>
  <c r="E56" i="21"/>
  <c r="E73" i="21"/>
  <c r="E72" i="21"/>
  <c r="E89" i="21"/>
  <c r="E88" i="21"/>
  <c r="E33" i="21"/>
  <c r="E17" i="21"/>
  <c r="E81" i="21"/>
  <c r="E65" i="21"/>
  <c r="E91" i="21" l="1"/>
  <c r="E93" i="47"/>
  <c r="H91" i="21"/>
  <c r="H93" i="47"/>
  <c r="BP23" i="47"/>
  <c r="BP91" i="47" s="1"/>
  <c r="BP93" i="47" s="1"/>
  <c r="BP22" i="47"/>
  <c r="BR23" i="47"/>
  <c r="BR91" i="47" s="1"/>
  <c r="BR93" i="47" s="1"/>
  <c r="BR22" i="47"/>
  <c r="BE23" i="47"/>
  <c r="BE91" i="47" s="1"/>
  <c r="BE93" i="47" s="1"/>
  <c r="BE22" i="47"/>
  <c r="BK23" i="47"/>
  <c r="BK91" i="47" s="1"/>
  <c r="BK93" i="47" s="1"/>
  <c r="BK22" i="47"/>
  <c r="CH23" i="47"/>
  <c r="CH91" i="47" s="1"/>
  <c r="CH93" i="47" s="1"/>
  <c r="CH22" i="47"/>
  <c r="CD23" i="47"/>
  <c r="CD91" i="47" s="1"/>
  <c r="CD93" i="47" s="1"/>
  <c r="CD22" i="47"/>
  <c r="BX23" i="47"/>
  <c r="BX91" i="47" s="1"/>
  <c r="BX93" i="47" s="1"/>
  <c r="BX22" i="47"/>
  <c r="CC23" i="47"/>
  <c r="CC91" i="47" s="1"/>
  <c r="CC93" i="47" s="1"/>
  <c r="CC22" i="47"/>
  <c r="AW23" i="47"/>
  <c r="AW91" i="47" s="1"/>
  <c r="AW93" i="47" s="1"/>
  <c r="AW22" i="47"/>
  <c r="BC23" i="47"/>
  <c r="BC91" i="47" s="1"/>
  <c r="BC93" i="47" s="1"/>
  <c r="BC22" i="47"/>
  <c r="BA23" i="47"/>
  <c r="BA91" i="47" s="1"/>
  <c r="BA93" i="47" s="1"/>
  <c r="BA22" i="47"/>
  <c r="G23" i="47"/>
  <c r="G22" i="47"/>
  <c r="AU23" i="47"/>
  <c r="AU91" i="47" s="1"/>
  <c r="AU93" i="47" s="1"/>
  <c r="AU22" i="47"/>
  <c r="BL23" i="47"/>
  <c r="BL91" i="47" s="1"/>
  <c r="BL93" i="47" s="1"/>
  <c r="BL22" i="47"/>
  <c r="CG23" i="47"/>
  <c r="CG91" i="47" s="1"/>
  <c r="CG93" i="47" s="1"/>
  <c r="CG22" i="47"/>
  <c r="BI23" i="47"/>
  <c r="BI91" i="47" s="1"/>
  <c r="BI93" i="47" s="1"/>
  <c r="BI22" i="47"/>
  <c r="AX23" i="47"/>
  <c r="AX91" i="47" s="1"/>
  <c r="AX93" i="47" s="1"/>
  <c r="AX22" i="47"/>
  <c r="AT23" i="47"/>
  <c r="AT91" i="47" s="1"/>
  <c r="AT93" i="47" s="1"/>
  <c r="AT22" i="47"/>
  <c r="BD23" i="47"/>
  <c r="BD91" i="47" s="1"/>
  <c r="BD93" i="47" s="1"/>
  <c r="BD22" i="47"/>
  <c r="AZ23" i="47"/>
  <c r="AZ91" i="47" s="1"/>
  <c r="AZ93" i="47" s="1"/>
  <c r="AZ22" i="47"/>
  <c r="AP23" i="47"/>
  <c r="AP91" i="47" s="1"/>
  <c r="AP93" i="47" s="1"/>
  <c r="AP22" i="47"/>
  <c r="BY23" i="47"/>
  <c r="BY91" i="47" s="1"/>
  <c r="BY93" i="47" s="1"/>
  <c r="BY22" i="47"/>
  <c r="BZ23" i="47"/>
  <c r="BZ91" i="47" s="1"/>
  <c r="BZ93" i="47" s="1"/>
  <c r="BZ22" i="47"/>
  <c r="AV23" i="47"/>
  <c r="AV91" i="47" s="1"/>
  <c r="AV93" i="47" s="1"/>
  <c r="AV22" i="47"/>
  <c r="CB23" i="47"/>
  <c r="CB91" i="47" s="1"/>
  <c r="CB93" i="47" s="1"/>
  <c r="CB22" i="47"/>
  <c r="AY23" i="47"/>
  <c r="AY91" i="47" s="1"/>
  <c r="AY93" i="47" s="1"/>
  <c r="AY22" i="47"/>
  <c r="BT23" i="47"/>
  <c r="BT91" i="47" s="1"/>
  <c r="BT93" i="47" s="1"/>
  <c r="BT22" i="47"/>
  <c r="CF23" i="47"/>
  <c r="CF91" i="47" s="1"/>
  <c r="CF93" i="47" s="1"/>
  <c r="CF22" i="47"/>
  <c r="CK23" i="47"/>
  <c r="CK91" i="47" s="1"/>
  <c r="CK93" i="47" s="1"/>
  <c r="CK22" i="47"/>
  <c r="F91" i="47"/>
  <c r="AR23" i="47"/>
  <c r="AR91" i="47" s="1"/>
  <c r="AR93" i="47" s="1"/>
  <c r="AR22" i="47"/>
  <c r="F23" i="47"/>
  <c r="F22" i="47"/>
  <c r="BV23" i="47"/>
  <c r="BV91" i="47" s="1"/>
  <c r="BV93" i="47" s="1"/>
  <c r="BV22" i="47"/>
  <c r="AQ23" i="47"/>
  <c r="AQ91" i="47" s="1"/>
  <c r="AQ93" i="47" s="1"/>
  <c r="AQ22" i="47"/>
  <c r="BG23" i="47"/>
  <c r="BG91" i="47" s="1"/>
  <c r="BG93" i="47" s="1"/>
  <c r="BG22" i="47"/>
  <c r="BN23" i="47"/>
  <c r="BN91" i="47" s="1"/>
  <c r="BN93" i="47" s="1"/>
  <c r="BN22" i="47"/>
  <c r="CI23" i="47"/>
  <c r="CI91" i="47" s="1"/>
  <c r="CI93" i="47" s="1"/>
  <c r="CI22" i="47"/>
  <c r="BU23" i="47"/>
  <c r="BU91" i="47" s="1"/>
  <c r="BU93" i="47" s="1"/>
  <c r="BU22" i="47"/>
  <c r="CA23" i="47"/>
  <c r="CA91" i="47" s="1"/>
  <c r="CA93" i="47" s="1"/>
  <c r="CA22" i="47"/>
  <c r="BQ23" i="47"/>
  <c r="BQ91" i="47" s="1"/>
  <c r="BQ93" i="47" s="1"/>
  <c r="BQ22" i="47"/>
  <c r="CJ23" i="47"/>
  <c r="CJ91" i="47" s="1"/>
  <c r="CJ93" i="47" s="1"/>
  <c r="CJ22" i="47"/>
  <c r="AO23" i="47"/>
  <c r="AO91" i="47" s="1"/>
  <c r="AO93" i="47" s="1"/>
  <c r="AO22" i="47"/>
  <c r="BJ23" i="47"/>
  <c r="BJ91" i="47" s="1"/>
  <c r="BJ93" i="47" s="1"/>
  <c r="BJ22" i="47"/>
  <c r="BF23" i="47"/>
  <c r="BF91" i="47" s="1"/>
  <c r="BF93" i="47" s="1"/>
  <c r="BF22" i="47"/>
  <c r="CL23" i="47"/>
  <c r="CL91" i="47" s="1"/>
  <c r="CL93" i="47" s="1"/>
  <c r="CL22" i="47"/>
  <c r="AS23" i="47"/>
  <c r="AS91" i="47" s="1"/>
  <c r="AS93" i="47" s="1"/>
  <c r="AS22" i="47"/>
  <c r="BB23" i="47"/>
  <c r="BB91" i="47" s="1"/>
  <c r="BB93" i="47" s="1"/>
  <c r="BB22" i="47"/>
  <c r="CE23" i="47"/>
  <c r="CE91" i="47" s="1"/>
  <c r="CE93" i="47" s="1"/>
  <c r="CE22" i="47"/>
  <c r="BO23" i="47"/>
  <c r="BO91" i="47" s="1"/>
  <c r="BO93" i="47" s="1"/>
  <c r="BO22" i="47"/>
  <c r="BS23" i="47"/>
  <c r="BS91" i="47" s="1"/>
  <c r="BS93" i="47" s="1"/>
  <c r="BS22" i="47"/>
  <c r="BH23" i="47"/>
  <c r="BH91" i="47" s="1"/>
  <c r="BH93" i="47" s="1"/>
  <c r="BH22" i="47"/>
  <c r="BW23" i="47"/>
  <c r="BW91" i="47" s="1"/>
  <c r="BW93" i="47" s="1"/>
  <c r="BW22" i="47"/>
  <c r="BM23" i="47"/>
  <c r="BM91" i="47" s="1"/>
  <c r="BM93" i="47" s="1"/>
  <c r="BM22" i="47"/>
  <c r="G91" i="47"/>
  <c r="BP147" i="47"/>
  <c r="BO148" i="47"/>
  <c r="BS143" i="21"/>
  <c r="BR144" i="21"/>
  <c r="CK144" i="47"/>
  <c r="CL143" i="47"/>
  <c r="CL144" i="47" s="1"/>
  <c r="CN54" i="47"/>
  <c r="CO54" i="47"/>
  <c r="CN38" i="47"/>
  <c r="CO38" i="47"/>
  <c r="CN70" i="47"/>
  <c r="CO70" i="47"/>
  <c r="CN86" i="47"/>
  <c r="CO86" i="47"/>
  <c r="R23" i="47"/>
  <c r="R91" i="47" s="1"/>
  <c r="R95" i="47" s="1"/>
  <c r="R22" i="47"/>
  <c r="Z23" i="47"/>
  <c r="Z91" i="47" s="1"/>
  <c r="Z95" i="47" s="1"/>
  <c r="Z22" i="47"/>
  <c r="AD23" i="47"/>
  <c r="AD91" i="47" s="1"/>
  <c r="AD95" i="47" s="1"/>
  <c r="AD22" i="47"/>
  <c r="P91" i="21"/>
  <c r="S91" i="47"/>
  <c r="S91" i="21" s="1"/>
  <c r="T91" i="21"/>
  <c r="U91" i="47"/>
  <c r="U93" i="47" s="1"/>
  <c r="N91" i="47"/>
  <c r="N91" i="21" s="1"/>
  <c r="Q91" i="47"/>
  <c r="Q93" i="47" s="1"/>
  <c r="T93" i="47"/>
  <c r="P93" i="47"/>
  <c r="M23" i="47"/>
  <c r="M22" i="47"/>
  <c r="V23" i="47"/>
  <c r="V91" i="47" s="1"/>
  <c r="V22" i="47"/>
  <c r="Y71" i="47"/>
  <c r="CN71" i="47" s="1"/>
  <c r="CN69" i="47"/>
  <c r="CP163" i="47"/>
  <c r="CO163" i="47"/>
  <c r="O23" i="47"/>
  <c r="O25" i="47"/>
  <c r="Y39" i="47"/>
  <c r="CN39" i="47" s="1"/>
  <c r="CN37" i="47"/>
  <c r="AN55" i="47"/>
  <c r="CO53" i="47"/>
  <c r="CP53" i="47"/>
  <c r="CP20" i="47"/>
  <c r="CO20" i="47"/>
  <c r="AN21" i="47"/>
  <c r="CP37" i="47"/>
  <c r="CO37" i="47"/>
  <c r="AN39" i="47"/>
  <c r="Y87" i="47"/>
  <c r="CN85" i="47"/>
  <c r="I23" i="47"/>
  <c r="I91" i="47" s="1"/>
  <c r="I91" i="21" s="1"/>
  <c r="I22" i="47"/>
  <c r="I25" i="47"/>
  <c r="J25" i="47" s="1"/>
  <c r="K25" i="47" s="1"/>
  <c r="L25" i="47" s="1"/>
  <c r="M25" i="47" s="1"/>
  <c r="N25" i="47" s="1"/>
  <c r="CN20" i="47"/>
  <c r="Y21" i="47"/>
  <c r="Y22" i="47" s="1"/>
  <c r="CI134" i="47"/>
  <c r="CI135" i="47" s="1"/>
  <c r="CI136" i="47" s="1"/>
  <c r="CJ133" i="47"/>
  <c r="CN53" i="47"/>
  <c r="Y55" i="47"/>
  <c r="CN55" i="47" s="1"/>
  <c r="W23" i="47"/>
  <c r="W91" i="47" s="1"/>
  <c r="W22" i="47"/>
  <c r="AN71" i="47"/>
  <c r="CP69" i="47"/>
  <c r="CO69" i="47"/>
  <c r="CP85" i="47"/>
  <c r="CO85" i="47"/>
  <c r="AN87" i="47"/>
  <c r="BT140" i="47"/>
  <c r="BU139" i="47"/>
  <c r="AM125" i="21"/>
  <c r="AM124" i="21"/>
  <c r="AM116" i="21"/>
  <c r="E118" i="21"/>
  <c r="AZ110" i="21"/>
  <c r="AZ116" i="21" s="1"/>
  <c r="AM122" i="21"/>
  <c r="BH110" i="21"/>
  <c r="BH116" i="21" s="1"/>
  <c r="BD110" i="21"/>
  <c r="BD116" i="21" s="1"/>
  <c r="AV110" i="21"/>
  <c r="AV116" i="21" s="1"/>
  <c r="AR110" i="21"/>
  <c r="Z3" i="3"/>
  <c r="E100" i="21"/>
  <c r="E101" i="21"/>
  <c r="E99" i="21"/>
  <c r="F91" i="21" l="1"/>
  <c r="F93" i="47"/>
  <c r="G91" i="21"/>
  <c r="G93" i="47"/>
  <c r="BQ147" i="47"/>
  <c r="BP148" i="47"/>
  <c r="R93" i="47"/>
  <c r="R94" i="47" s="1"/>
  <c r="BT143" i="21"/>
  <c r="BS144" i="21"/>
  <c r="R91" i="21"/>
  <c r="CN22" i="47"/>
  <c r="CO22" i="47"/>
  <c r="N93" i="47"/>
  <c r="U91" i="21"/>
  <c r="S93" i="47"/>
  <c r="Q91" i="21"/>
  <c r="M91" i="47"/>
  <c r="M91" i="21" s="1"/>
  <c r="O91" i="47"/>
  <c r="O93" i="47" s="1"/>
  <c r="O99" i="47" s="1"/>
  <c r="V93" i="47"/>
  <c r="V94" i="47" s="1"/>
  <c r="V95" i="47"/>
  <c r="O100" i="47"/>
  <c r="BU140" i="47"/>
  <c r="BV139" i="47"/>
  <c r="I100" i="47"/>
  <c r="I93" i="47"/>
  <c r="I99" i="47" s="1"/>
  <c r="CN21" i="47"/>
  <c r="Y23" i="47"/>
  <c r="CN23" i="47" s="1"/>
  <c r="W95" i="47"/>
  <c r="AN23" i="47"/>
  <c r="AN91" i="47" s="1"/>
  <c r="CP21" i="47"/>
  <c r="CO21" i="47"/>
  <c r="CJ134" i="47"/>
  <c r="CJ135" i="47" s="1"/>
  <c r="CJ136" i="47" s="1"/>
  <c r="CK133" i="47"/>
  <c r="CN87" i="47"/>
  <c r="CP87" i="47"/>
  <c r="CO87" i="47"/>
  <c r="CP71" i="47"/>
  <c r="CO71" i="47"/>
  <c r="CP39" i="47"/>
  <c r="CO39" i="47"/>
  <c r="CO55" i="47"/>
  <c r="CP55" i="47"/>
  <c r="E158" i="21"/>
  <c r="Z4" i="3"/>
  <c r="Z5" i="3" s="1"/>
  <c r="Z6" i="3" s="1"/>
  <c r="Z7" i="3" s="1"/>
  <c r="Z8" i="3" s="1"/>
  <c r="Z9" i="3" s="1"/>
  <c r="Z10" i="3" s="1"/>
  <c r="Z11" i="3" s="1"/>
  <c r="Z12" i="3" s="1"/>
  <c r="Z13" i="3" s="1"/>
  <c r="Z14" i="3" s="1"/>
  <c r="Z15" i="3" s="1"/>
  <c r="Z16" i="3" s="1"/>
  <c r="Z17" i="3" s="1"/>
  <c r="Z18" i="3" s="1"/>
  <c r="Z19" i="3" s="1"/>
  <c r="Z20" i="3" s="1"/>
  <c r="Z21" i="3" s="1"/>
  <c r="Z22" i="3" s="1"/>
  <c r="Z23" i="3" s="1"/>
  <c r="Z24" i="3" s="1"/>
  <c r="Z25" i="3" s="1"/>
  <c r="Z26" i="3" s="1"/>
  <c r="Z27" i="3" s="1"/>
  <c r="Z28" i="3" s="1"/>
  <c r="AR116" i="21"/>
  <c r="AW110" i="21"/>
  <c r="BE110" i="21"/>
  <c r="BE116" i="21" s="1"/>
  <c r="BI110" i="21"/>
  <c r="BI116" i="21" s="1"/>
  <c r="BM110" i="21"/>
  <c r="BM116" i="21" s="1"/>
  <c r="BA110" i="21"/>
  <c r="BA116" i="21" s="1"/>
  <c r="BR147" i="47" l="1"/>
  <c r="BQ148" i="47"/>
  <c r="BT144" i="21"/>
  <c r="BU143" i="21"/>
  <c r="J100" i="47"/>
  <c r="K100" i="47" s="1"/>
  <c r="L100" i="47" s="1"/>
  <c r="M100" i="47" s="1"/>
  <c r="N100" i="47" s="1"/>
  <c r="M93" i="47"/>
  <c r="J99" i="47"/>
  <c r="K99" i="47" s="1"/>
  <c r="L99" i="47" s="1"/>
  <c r="M99" i="47" s="1"/>
  <c r="N99" i="47" s="1"/>
  <c r="O91" i="21"/>
  <c r="Y91" i="47"/>
  <c r="Y95" i="47" s="1"/>
  <c r="BW139" i="47"/>
  <c r="BV140" i="47"/>
  <c r="CP23" i="47"/>
  <c r="CO23" i="47"/>
  <c r="CK134" i="47"/>
  <c r="CK135" i="47" s="1"/>
  <c r="CK136" i="47" s="1"/>
  <c r="CL133" i="47"/>
  <c r="CL134" i="47" s="1"/>
  <c r="CL135" i="47" s="1"/>
  <c r="CL136" i="47" s="1"/>
  <c r="AW116" i="21"/>
  <c r="BJ110" i="21"/>
  <c r="BJ116" i="21" s="1"/>
  <c r="BF110" i="21"/>
  <c r="BF116" i="21" s="1"/>
  <c r="BB110" i="21"/>
  <c r="BN110" i="21"/>
  <c r="BN116" i="21" s="1"/>
  <c r="BR110" i="21"/>
  <c r="BR116" i="21" s="1"/>
  <c r="F82" i="10"/>
  <c r="BS147" i="47" l="1"/>
  <c r="BR148" i="47"/>
  <c r="BV143" i="21"/>
  <c r="BU144" i="21"/>
  <c r="BW140" i="47"/>
  <c r="BX139" i="47"/>
  <c r="BB116" i="21"/>
  <c r="BW110" i="21"/>
  <c r="BW116" i="21" s="1"/>
  <c r="BS110" i="21"/>
  <c r="BS116" i="21" s="1"/>
  <c r="BO110" i="21"/>
  <c r="BO116" i="21" s="1"/>
  <c r="BG110" i="21"/>
  <c r="BK110" i="21"/>
  <c r="BK116" i="21" s="1"/>
  <c r="D55" i="5"/>
  <c r="BT147" i="47" l="1"/>
  <c r="BS148" i="47"/>
  <c r="BW143" i="21"/>
  <c r="BV144" i="21"/>
  <c r="BY139" i="47"/>
  <c r="BX140" i="47"/>
  <c r="BG116" i="21"/>
  <c r="BP110" i="21"/>
  <c r="BP116" i="21" s="1"/>
  <c r="BL110" i="21"/>
  <c r="BT110" i="21"/>
  <c r="BT116" i="21" s="1"/>
  <c r="CB110" i="21"/>
  <c r="CB116" i="21" s="1"/>
  <c r="BX110" i="21"/>
  <c r="BX116" i="21" s="1"/>
  <c r="B77" i="21"/>
  <c r="B76" i="21"/>
  <c r="B75" i="21"/>
  <c r="B61" i="21"/>
  <c r="B60" i="21"/>
  <c r="B59" i="21"/>
  <c r="B45" i="21"/>
  <c r="B44" i="21"/>
  <c r="B43" i="21"/>
  <c r="B29" i="21"/>
  <c r="B28" i="21"/>
  <c r="B27" i="21"/>
  <c r="B13" i="21"/>
  <c r="B12" i="21"/>
  <c r="B11" i="21"/>
  <c r="AZ47" i="25"/>
  <c r="AS47" i="25"/>
  <c r="AL48" i="25"/>
  <c r="AB47" i="25"/>
  <c r="Y48" i="25"/>
  <c r="B39" i="25"/>
  <c r="B42" i="25"/>
  <c r="B46" i="25"/>
  <c r="H47" i="25"/>
  <c r="B49" i="25"/>
  <c r="H48" i="25"/>
  <c r="BH47" i="25"/>
  <c r="BB47" i="25"/>
  <c r="BA45" i="25"/>
  <c r="AY47" i="25"/>
  <c r="AV47" i="25"/>
  <c r="AP47" i="25"/>
  <c r="AM47" i="25"/>
  <c r="AJ47" i="25"/>
  <c r="AD47" i="25"/>
  <c r="AA47" i="25"/>
  <c r="X47" i="25"/>
  <c r="R47" i="25"/>
  <c r="Q45" i="25"/>
  <c r="Q38" i="20" s="1"/>
  <c r="O47" i="25"/>
  <c r="L47" i="25"/>
  <c r="BH25" i="25"/>
  <c r="BG25" i="25"/>
  <c r="BF25" i="25"/>
  <c r="BE25" i="25"/>
  <c r="BD25" i="25"/>
  <c r="BC25" i="25"/>
  <c r="BB25" i="25"/>
  <c r="BA25" i="25"/>
  <c r="AZ25" i="25"/>
  <c r="AY25" i="25"/>
  <c r="AX25" i="25"/>
  <c r="AW25" i="25"/>
  <c r="AV25" i="25"/>
  <c r="AU25" i="25"/>
  <c r="AT25" i="25"/>
  <c r="AS25" i="25"/>
  <c r="AR25" i="25"/>
  <c r="AQ25" i="25"/>
  <c r="AP25" i="25"/>
  <c r="AO25" i="25"/>
  <c r="AN25" i="25"/>
  <c r="AM25" i="25"/>
  <c r="AL25" i="25"/>
  <c r="AK25"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BH24" i="25"/>
  <c r="BG24" i="25"/>
  <c r="BF24" i="25"/>
  <c r="BE24" i="25"/>
  <c r="BD24" i="25"/>
  <c r="BC24" i="25"/>
  <c r="BB24" i="25"/>
  <c r="BA24" i="25"/>
  <c r="AZ24" i="25"/>
  <c r="AY24" i="25"/>
  <c r="AX24" i="25"/>
  <c r="AW24" i="25"/>
  <c r="AV24" i="25"/>
  <c r="AU24" i="25"/>
  <c r="AT24" i="25"/>
  <c r="AS24" i="25"/>
  <c r="AR24" i="25"/>
  <c r="AQ24" i="25"/>
  <c r="AP24" i="25"/>
  <c r="AO24" i="25"/>
  <c r="AN24" i="25"/>
  <c r="AM24" i="25"/>
  <c r="AL24" i="25"/>
  <c r="AK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BG14" i="25"/>
  <c r="BF14" i="25"/>
  <c r="BE14" i="25"/>
  <c r="BD14" i="25"/>
  <c r="BC14" i="25"/>
  <c r="BB14" i="25"/>
  <c r="BA14" i="25"/>
  <c r="AZ14" i="25"/>
  <c r="AY14" i="25"/>
  <c r="AX14" i="25"/>
  <c r="AW14" i="25"/>
  <c r="AV14" i="25"/>
  <c r="AU14" i="25"/>
  <c r="AT14" i="25"/>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J14" i="25"/>
  <c r="I14" i="25"/>
  <c r="BG13" i="25"/>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AV12" i="25"/>
  <c r="AX11" i="25"/>
  <c r="BU147" i="47" l="1"/>
  <c r="BT148" i="47"/>
  <c r="BX143" i="21"/>
  <c r="BW144" i="21"/>
  <c r="BY140" i="47"/>
  <c r="BZ139" i="47"/>
  <c r="Q44" i="20"/>
  <c r="BL25" i="25"/>
  <c r="BK25" i="25"/>
  <c r="BJ25" i="25"/>
  <c r="BL24" i="25"/>
  <c r="BK24" i="25"/>
  <c r="BJ24" i="25"/>
  <c r="C42" i="25"/>
  <c r="D42" i="25"/>
  <c r="G42" i="25"/>
  <c r="E42" i="25"/>
  <c r="F42" i="25"/>
  <c r="C39" i="25"/>
  <c r="D39" i="25"/>
  <c r="G39" i="25"/>
  <c r="G53" i="25" s="1"/>
  <c r="F39" i="25"/>
  <c r="F53" i="25" s="1"/>
  <c r="E39" i="25"/>
  <c r="C46" i="25"/>
  <c r="D46" i="25"/>
  <c r="G46" i="25"/>
  <c r="F46" i="25"/>
  <c r="E46" i="25"/>
  <c r="C49" i="25"/>
  <c r="D49" i="25"/>
  <c r="D56" i="25" s="1"/>
  <c r="G49" i="25"/>
  <c r="E49" i="25"/>
  <c r="F49" i="25"/>
  <c r="BM14" i="25"/>
  <c r="BK13" i="25"/>
  <c r="BK14" i="25"/>
  <c r="BJ13" i="25"/>
  <c r="BL13" i="25"/>
  <c r="BJ14" i="25"/>
  <c r="BL14" i="25"/>
  <c r="BM13" i="25"/>
  <c r="H49" i="25"/>
  <c r="M49" i="25"/>
  <c r="BL116" i="21"/>
  <c r="BY110" i="21"/>
  <c r="BY116" i="21" s="1"/>
  <c r="CG110" i="21"/>
  <c r="CG116" i="21" s="1"/>
  <c r="CC110" i="21"/>
  <c r="CC116" i="21" s="1"/>
  <c r="BU110" i="21"/>
  <c r="BU116" i="21" s="1"/>
  <c r="BQ110" i="21"/>
  <c r="H45" i="25"/>
  <c r="AJ12" i="25"/>
  <c r="AQ12" i="25"/>
  <c r="AK49" i="25"/>
  <c r="AR47" i="25"/>
  <c r="AA48" i="25"/>
  <c r="AW48" i="25"/>
  <c r="AL11" i="25"/>
  <c r="AV48" i="25"/>
  <c r="AE12" i="25"/>
  <c r="AM11" i="25"/>
  <c r="AF12" i="25"/>
  <c r="N49" i="25"/>
  <c r="O49" i="25"/>
  <c r="AR12" i="25"/>
  <c r="BC49" i="25"/>
  <c r="V47" i="25"/>
  <c r="BE49" i="25"/>
  <c r="AA45" i="25"/>
  <c r="AA38" i="20" s="1"/>
  <c r="AM45" i="25"/>
  <c r="AM38" i="20" s="1"/>
  <c r="AN46" i="25"/>
  <c r="AN39" i="20" s="1"/>
  <c r="AN45" i="20" s="1"/>
  <c r="AD48" i="25"/>
  <c r="Y47" i="25"/>
  <c r="BA46" i="25"/>
  <c r="AJ49" i="25"/>
  <c r="U47" i="25"/>
  <c r="U48" i="25"/>
  <c r="U49" i="25"/>
  <c r="AK47" i="25"/>
  <c r="AK48" i="25"/>
  <c r="AW45" i="25"/>
  <c r="AW46" i="25"/>
  <c r="V49" i="25"/>
  <c r="V48" i="25"/>
  <c r="Q46" i="25"/>
  <c r="Q39" i="20" s="1"/>
  <c r="Q45" i="20" s="1"/>
  <c r="Z48" i="25"/>
  <c r="Z49" i="25"/>
  <c r="Z47" i="25"/>
  <c r="AX48" i="25"/>
  <c r="AX49" i="25"/>
  <c r="AX47" i="25"/>
  <c r="I11" i="25"/>
  <c r="N11" i="25"/>
  <c r="BC11" i="25"/>
  <c r="BE47" i="25"/>
  <c r="BE48" i="25"/>
  <c r="AH49" i="25"/>
  <c r="AH48" i="25"/>
  <c r="AH47" i="25"/>
  <c r="BB12" i="25"/>
  <c r="AP12" i="25"/>
  <c r="AD12" i="25"/>
  <c r="R12" i="25"/>
  <c r="AB12" i="25"/>
  <c r="BA12" i="25"/>
  <c r="AO12" i="25"/>
  <c r="AC12" i="25"/>
  <c r="Q12" i="25"/>
  <c r="AZ12" i="25"/>
  <c r="AN12" i="25"/>
  <c r="P12" i="25"/>
  <c r="AY12" i="25"/>
  <c r="AM12" i="25"/>
  <c r="AA12" i="25"/>
  <c r="O12" i="25"/>
  <c r="AX12" i="25"/>
  <c r="AX15" i="25" s="1"/>
  <c r="AL12" i="25"/>
  <c r="Z12" i="25"/>
  <c r="N12" i="25"/>
  <c r="AW12" i="25"/>
  <c r="AK12" i="25"/>
  <c r="Y12" i="25"/>
  <c r="M12" i="25"/>
  <c r="BG12" i="25"/>
  <c r="AU12" i="25"/>
  <c r="AI12" i="25"/>
  <c r="W12" i="25"/>
  <c r="K12" i="25"/>
  <c r="BF12" i="25"/>
  <c r="AT12" i="25"/>
  <c r="AH12" i="25"/>
  <c r="V12" i="25"/>
  <c r="J12" i="25"/>
  <c r="BE12" i="25"/>
  <c r="AS12" i="25"/>
  <c r="AG12" i="25"/>
  <c r="U12" i="25"/>
  <c r="I12" i="25"/>
  <c r="BC12" i="25"/>
  <c r="I49" i="25"/>
  <c r="I47" i="25"/>
  <c r="BK47" i="25" s="1"/>
  <c r="I48" i="25"/>
  <c r="AO45" i="25"/>
  <c r="AO46" i="25"/>
  <c r="BF49" i="25"/>
  <c r="BF48" i="25"/>
  <c r="BF47" i="25"/>
  <c r="N48" i="25"/>
  <c r="N47" i="25"/>
  <c r="AQ11" i="25"/>
  <c r="BD12" i="25"/>
  <c r="J49" i="25"/>
  <c r="J48" i="25"/>
  <c r="J47" i="25"/>
  <c r="P48" i="25"/>
  <c r="P49" i="25"/>
  <c r="P47" i="25"/>
  <c r="AW11" i="25"/>
  <c r="AK11" i="25"/>
  <c r="Y11" i="25"/>
  <c r="M11" i="25"/>
  <c r="X11" i="25"/>
  <c r="AI11" i="25"/>
  <c r="AH11" i="25"/>
  <c r="AV11" i="25"/>
  <c r="AV15" i="25" s="1"/>
  <c r="AJ11" i="25"/>
  <c r="L11" i="25"/>
  <c r="BG11" i="25"/>
  <c r="K11" i="25"/>
  <c r="J11" i="25"/>
  <c r="AG11" i="25"/>
  <c r="AU11" i="25"/>
  <c r="W11" i="25"/>
  <c r="AS11" i="25"/>
  <c r="BF11" i="25"/>
  <c r="AT11" i="25"/>
  <c r="V11" i="25"/>
  <c r="BE11" i="25"/>
  <c r="BD11" i="25"/>
  <c r="AR11" i="25"/>
  <c r="AF11" i="25"/>
  <c r="T11" i="25"/>
  <c r="H11" i="25"/>
  <c r="BB11" i="25"/>
  <c r="AP11" i="25"/>
  <c r="AD11" i="25"/>
  <c r="R11" i="25"/>
  <c r="BA11" i="25"/>
  <c r="AO11" i="25"/>
  <c r="AC11" i="25"/>
  <c r="Q11" i="25"/>
  <c r="AZ11" i="25"/>
  <c r="AN11" i="25"/>
  <c r="AB11" i="25"/>
  <c r="P11" i="25"/>
  <c r="S11" i="25"/>
  <c r="L12" i="25"/>
  <c r="AS48" i="25"/>
  <c r="AS49" i="25"/>
  <c r="S47" i="25"/>
  <c r="S48" i="25"/>
  <c r="S49" i="25"/>
  <c r="AE49" i="25"/>
  <c r="AE47" i="25"/>
  <c r="AE48" i="25"/>
  <c r="AQ47" i="25"/>
  <c r="AQ48" i="25"/>
  <c r="AQ49" i="25"/>
  <c r="BC47" i="25"/>
  <c r="BC48" i="25"/>
  <c r="O11" i="25"/>
  <c r="U11" i="25"/>
  <c r="Z11" i="25"/>
  <c r="AC45" i="25"/>
  <c r="AC38" i="20" s="1"/>
  <c r="AC46" i="25"/>
  <c r="AC39" i="20" s="1"/>
  <c r="AC45" i="20" s="1"/>
  <c r="T49" i="25"/>
  <c r="T48" i="25"/>
  <c r="AF49" i="25"/>
  <c r="AF47" i="25"/>
  <c r="AF48" i="25"/>
  <c r="AR49" i="25"/>
  <c r="AR48" i="25"/>
  <c r="BD49" i="25"/>
  <c r="BD47" i="25"/>
  <c r="BD48" i="25"/>
  <c r="H12" i="25"/>
  <c r="S12" i="25"/>
  <c r="AT49" i="25"/>
  <c r="AT48" i="25"/>
  <c r="AT47" i="25"/>
  <c r="AA11" i="25"/>
  <c r="T12" i="25"/>
  <c r="AY11" i="25"/>
  <c r="AE11" i="25"/>
  <c r="X12" i="25"/>
  <c r="AG49" i="25"/>
  <c r="AG47" i="25"/>
  <c r="AG48" i="25"/>
  <c r="P46" i="25"/>
  <c r="P39" i="20" s="1"/>
  <c r="P45" i="20" s="1"/>
  <c r="P45" i="25"/>
  <c r="P38" i="20" s="1"/>
  <c r="K49" i="25"/>
  <c r="K48" i="25"/>
  <c r="K47" i="25"/>
  <c r="W49" i="25"/>
  <c r="W48" i="25"/>
  <c r="W47" i="25"/>
  <c r="AI49" i="25"/>
  <c r="AI48" i="25"/>
  <c r="AI47" i="25"/>
  <c r="AU49" i="25"/>
  <c r="AU48" i="25"/>
  <c r="AU47" i="25"/>
  <c r="BG49" i="25"/>
  <c r="BG48" i="25"/>
  <c r="BG47" i="25"/>
  <c r="AY48" i="25"/>
  <c r="R49" i="25"/>
  <c r="AL49" i="25"/>
  <c r="BH49" i="25"/>
  <c r="L48" i="25"/>
  <c r="BB48" i="25"/>
  <c r="AM49" i="25"/>
  <c r="AW47" i="25"/>
  <c r="M48" i="25"/>
  <c r="AP49" i="25"/>
  <c r="O48" i="25"/>
  <c r="AJ48" i="25"/>
  <c r="X49" i="25"/>
  <c r="R48" i="25"/>
  <c r="Y49" i="25"/>
  <c r="M47" i="25"/>
  <c r="H46" i="25"/>
  <c r="AB48" i="25"/>
  <c r="AB49" i="25"/>
  <c r="AN48" i="25"/>
  <c r="AN49" i="25"/>
  <c r="AZ48" i="25"/>
  <c r="AZ49" i="25"/>
  <c r="AM48" i="25"/>
  <c r="BH48" i="25"/>
  <c r="AV49" i="25"/>
  <c r="Q48" i="25"/>
  <c r="Q47" i="25"/>
  <c r="Q49" i="25"/>
  <c r="AC48" i="25"/>
  <c r="AC47" i="25"/>
  <c r="AC49" i="25"/>
  <c r="AO48" i="25"/>
  <c r="AO47" i="25"/>
  <c r="AO49" i="25"/>
  <c r="BA48" i="25"/>
  <c r="BA47" i="25"/>
  <c r="BA49" i="25"/>
  <c r="AP48" i="25"/>
  <c r="AA49" i="25"/>
  <c r="AW49" i="25"/>
  <c r="AD49" i="25"/>
  <c r="AL47" i="25"/>
  <c r="X48" i="25"/>
  <c r="L49" i="25"/>
  <c r="AY49" i="25"/>
  <c r="AN47" i="25"/>
  <c r="BB49" i="25"/>
  <c r="BV147" i="47" l="1"/>
  <c r="BU148" i="47"/>
  <c r="BX144" i="21"/>
  <c r="BY143" i="21"/>
  <c r="P44" i="20"/>
  <c r="P43" i="20"/>
  <c r="P49" i="20" s="1"/>
  <c r="Q43" i="20"/>
  <c r="Q49" i="20" s="1"/>
  <c r="AC43" i="20"/>
  <c r="AC49" i="20" s="1"/>
  <c r="AC44" i="20"/>
  <c r="AM44" i="20"/>
  <c r="AM43" i="20"/>
  <c r="AM49" i="20" s="1"/>
  <c r="BZ140" i="47"/>
  <c r="CA139" i="47"/>
  <c r="AA44" i="20"/>
  <c r="K15" i="25"/>
  <c r="E53" i="25"/>
  <c r="J15" i="25"/>
  <c r="J16" i="25" s="1"/>
  <c r="D53" i="25"/>
  <c r="C53" i="25"/>
  <c r="F56" i="25"/>
  <c r="E56" i="25"/>
  <c r="G56" i="25"/>
  <c r="C56" i="25"/>
  <c r="BJ11" i="25"/>
  <c r="BM47" i="25"/>
  <c r="BL47" i="25"/>
  <c r="BJ47" i="25"/>
  <c r="BM48" i="25"/>
  <c r="BK48" i="25"/>
  <c r="BL49" i="25"/>
  <c r="BJ49" i="25"/>
  <c r="BL48" i="25"/>
  <c r="BJ48" i="25"/>
  <c r="BM49" i="25"/>
  <c r="BK49" i="25"/>
  <c r="AD15" i="25"/>
  <c r="AD16" i="25" s="1"/>
  <c r="BK11" i="25"/>
  <c r="BJ12" i="25"/>
  <c r="AV16" i="25"/>
  <c r="BK12" i="25"/>
  <c r="AX16" i="25"/>
  <c r="H15" i="25"/>
  <c r="H16" i="25" s="1"/>
  <c r="I15" i="25"/>
  <c r="I16" i="25" s="1"/>
  <c r="O15" i="25"/>
  <c r="AE15" i="25"/>
  <c r="AR15" i="25"/>
  <c r="W15" i="25"/>
  <c r="BQ116" i="21"/>
  <c r="BV110" i="21"/>
  <c r="CD110" i="21"/>
  <c r="CD116" i="21" s="1"/>
  <c r="CL110" i="21"/>
  <c r="CL116" i="21" s="1"/>
  <c r="CH110" i="21"/>
  <c r="CH116" i="21" s="1"/>
  <c r="BZ110" i="21"/>
  <c r="BZ116" i="21" s="1"/>
  <c r="AH15" i="25"/>
  <c r="BC15" i="25"/>
  <c r="AJ15" i="25"/>
  <c r="AM15" i="25"/>
  <c r="AS15" i="25"/>
  <c r="BB15" i="25"/>
  <c r="M15" i="25"/>
  <c r="AF15" i="25"/>
  <c r="AY15" i="25"/>
  <c r="AA15" i="25"/>
  <c r="AQ15" i="25"/>
  <c r="AL15" i="25"/>
  <c r="N15" i="25"/>
  <c r="Z15" i="25"/>
  <c r="O45" i="25"/>
  <c r="O38" i="20" s="1"/>
  <c r="AB46" i="25"/>
  <c r="AB39" i="20" s="1"/>
  <c r="AB45" i="20" s="1"/>
  <c r="O46" i="25"/>
  <c r="O39" i="20" s="1"/>
  <c r="O45" i="20" s="1"/>
  <c r="AA46" i="25"/>
  <c r="AA39" i="20" s="1"/>
  <c r="AA45" i="20" s="1"/>
  <c r="AM46" i="25"/>
  <c r="AM39" i="20" s="1"/>
  <c r="AM45" i="20" s="1"/>
  <c r="BD15" i="25"/>
  <c r="AY46" i="25"/>
  <c r="AY45" i="25"/>
  <c r="AO15" i="25"/>
  <c r="V15" i="25"/>
  <c r="BA15" i="25"/>
  <c r="AT15" i="25"/>
  <c r="R15" i="25"/>
  <c r="BF15" i="25"/>
  <c r="AI15" i="25"/>
  <c r="AB15" i="25"/>
  <c r="T15" i="25"/>
  <c r="AB45" i="25"/>
  <c r="AB38" i="20" s="1"/>
  <c r="AN45" i="25"/>
  <c r="AN38" i="20" s="1"/>
  <c r="AZ45" i="25"/>
  <c r="AZ46" i="25"/>
  <c r="X45" i="25"/>
  <c r="X38" i="20" s="1"/>
  <c r="X46" i="25"/>
  <c r="X39" i="20" s="1"/>
  <c r="X45" i="20" s="1"/>
  <c r="Z45" i="25"/>
  <c r="Z38" i="20" s="1"/>
  <c r="Z46" i="25"/>
  <c r="Z39" i="20" s="1"/>
  <c r="Z45" i="20" s="1"/>
  <c r="L45" i="25"/>
  <c r="L38" i="20" s="1"/>
  <c r="L46" i="25"/>
  <c r="L39" i="20" s="1"/>
  <c r="L45" i="20" s="1"/>
  <c r="AR45" i="25"/>
  <c r="AR46" i="25"/>
  <c r="AS45" i="25"/>
  <c r="AS46" i="25"/>
  <c r="Y45" i="25"/>
  <c r="Y38" i="20" s="1"/>
  <c r="Y46" i="25"/>
  <c r="Y39" i="20" s="1"/>
  <c r="Y45" i="20" s="1"/>
  <c r="BB46" i="25"/>
  <c r="BB45" i="25"/>
  <c r="AT45" i="25"/>
  <c r="AT46" i="25"/>
  <c r="BG45" i="25"/>
  <c r="BG46" i="25"/>
  <c r="AD46" i="25"/>
  <c r="AD39" i="20" s="1"/>
  <c r="AD45" i="20" s="1"/>
  <c r="AD45" i="25"/>
  <c r="AD38" i="20" s="1"/>
  <c r="AP15" i="25"/>
  <c r="X15" i="25"/>
  <c r="I45" i="25"/>
  <c r="I46" i="25"/>
  <c r="BJ46" i="25" s="1"/>
  <c r="N46" i="25"/>
  <c r="N39" i="20" s="1"/>
  <c r="N45" i="20" s="1"/>
  <c r="N45" i="25"/>
  <c r="N38" i="20" s="1"/>
  <c r="AF46" i="25"/>
  <c r="AF39" i="20" s="1"/>
  <c r="AF45" i="20" s="1"/>
  <c r="AF45" i="25"/>
  <c r="AF38" i="20" s="1"/>
  <c r="U15" i="25"/>
  <c r="AE46" i="25"/>
  <c r="AE39" i="20" s="1"/>
  <c r="AE45" i="20" s="1"/>
  <c r="AE45" i="25"/>
  <c r="AE38" i="20" s="1"/>
  <c r="S15" i="25"/>
  <c r="AU15" i="25"/>
  <c r="AL45" i="25"/>
  <c r="AL38" i="20" s="1"/>
  <c r="AL46" i="25"/>
  <c r="AL39" i="20" s="1"/>
  <c r="AL45" i="20" s="1"/>
  <c r="AI46" i="25"/>
  <c r="AI39" i="20" s="1"/>
  <c r="AI45" i="20" s="1"/>
  <c r="AI45" i="25"/>
  <c r="AI38" i="20" s="1"/>
  <c r="P15" i="25"/>
  <c r="AG15" i="25"/>
  <c r="Y15" i="25"/>
  <c r="V45" i="25"/>
  <c r="V38" i="20" s="1"/>
  <c r="V46" i="25"/>
  <c r="V39" i="20" s="1"/>
  <c r="V45" i="20" s="1"/>
  <c r="AK45" i="25"/>
  <c r="AK38" i="20" s="1"/>
  <c r="AK46" i="25"/>
  <c r="AK39" i="20" s="1"/>
  <c r="AK45" i="20" s="1"/>
  <c r="AQ46" i="25"/>
  <c r="AQ45" i="25"/>
  <c r="R46" i="25"/>
  <c r="R39" i="20" s="1"/>
  <c r="R45" i="20" s="1"/>
  <c r="R45" i="25"/>
  <c r="R38" i="20" s="1"/>
  <c r="W45" i="25"/>
  <c r="W38" i="20" s="1"/>
  <c r="W46" i="25"/>
  <c r="W39" i="20" s="1"/>
  <c r="W45" i="20" s="1"/>
  <c r="AG46" i="25"/>
  <c r="AG39" i="20" s="1"/>
  <c r="AG45" i="20" s="1"/>
  <c r="AG45" i="25"/>
  <c r="AG38" i="20" s="1"/>
  <c r="AK15" i="25"/>
  <c r="M45" i="25"/>
  <c r="M38" i="20" s="1"/>
  <c r="M46" i="25"/>
  <c r="M39" i="20" s="1"/>
  <c r="M45" i="20" s="1"/>
  <c r="K46" i="25"/>
  <c r="K39" i="20" s="1"/>
  <c r="K45" i="20" s="1"/>
  <c r="K45" i="25"/>
  <c r="K38" i="20" s="1"/>
  <c r="T45" i="25"/>
  <c r="T38" i="20" s="1"/>
  <c r="T46" i="25"/>
  <c r="T39" i="20" s="1"/>
  <c r="T45" i="20" s="1"/>
  <c r="AN15" i="25"/>
  <c r="AW15" i="25"/>
  <c r="BF45" i="25"/>
  <c r="BF46" i="25"/>
  <c r="BE46" i="25"/>
  <c r="BE45" i="25"/>
  <c r="AX45" i="25"/>
  <c r="AX46" i="25"/>
  <c r="U45" i="25"/>
  <c r="U38" i="20" s="1"/>
  <c r="U46" i="25"/>
  <c r="U39" i="20" s="1"/>
  <c r="U45" i="20" s="1"/>
  <c r="BD46" i="25"/>
  <c r="BD45" i="25"/>
  <c r="BC46" i="25"/>
  <c r="BC45" i="25"/>
  <c r="S46" i="25"/>
  <c r="S39" i="20" s="1"/>
  <c r="S45" i="20" s="1"/>
  <c r="S45" i="25"/>
  <c r="S38" i="20" s="1"/>
  <c r="AZ15" i="25"/>
  <c r="BG15" i="25"/>
  <c r="AP46" i="25"/>
  <c r="AP45" i="25"/>
  <c r="AH45" i="25"/>
  <c r="AH38" i="20" s="1"/>
  <c r="AH46" i="25"/>
  <c r="AH39" i="20" s="1"/>
  <c r="AH45" i="20" s="1"/>
  <c r="Q15" i="25"/>
  <c r="L15" i="25"/>
  <c r="J45" i="25"/>
  <c r="J38" i="20" s="1"/>
  <c r="J46" i="25"/>
  <c r="J39" i="20" s="1"/>
  <c r="J45" i="20" s="1"/>
  <c r="AU45" i="25"/>
  <c r="AU46" i="25"/>
  <c r="BH45" i="25"/>
  <c r="BH46" i="25"/>
  <c r="AV45" i="25"/>
  <c r="AV46" i="25"/>
  <c r="AJ45" i="25"/>
  <c r="AJ38" i="20" s="1"/>
  <c r="AJ46" i="25"/>
  <c r="AJ39" i="20" s="1"/>
  <c r="AJ45" i="20" s="1"/>
  <c r="AC15" i="25"/>
  <c r="BE15" i="25"/>
  <c r="BW147" i="47" l="1"/>
  <c r="BV148" i="47"/>
  <c r="BZ143" i="21"/>
  <c r="BY144" i="21"/>
  <c r="S43" i="20"/>
  <c r="S49" i="20" s="1"/>
  <c r="S44" i="20"/>
  <c r="N43" i="20"/>
  <c r="N49" i="20" s="1"/>
  <c r="N44" i="20"/>
  <c r="K43" i="20"/>
  <c r="K49" i="20" s="1"/>
  <c r="K44" i="20"/>
  <c r="W43" i="20"/>
  <c r="W49" i="20" s="1"/>
  <c r="W44" i="20"/>
  <c r="V44" i="20"/>
  <c r="V43" i="20"/>
  <c r="V49" i="20" s="1"/>
  <c r="X44" i="20"/>
  <c r="X43" i="20"/>
  <c r="X49" i="20" s="1"/>
  <c r="AK43" i="20"/>
  <c r="AK49" i="20" s="1"/>
  <c r="AK44" i="20"/>
  <c r="Z43" i="20"/>
  <c r="Z49" i="20" s="1"/>
  <c r="Z44" i="20"/>
  <c r="AH43" i="20"/>
  <c r="AH49" i="20" s="1"/>
  <c r="AH44" i="20"/>
  <c r="AE44" i="20"/>
  <c r="AE43" i="20"/>
  <c r="AE49" i="20" s="1"/>
  <c r="Y43" i="20"/>
  <c r="Y49" i="20" s="1"/>
  <c r="Y44" i="20"/>
  <c r="M43" i="20"/>
  <c r="M49" i="20" s="1"/>
  <c r="M44" i="20"/>
  <c r="AN44" i="20"/>
  <c r="AN43" i="20"/>
  <c r="AN49" i="20" s="1"/>
  <c r="T43" i="20"/>
  <c r="T49" i="20" s="1"/>
  <c r="T44" i="20"/>
  <c r="R44" i="20"/>
  <c r="R43" i="20"/>
  <c r="R49" i="20" s="1"/>
  <c r="AI43" i="20"/>
  <c r="AI49" i="20" s="1"/>
  <c r="AI44" i="20"/>
  <c r="L43" i="20"/>
  <c r="L49" i="20" s="1"/>
  <c r="L44" i="20"/>
  <c r="AB43" i="20"/>
  <c r="AB49" i="20" s="1"/>
  <c r="AB44" i="20"/>
  <c r="AA43" i="20"/>
  <c r="AA49" i="20" s="1"/>
  <c r="AL43" i="20"/>
  <c r="AL49" i="20" s="1"/>
  <c r="AL44" i="20"/>
  <c r="AJ43" i="20"/>
  <c r="AJ49" i="20" s="1"/>
  <c r="AJ44" i="20"/>
  <c r="J44" i="20"/>
  <c r="J43" i="20"/>
  <c r="J49" i="20" s="1"/>
  <c r="U43" i="20"/>
  <c r="U49" i="20" s="1"/>
  <c r="U44" i="20"/>
  <c r="AG43" i="20"/>
  <c r="AG49" i="20" s="1"/>
  <c r="AG44" i="20"/>
  <c r="AF44" i="20"/>
  <c r="AF43" i="20"/>
  <c r="AF49" i="20" s="1"/>
  <c r="AD44" i="20"/>
  <c r="AD43" i="20"/>
  <c r="AD49" i="20" s="1"/>
  <c r="O44" i="20"/>
  <c r="O43" i="20"/>
  <c r="O49" i="20" s="1"/>
  <c r="CA140" i="47"/>
  <c r="CB139" i="47"/>
  <c r="J35" i="25"/>
  <c r="BL46" i="25"/>
  <c r="BM46" i="25"/>
  <c r="BK46" i="25"/>
  <c r="BM45" i="25"/>
  <c r="BK45" i="25"/>
  <c r="BL45" i="25"/>
  <c r="BJ45" i="25"/>
  <c r="AX20" i="25"/>
  <c r="AX19" i="25"/>
  <c r="AX21" i="25"/>
  <c r="AV21" i="25"/>
  <c r="AV20" i="25"/>
  <c r="AV19" i="25"/>
  <c r="AK16" i="25"/>
  <c r="AQ16" i="25"/>
  <c r="AE16" i="25"/>
  <c r="BD16" i="25"/>
  <c r="AA16" i="25"/>
  <c r="Y16" i="25"/>
  <c r="T16" i="25"/>
  <c r="AY16" i="25"/>
  <c r="AW16" i="25"/>
  <c r="AB16" i="25"/>
  <c r="AF16" i="25"/>
  <c r="O16" i="25"/>
  <c r="BJ15" i="25"/>
  <c r="BL15" i="25"/>
  <c r="AN16" i="25"/>
  <c r="P16" i="25"/>
  <c r="AI16" i="25"/>
  <c r="M16" i="25"/>
  <c r="K16" i="25"/>
  <c r="AC16" i="25"/>
  <c r="BB16" i="25"/>
  <c r="W16" i="25"/>
  <c r="U16" i="25"/>
  <c r="BF16" i="25"/>
  <c r="R16" i="25"/>
  <c r="AS16" i="25"/>
  <c r="BG16" i="25"/>
  <c r="AT16" i="25"/>
  <c r="AM16" i="25"/>
  <c r="AZ16" i="25"/>
  <c r="X16" i="25"/>
  <c r="BA16" i="25"/>
  <c r="AJ16" i="25"/>
  <c r="L16" i="25"/>
  <c r="AU16" i="25"/>
  <c r="AP16" i="25"/>
  <c r="BM15" i="25"/>
  <c r="V16" i="25"/>
  <c r="Z16" i="25"/>
  <c r="BC16" i="25"/>
  <c r="AG16" i="25"/>
  <c r="S16" i="25"/>
  <c r="N16" i="25"/>
  <c r="AR16" i="25"/>
  <c r="BE16" i="25"/>
  <c r="Q16" i="25"/>
  <c r="BK15" i="25"/>
  <c r="AO16" i="25"/>
  <c r="AL16" i="25"/>
  <c r="AH16" i="25"/>
  <c r="BV116" i="21"/>
  <c r="CA110" i="21"/>
  <c r="CI110" i="21"/>
  <c r="CI116" i="21" s="1"/>
  <c r="CE110" i="21"/>
  <c r="CE116" i="21" s="1"/>
  <c r="I40" i="25"/>
  <c r="I38" i="25"/>
  <c r="I39" i="25"/>
  <c r="BX147" i="47" l="1"/>
  <c r="BW148" i="47"/>
  <c r="BZ144" i="21"/>
  <c r="CA143" i="21"/>
  <c r="CB140" i="47"/>
  <c r="CC139" i="47"/>
  <c r="AV35" i="25"/>
  <c r="AD35" i="25"/>
  <c r="AX35" i="25"/>
  <c r="BA19" i="25"/>
  <c r="BA21" i="25"/>
  <c r="BA20" i="25"/>
  <c r="AY20" i="25"/>
  <c r="AY19" i="25"/>
  <c r="AY21" i="25"/>
  <c r="AU21" i="25"/>
  <c r="AU19" i="25"/>
  <c r="AU20" i="25"/>
  <c r="BB19" i="25"/>
  <c r="BB21" i="25"/>
  <c r="BB20" i="25"/>
  <c r="BF21" i="25"/>
  <c r="BF20" i="25"/>
  <c r="BF19" i="25"/>
  <c r="BD20" i="25"/>
  <c r="BD21" i="25"/>
  <c r="BD19" i="25"/>
  <c r="BG21" i="25"/>
  <c r="BG19" i="25"/>
  <c r="BG20" i="25"/>
  <c r="BJ19" i="25"/>
  <c r="AW20" i="25"/>
  <c r="AW19" i="25"/>
  <c r="AW21" i="25"/>
  <c r="BM16" i="25"/>
  <c r="BH21" i="25"/>
  <c r="BH20" i="25"/>
  <c r="BH19" i="25"/>
  <c r="AS21" i="25"/>
  <c r="AS20" i="25"/>
  <c r="AS19" i="25"/>
  <c r="AQ21" i="25"/>
  <c r="AQ19" i="25"/>
  <c r="AQ20" i="25"/>
  <c r="AP19" i="25"/>
  <c r="AP21" i="25"/>
  <c r="AP20" i="25"/>
  <c r="BE21" i="25"/>
  <c r="BE20" i="25"/>
  <c r="BE19" i="25"/>
  <c r="AR20" i="25"/>
  <c r="AR19" i="25"/>
  <c r="AR21" i="25"/>
  <c r="AZ19" i="25"/>
  <c r="AZ21" i="25"/>
  <c r="AZ20" i="25"/>
  <c r="BC21" i="25"/>
  <c r="BC20" i="25"/>
  <c r="BC19" i="25"/>
  <c r="AT21" i="25"/>
  <c r="AT20" i="25"/>
  <c r="AT19" i="25"/>
  <c r="BK16" i="25"/>
  <c r="AO19" i="25"/>
  <c r="AO21" i="25"/>
  <c r="AO20" i="25"/>
  <c r="BL16" i="25"/>
  <c r="BJ16" i="25"/>
  <c r="I52" i="25"/>
  <c r="I53" i="25"/>
  <c r="I54" i="25"/>
  <c r="CA116" i="21"/>
  <c r="CF110" i="21"/>
  <c r="CJ110" i="21"/>
  <c r="CJ116" i="21" s="1"/>
  <c r="H38" i="25"/>
  <c r="H52" i="25" s="1"/>
  <c r="I41" i="25"/>
  <c r="I42" i="25"/>
  <c r="J42" i="25"/>
  <c r="J40" i="25"/>
  <c r="J41" i="25"/>
  <c r="H42" i="25"/>
  <c r="H56" i="25" s="1"/>
  <c r="H41" i="25"/>
  <c r="H55" i="25" s="1"/>
  <c r="H40" i="25"/>
  <c r="H54" i="25" s="1"/>
  <c r="H39" i="25"/>
  <c r="H53" i="25" s="1"/>
  <c r="BY147" i="47" l="1"/>
  <c r="BX148" i="47"/>
  <c r="CB143" i="21"/>
  <c r="CA144" i="21"/>
  <c r="CC140" i="47"/>
  <c r="CD139" i="47"/>
  <c r="AP35" i="25"/>
  <c r="AW35" i="25"/>
  <c r="W35" i="25"/>
  <c r="Y35" i="25"/>
  <c r="Y36" i="25" s="1"/>
  <c r="U35" i="25"/>
  <c r="AC35" i="25"/>
  <c r="AH35" i="25"/>
  <c r="AR35" i="25"/>
  <c r="AF35" i="25"/>
  <c r="K35" i="25"/>
  <c r="BC35" i="25"/>
  <c r="BA35" i="25"/>
  <c r="V35" i="25"/>
  <c r="AG35" i="25"/>
  <c r="S35" i="25"/>
  <c r="BD35" i="25"/>
  <c r="N35" i="25"/>
  <c r="AU35" i="25"/>
  <c r="AQ35" i="25"/>
  <c r="AE35" i="25"/>
  <c r="P35" i="25"/>
  <c r="AB35" i="25"/>
  <c r="AT35" i="25"/>
  <c r="AA35" i="25"/>
  <c r="BE35" i="25"/>
  <c r="T35" i="25"/>
  <c r="L35" i="25"/>
  <c r="AO35" i="25"/>
  <c r="BF35" i="25"/>
  <c r="AS35" i="25"/>
  <c r="R35" i="25"/>
  <c r="AZ35" i="25"/>
  <c r="Q35" i="25"/>
  <c r="BG35" i="25"/>
  <c r="M35" i="25"/>
  <c r="Z35" i="25"/>
  <c r="AY35" i="25"/>
  <c r="O35" i="25"/>
  <c r="BH35" i="25"/>
  <c r="X35" i="25"/>
  <c r="BB35" i="25"/>
  <c r="AI35" i="25"/>
  <c r="BK19" i="25"/>
  <c r="BM19" i="25"/>
  <c r="BM20" i="25"/>
  <c r="BK20" i="25"/>
  <c r="BM21" i="25"/>
  <c r="BK21" i="25"/>
  <c r="BL20" i="25"/>
  <c r="BJ20" i="25"/>
  <c r="BL21" i="25"/>
  <c r="BJ21" i="25"/>
  <c r="BL19" i="25"/>
  <c r="I56" i="25"/>
  <c r="J55" i="25"/>
  <c r="J54" i="25"/>
  <c r="I55" i="25"/>
  <c r="J56" i="25"/>
  <c r="CF116" i="21"/>
  <c r="CK110" i="21"/>
  <c r="BZ147" i="47" l="1"/>
  <c r="BY148" i="47"/>
  <c r="CC143" i="21"/>
  <c r="CB144" i="21"/>
  <c r="CE139" i="47"/>
  <c r="CD140" i="47"/>
  <c r="BK35" i="25"/>
  <c r="BM35" i="25"/>
  <c r="AJ35" i="25"/>
  <c r="CK116" i="21"/>
  <c r="J90" i="21"/>
  <c r="F90" i="21"/>
  <c r="E16" i="21"/>
  <c r="E32" i="21"/>
  <c r="E48" i="21"/>
  <c r="E64" i="21"/>
  <c r="E80" i="21"/>
  <c r="J103" i="21"/>
  <c r="O103" i="21" s="1"/>
  <c r="F103" i="21"/>
  <c r="J74" i="21"/>
  <c r="F74" i="21"/>
  <c r="J58" i="21"/>
  <c r="F58" i="21"/>
  <c r="J42" i="21"/>
  <c r="F42" i="21"/>
  <c r="J26" i="21"/>
  <c r="F26" i="21"/>
  <c r="J10" i="21"/>
  <c r="F10" i="21"/>
  <c r="F13" i="20"/>
  <c r="G13" i="20" s="1"/>
  <c r="H13" i="20" s="1"/>
  <c r="I13" i="20" s="1"/>
  <c r="K13" i="20"/>
  <c r="L13" i="20" s="1"/>
  <c r="M13" i="20" s="1"/>
  <c r="N13" i="20" s="1"/>
  <c r="P13" i="20"/>
  <c r="Q13" i="20" s="1"/>
  <c r="R13" i="20" s="1"/>
  <c r="S13" i="20" s="1"/>
  <c r="U13" i="20"/>
  <c r="V13" i="20" s="1"/>
  <c r="W13" i="20" s="1"/>
  <c r="X13" i="20" s="1"/>
  <c r="AE13" i="20"/>
  <c r="AF13" i="20" s="1"/>
  <c r="AG13" i="20" s="1"/>
  <c r="AH13" i="20" s="1"/>
  <c r="Z13" i="20"/>
  <c r="AA13" i="20" s="1"/>
  <c r="AB13" i="20" s="1"/>
  <c r="AC13" i="20" s="1"/>
  <c r="AJ13" i="20"/>
  <c r="AK13" i="20" s="1"/>
  <c r="AL13" i="20" s="1"/>
  <c r="AM13" i="20" s="1"/>
  <c r="E112" i="21"/>
  <c r="E152" i="21"/>
  <c r="CA147" i="47" l="1"/>
  <c r="BZ148" i="47"/>
  <c r="CD143" i="21"/>
  <c r="CC144" i="21"/>
  <c r="CE140" i="47"/>
  <c r="CF139" i="47"/>
  <c r="F102" i="21"/>
  <c r="AK35" i="25"/>
  <c r="F117" i="21"/>
  <c r="F118" i="21" s="1"/>
  <c r="F89" i="21"/>
  <c r="F88" i="21"/>
  <c r="F25" i="21"/>
  <c r="F24" i="21"/>
  <c r="F40" i="21"/>
  <c r="F41" i="21"/>
  <c r="F56" i="21"/>
  <c r="F57" i="21"/>
  <c r="F72" i="21"/>
  <c r="F73" i="21"/>
  <c r="E105" i="21"/>
  <c r="F95" i="21"/>
  <c r="F94" i="21"/>
  <c r="J94" i="21"/>
  <c r="J95" i="21"/>
  <c r="F101" i="21"/>
  <c r="F100" i="21"/>
  <c r="F99" i="21"/>
  <c r="F48" i="21"/>
  <c r="E18" i="21"/>
  <c r="J64" i="21"/>
  <c r="G90" i="21"/>
  <c r="G102" i="21" s="1"/>
  <c r="O90" i="21"/>
  <c r="G26" i="21"/>
  <c r="K90" i="21"/>
  <c r="E66" i="21"/>
  <c r="E82" i="21"/>
  <c r="E34" i="21"/>
  <c r="G58" i="21"/>
  <c r="F64" i="21"/>
  <c r="K58" i="21"/>
  <c r="G10" i="21"/>
  <c r="F16" i="21"/>
  <c r="O58" i="21"/>
  <c r="O10" i="21"/>
  <c r="J16" i="21"/>
  <c r="F80" i="21"/>
  <c r="F32" i="21"/>
  <c r="G74" i="21"/>
  <c r="K42" i="21"/>
  <c r="J48" i="21"/>
  <c r="O74" i="21"/>
  <c r="J80" i="21"/>
  <c r="K26" i="21"/>
  <c r="J32" i="21"/>
  <c r="O26" i="21"/>
  <c r="G103" i="21"/>
  <c r="O42" i="21"/>
  <c r="G42" i="21"/>
  <c r="P103" i="21"/>
  <c r="Q103" i="21" s="1"/>
  <c r="R103" i="21" s="1"/>
  <c r="S103" i="21" s="1"/>
  <c r="T103" i="21"/>
  <c r="K103" i="21"/>
  <c r="L103" i="21" s="1"/>
  <c r="M103" i="21" s="1"/>
  <c r="N103" i="21" s="1"/>
  <c r="K74" i="21"/>
  <c r="K10" i="21"/>
  <c r="J8" i="21"/>
  <c r="F8" i="21"/>
  <c r="F157" i="21" s="1"/>
  <c r="J112" i="21"/>
  <c r="J111" i="21"/>
  <c r="J113" i="21"/>
  <c r="J152" i="21"/>
  <c r="F152" i="21"/>
  <c r="CB147" i="47" l="1"/>
  <c r="CA148" i="47"/>
  <c r="CD144" i="21"/>
  <c r="CE143" i="21"/>
  <c r="CG139" i="47"/>
  <c r="CF140" i="47"/>
  <c r="AL35" i="25"/>
  <c r="G117" i="21"/>
  <c r="G118" i="21" s="1"/>
  <c r="G56" i="21"/>
  <c r="G57" i="21"/>
  <c r="G40" i="21"/>
  <c r="G41" i="21"/>
  <c r="G25" i="21"/>
  <c r="G24" i="21"/>
  <c r="G73" i="21"/>
  <c r="G72" i="21"/>
  <c r="G88" i="21"/>
  <c r="G89" i="21"/>
  <c r="G94" i="21"/>
  <c r="G95" i="21"/>
  <c r="T90" i="21"/>
  <c r="T99" i="21" s="1"/>
  <c r="O95" i="21"/>
  <c r="O94" i="21"/>
  <c r="K94" i="21"/>
  <c r="K95" i="21"/>
  <c r="F17" i="21"/>
  <c r="F81" i="21"/>
  <c r="F33" i="21"/>
  <c r="F65" i="21"/>
  <c r="G64" i="21"/>
  <c r="G101" i="21"/>
  <c r="G99" i="21"/>
  <c r="G100" i="21"/>
  <c r="G32" i="21"/>
  <c r="O54" i="21"/>
  <c r="P90" i="21"/>
  <c r="P102" i="21" s="1"/>
  <c r="T26" i="21"/>
  <c r="O38" i="21"/>
  <c r="T58" i="21"/>
  <c r="O70" i="21"/>
  <c r="O16" i="21"/>
  <c r="O22" i="21"/>
  <c r="O80" i="21"/>
  <c r="O86" i="21"/>
  <c r="G8" i="21"/>
  <c r="G157" i="21" s="1"/>
  <c r="L90" i="21"/>
  <c r="H90" i="21"/>
  <c r="H102" i="21" s="1"/>
  <c r="H26" i="21"/>
  <c r="P74" i="21"/>
  <c r="T74" i="21"/>
  <c r="T10" i="21"/>
  <c r="P10" i="21"/>
  <c r="H103" i="21"/>
  <c r="H42" i="21"/>
  <c r="P26" i="21"/>
  <c r="O32" i="21"/>
  <c r="L42" i="21"/>
  <c r="K48" i="21"/>
  <c r="L26" i="21"/>
  <c r="K32" i="21"/>
  <c r="L10" i="21"/>
  <c r="K16" i="21"/>
  <c r="H58" i="21"/>
  <c r="K64" i="21"/>
  <c r="L58" i="21"/>
  <c r="P58" i="21"/>
  <c r="O64" i="21"/>
  <c r="P42" i="21"/>
  <c r="O48" i="21"/>
  <c r="H74" i="21"/>
  <c r="L74" i="21"/>
  <c r="K80" i="21"/>
  <c r="H10" i="21"/>
  <c r="G16" i="21"/>
  <c r="T42" i="21"/>
  <c r="U103" i="21"/>
  <c r="V103" i="21" s="1"/>
  <c r="W103" i="21" s="1"/>
  <c r="X103" i="21" s="1"/>
  <c r="Y103" i="21"/>
  <c r="K8" i="21"/>
  <c r="O8" i="21"/>
  <c r="K112" i="21"/>
  <c r="K152" i="21"/>
  <c r="O152" i="21"/>
  <c r="O112" i="21"/>
  <c r="F111" i="21"/>
  <c r="G152" i="21"/>
  <c r="G111" i="21"/>
  <c r="G113" i="21"/>
  <c r="E151" i="21"/>
  <c r="F112" i="21"/>
  <c r="CC147" i="47" l="1"/>
  <c r="CB148" i="47"/>
  <c r="CF143" i="21"/>
  <c r="CE144" i="21"/>
  <c r="CG140" i="47"/>
  <c r="CH139" i="47"/>
  <c r="T100" i="21"/>
  <c r="T101" i="21"/>
  <c r="F158" i="21"/>
  <c r="AM35" i="25"/>
  <c r="AN35" i="25"/>
  <c r="H117" i="21"/>
  <c r="H118" i="21" s="1"/>
  <c r="H40" i="21"/>
  <c r="H41" i="21"/>
  <c r="H24" i="21"/>
  <c r="H25" i="21"/>
  <c r="P57" i="21"/>
  <c r="P56" i="21"/>
  <c r="P40" i="21"/>
  <c r="P41" i="21"/>
  <c r="H89" i="21"/>
  <c r="H88" i="21"/>
  <c r="P73" i="21"/>
  <c r="P72" i="21"/>
  <c r="H56" i="21"/>
  <c r="H57" i="21"/>
  <c r="P89" i="21"/>
  <c r="P88" i="21"/>
  <c r="P24" i="21"/>
  <c r="P25" i="21"/>
  <c r="T73" i="21"/>
  <c r="T72" i="21"/>
  <c r="T57" i="21"/>
  <c r="T56" i="21"/>
  <c r="H73" i="21"/>
  <c r="H72" i="21"/>
  <c r="T25" i="21"/>
  <c r="T24" i="21"/>
  <c r="T88" i="21"/>
  <c r="T89" i="21"/>
  <c r="U26" i="21"/>
  <c r="U32" i="21" s="1"/>
  <c r="T41" i="21"/>
  <c r="T40" i="21"/>
  <c r="Y90" i="21"/>
  <c r="Y102" i="21" s="1"/>
  <c r="CN102" i="21" s="1"/>
  <c r="T102" i="21"/>
  <c r="U90" i="21"/>
  <c r="U100" i="21" s="1"/>
  <c r="P95" i="21"/>
  <c r="P94" i="21"/>
  <c r="H94" i="21"/>
  <c r="H95" i="21"/>
  <c r="L94" i="21"/>
  <c r="L95" i="21"/>
  <c r="G17" i="21"/>
  <c r="G18" i="21" s="1"/>
  <c r="G33" i="21"/>
  <c r="G34" i="21" s="1"/>
  <c r="G81" i="21"/>
  <c r="G65" i="21"/>
  <c r="G66" i="21" s="1"/>
  <c r="H101" i="21"/>
  <c r="H100" i="21"/>
  <c r="H99" i="21"/>
  <c r="P101" i="21"/>
  <c r="P100" i="21"/>
  <c r="P99" i="21"/>
  <c r="T16" i="21"/>
  <c r="P54" i="21"/>
  <c r="T32" i="21"/>
  <c r="L38" i="21"/>
  <c r="L22" i="21"/>
  <c r="I26" i="21"/>
  <c r="L54" i="21"/>
  <c r="P38" i="21"/>
  <c r="I90" i="21"/>
  <c r="Q90" i="21"/>
  <c r="Q102" i="21" s="1"/>
  <c r="T64" i="21"/>
  <c r="P70" i="21"/>
  <c r="T80" i="21"/>
  <c r="L70" i="21"/>
  <c r="H64" i="21"/>
  <c r="L86" i="21"/>
  <c r="J105" i="21"/>
  <c r="F105" i="21"/>
  <c r="Y26" i="21"/>
  <c r="U58" i="21"/>
  <c r="Y58" i="21"/>
  <c r="P80" i="21"/>
  <c r="P86" i="21"/>
  <c r="Q10" i="21"/>
  <c r="P22" i="21"/>
  <c r="L8" i="21"/>
  <c r="H8" i="21"/>
  <c r="H157" i="21" s="1"/>
  <c r="M90" i="21"/>
  <c r="Q74" i="21"/>
  <c r="P16" i="21"/>
  <c r="U10" i="21"/>
  <c r="Y10" i="21"/>
  <c r="U74" i="21"/>
  <c r="Y74" i="21"/>
  <c r="F82" i="21"/>
  <c r="F66" i="21"/>
  <c r="F18" i="21"/>
  <c r="F34" i="21"/>
  <c r="M42" i="21"/>
  <c r="L48" i="21"/>
  <c r="Y42" i="21"/>
  <c r="T48" i="21"/>
  <c r="Q26" i="21"/>
  <c r="P32" i="21"/>
  <c r="M10" i="21"/>
  <c r="L16" i="21"/>
  <c r="I42" i="21"/>
  <c r="I103" i="21"/>
  <c r="M58" i="21"/>
  <c r="L64" i="21"/>
  <c r="M74" i="21"/>
  <c r="L80" i="21"/>
  <c r="I10" i="21"/>
  <c r="Q58" i="21"/>
  <c r="P64" i="21"/>
  <c r="Q42" i="21"/>
  <c r="P48" i="21"/>
  <c r="I58" i="21"/>
  <c r="I74" i="21"/>
  <c r="M26" i="21"/>
  <c r="L32" i="21"/>
  <c r="U42" i="21"/>
  <c r="AD103" i="21"/>
  <c r="Z103" i="21"/>
  <c r="AA103" i="21" s="1"/>
  <c r="AB103" i="21" s="1"/>
  <c r="AC103" i="21" s="1"/>
  <c r="T8" i="21"/>
  <c r="P8" i="21"/>
  <c r="L152" i="21"/>
  <c r="L112" i="21"/>
  <c r="T112" i="21"/>
  <c r="P112" i="21"/>
  <c r="P152" i="21"/>
  <c r="E111" i="21"/>
  <c r="E153" i="21"/>
  <c r="F113" i="21"/>
  <c r="G112" i="21"/>
  <c r="T152" i="21"/>
  <c r="H152" i="21"/>
  <c r="H111" i="21"/>
  <c r="H113" i="21"/>
  <c r="F151" i="21"/>
  <c r="E88" i="5" l="1"/>
  <c r="CD147" i="47"/>
  <c r="CC148" i="47"/>
  <c r="CG143" i="21"/>
  <c r="CF144" i="21"/>
  <c r="CH140" i="47"/>
  <c r="CI139" i="47"/>
  <c r="E104" i="21"/>
  <c r="E106" i="21" s="1"/>
  <c r="Y99" i="21"/>
  <c r="CN99" i="21" s="1"/>
  <c r="Y100" i="21"/>
  <c r="CN100" i="21" s="1"/>
  <c r="Y101" i="21"/>
  <c r="CN101" i="21" s="1"/>
  <c r="G158" i="21"/>
  <c r="V26" i="21"/>
  <c r="Z90" i="21"/>
  <c r="Z102" i="21" s="1"/>
  <c r="AD90" i="21"/>
  <c r="AD102" i="21" s="1"/>
  <c r="BJ35" i="25"/>
  <c r="BL35" i="25"/>
  <c r="U101" i="21"/>
  <c r="U99" i="21"/>
  <c r="V90" i="21"/>
  <c r="V102" i="21" s="1"/>
  <c r="Q73" i="21"/>
  <c r="Q72" i="21"/>
  <c r="Y25" i="21"/>
  <c r="CN25" i="21" s="1"/>
  <c r="Y24" i="21"/>
  <c r="CN24" i="21" s="1"/>
  <c r="Y72" i="21"/>
  <c r="CN72" i="21" s="1"/>
  <c r="Y73" i="21"/>
  <c r="CN73" i="21" s="1"/>
  <c r="Y56" i="21"/>
  <c r="CN56" i="21" s="1"/>
  <c r="Y57" i="21"/>
  <c r="CN57" i="21" s="1"/>
  <c r="U25" i="21"/>
  <c r="U24" i="21"/>
  <c r="U72" i="21"/>
  <c r="U73" i="21"/>
  <c r="U88" i="21"/>
  <c r="U89" i="21"/>
  <c r="U57" i="21"/>
  <c r="U56" i="21"/>
  <c r="U41" i="21"/>
  <c r="U40" i="21"/>
  <c r="Q40" i="21"/>
  <c r="Q41" i="21"/>
  <c r="Q57" i="21"/>
  <c r="Q56" i="21"/>
  <c r="Q24" i="21"/>
  <c r="Q25" i="21"/>
  <c r="Q89" i="21"/>
  <c r="Q88" i="21"/>
  <c r="Y89" i="21"/>
  <c r="CN89" i="21" s="1"/>
  <c r="Y88" i="21"/>
  <c r="CN88" i="21" s="1"/>
  <c r="Y40" i="21"/>
  <c r="CN40" i="21" s="1"/>
  <c r="Y41" i="21"/>
  <c r="CN41" i="21" s="1"/>
  <c r="U102" i="21"/>
  <c r="G105" i="21"/>
  <c r="O105" i="21"/>
  <c r="I94" i="21"/>
  <c r="I95" i="21"/>
  <c r="M95" i="21"/>
  <c r="M94" i="21"/>
  <c r="Q95" i="21"/>
  <c r="Q94" i="21"/>
  <c r="H33" i="21"/>
  <c r="H17" i="21"/>
  <c r="H65" i="21"/>
  <c r="H81" i="21"/>
  <c r="R90" i="21"/>
  <c r="R102" i="21" s="1"/>
  <c r="Q101" i="21"/>
  <c r="Q100" i="21"/>
  <c r="Q99" i="21"/>
  <c r="Q22" i="21"/>
  <c r="Q54" i="21"/>
  <c r="Q38" i="21"/>
  <c r="AD26" i="21"/>
  <c r="Q70" i="21"/>
  <c r="V58" i="21"/>
  <c r="Y64" i="21"/>
  <c r="CN64" i="21" s="1"/>
  <c r="U64" i="21"/>
  <c r="K105" i="21"/>
  <c r="Y32" i="21"/>
  <c r="Z26" i="21"/>
  <c r="AD58" i="21"/>
  <c r="Z58" i="21"/>
  <c r="Q16" i="21"/>
  <c r="R10" i="21"/>
  <c r="L105" i="21"/>
  <c r="H105" i="21"/>
  <c r="Y80" i="21"/>
  <c r="V74" i="21"/>
  <c r="Y16" i="21"/>
  <c r="Y48" i="21"/>
  <c r="V10" i="21"/>
  <c r="U48" i="21"/>
  <c r="R74" i="21"/>
  <c r="Q86" i="21"/>
  <c r="Q8" i="21"/>
  <c r="I8" i="21"/>
  <c r="I157" i="21" s="1"/>
  <c r="J157" i="21" s="1"/>
  <c r="K157" i="21" s="1"/>
  <c r="L157" i="21" s="1"/>
  <c r="M8" i="21"/>
  <c r="N90" i="21"/>
  <c r="AD74" i="21"/>
  <c r="Z74" i="21"/>
  <c r="Q80" i="21"/>
  <c r="U80" i="21"/>
  <c r="AD42" i="21"/>
  <c r="U16" i="21"/>
  <c r="Z42" i="21"/>
  <c r="Z10" i="21"/>
  <c r="AD10" i="21"/>
  <c r="I16" i="21"/>
  <c r="R26" i="21"/>
  <c r="Q32" i="21"/>
  <c r="N58" i="21"/>
  <c r="M64" i="21"/>
  <c r="N10" i="21"/>
  <c r="M16" i="21"/>
  <c r="N42" i="21"/>
  <c r="M48" i="21"/>
  <c r="N26" i="21"/>
  <c r="M32" i="21"/>
  <c r="R58" i="21"/>
  <c r="Q64" i="21"/>
  <c r="R42" i="21"/>
  <c r="Q48" i="21"/>
  <c r="V42" i="21"/>
  <c r="N74" i="21"/>
  <c r="M80" i="21"/>
  <c r="AI103" i="21"/>
  <c r="AE103" i="21"/>
  <c r="Y8" i="21"/>
  <c r="U8" i="21"/>
  <c r="Y152" i="21"/>
  <c r="G151" i="21"/>
  <c r="M112" i="21"/>
  <c r="E113" i="21"/>
  <c r="Q152" i="21"/>
  <c r="U112" i="21"/>
  <c r="I111" i="21"/>
  <c r="I152" i="21"/>
  <c r="H112" i="21"/>
  <c r="U152" i="21"/>
  <c r="Y44" i="21"/>
  <c r="Q112" i="21"/>
  <c r="M152" i="21"/>
  <c r="F153" i="21"/>
  <c r="I113" i="21"/>
  <c r="I112" i="21"/>
  <c r="E107" i="21"/>
  <c r="M157" i="21" l="1"/>
  <c r="CE147" i="47"/>
  <c r="CD148" i="47"/>
  <c r="CH143" i="21"/>
  <c r="CG144" i="21"/>
  <c r="W26" i="21"/>
  <c r="X26" i="21" s="1"/>
  <c r="CI140" i="47"/>
  <c r="CJ139" i="47"/>
  <c r="F104" i="21"/>
  <c r="F106" i="21" s="1"/>
  <c r="V40" i="21"/>
  <c r="V41" i="21"/>
  <c r="AA90" i="21"/>
  <c r="AA102" i="21" s="1"/>
  <c r="AD101" i="21"/>
  <c r="AE90" i="21"/>
  <c r="AE102" i="21" s="1"/>
  <c r="F159" i="21"/>
  <c r="J159" i="21"/>
  <c r="E159" i="21"/>
  <c r="G159" i="21"/>
  <c r="K159" i="21"/>
  <c r="H159" i="21"/>
  <c r="L159" i="21"/>
  <c r="I159" i="21"/>
  <c r="M159" i="21"/>
  <c r="Z100" i="21"/>
  <c r="Z101" i="21"/>
  <c r="Z99" i="21"/>
  <c r="AI90" i="21"/>
  <c r="AI102" i="21" s="1"/>
  <c r="AD99" i="21"/>
  <c r="AD100" i="21"/>
  <c r="V101" i="21"/>
  <c r="V99" i="21"/>
  <c r="V100" i="21"/>
  <c r="W90" i="21"/>
  <c r="W102" i="21" s="1"/>
  <c r="CN152" i="21"/>
  <c r="H158" i="21"/>
  <c r="V32" i="21"/>
  <c r="I124" i="21"/>
  <c r="I132" i="21"/>
  <c r="J132" i="21"/>
  <c r="I117" i="21"/>
  <c r="AA58" i="21"/>
  <c r="AB58" i="21" s="1"/>
  <c r="Z73" i="21"/>
  <c r="Z72" i="21"/>
  <c r="AD64" i="21"/>
  <c r="AD73" i="21"/>
  <c r="AD72" i="21"/>
  <c r="V64" i="21"/>
  <c r="V73" i="21"/>
  <c r="V72" i="21"/>
  <c r="AD24" i="21"/>
  <c r="AD25" i="21"/>
  <c r="Z25" i="21"/>
  <c r="Z24" i="21"/>
  <c r="Z40" i="21"/>
  <c r="Z41" i="21"/>
  <c r="AD41" i="21"/>
  <c r="AD40" i="21"/>
  <c r="R89" i="21"/>
  <c r="R88" i="21"/>
  <c r="V89" i="21"/>
  <c r="V88" i="21"/>
  <c r="AD57" i="21"/>
  <c r="AD56" i="21"/>
  <c r="S10" i="21"/>
  <c r="S22" i="21" s="1"/>
  <c r="R24" i="21"/>
  <c r="R25" i="21"/>
  <c r="R57" i="21"/>
  <c r="R56" i="21"/>
  <c r="R41" i="21"/>
  <c r="R40" i="21"/>
  <c r="Z89" i="21"/>
  <c r="Z88" i="21"/>
  <c r="V25" i="21"/>
  <c r="V24" i="21"/>
  <c r="AD89" i="21"/>
  <c r="AD88" i="21"/>
  <c r="Z56" i="21"/>
  <c r="Z57" i="21"/>
  <c r="V57" i="21"/>
  <c r="V56" i="21"/>
  <c r="R73" i="21"/>
  <c r="R72" i="21"/>
  <c r="CN44" i="21"/>
  <c r="AD32" i="21"/>
  <c r="T105" i="21"/>
  <c r="N95" i="21"/>
  <c r="N94" i="21"/>
  <c r="S90" i="21"/>
  <c r="S102" i="21" s="1"/>
  <c r="R95" i="21"/>
  <c r="I65" i="21"/>
  <c r="I81" i="21"/>
  <c r="R16" i="21"/>
  <c r="R99" i="21"/>
  <c r="R100" i="21"/>
  <c r="R101" i="21"/>
  <c r="AE26" i="21"/>
  <c r="AI26" i="21"/>
  <c r="AI58" i="21"/>
  <c r="AE58" i="21"/>
  <c r="Z64" i="21"/>
  <c r="R80" i="21"/>
  <c r="S74" i="21"/>
  <c r="Z32" i="21"/>
  <c r="W58" i="21"/>
  <c r="V80" i="21"/>
  <c r="AA26" i="21"/>
  <c r="W74" i="21"/>
  <c r="P105" i="21"/>
  <c r="Q105" i="21"/>
  <c r="M105" i="21"/>
  <c r="AA74" i="21"/>
  <c r="AD80" i="21"/>
  <c r="V16" i="21"/>
  <c r="W10" i="21"/>
  <c r="AD16" i="21"/>
  <c r="N48" i="21"/>
  <c r="AA10" i="21"/>
  <c r="V48" i="21"/>
  <c r="AA42" i="21"/>
  <c r="AD48" i="21"/>
  <c r="N8" i="21"/>
  <c r="R8" i="21"/>
  <c r="V8" i="21"/>
  <c r="AF90" i="21"/>
  <c r="AF102" i="21" s="1"/>
  <c r="Z48" i="21"/>
  <c r="AE74" i="21"/>
  <c r="AI74" i="21"/>
  <c r="AE10" i="21"/>
  <c r="Z80" i="21"/>
  <c r="AE42" i="21"/>
  <c r="AI42" i="21"/>
  <c r="AI10" i="21"/>
  <c r="Z16" i="21"/>
  <c r="W42" i="21"/>
  <c r="S58" i="21"/>
  <c r="R64" i="21"/>
  <c r="S42" i="21"/>
  <c r="R48" i="21"/>
  <c r="N32" i="21"/>
  <c r="N16" i="21"/>
  <c r="S26" i="21"/>
  <c r="R32" i="21"/>
  <c r="N64" i="21"/>
  <c r="N80" i="21"/>
  <c r="AF103" i="21"/>
  <c r="AN103" i="21"/>
  <c r="AJ103" i="21"/>
  <c r="AK103" i="21" s="1"/>
  <c r="AL103" i="21" s="1"/>
  <c r="AM103" i="21" s="1"/>
  <c r="Z8" i="21"/>
  <c r="AD8" i="21"/>
  <c r="V27" i="21"/>
  <c r="Y12" i="21"/>
  <c r="V45" i="21"/>
  <c r="V60" i="21"/>
  <c r="V61" i="21"/>
  <c r="AD44" i="21"/>
  <c r="V152" i="21"/>
  <c r="V13" i="21"/>
  <c r="V75" i="21"/>
  <c r="Y28" i="21"/>
  <c r="V77" i="21"/>
  <c r="V43" i="21"/>
  <c r="R152" i="21"/>
  <c r="N152" i="21"/>
  <c r="V29" i="21"/>
  <c r="Y76" i="21"/>
  <c r="V76" i="21"/>
  <c r="F107" i="21"/>
  <c r="Y112" i="21"/>
  <c r="V59" i="21"/>
  <c r="G153" i="21"/>
  <c r="V44" i="21"/>
  <c r="V12" i="21"/>
  <c r="Y60" i="21"/>
  <c r="V112" i="21"/>
  <c r="AD152" i="21"/>
  <c r="V11" i="21"/>
  <c r="H151" i="21"/>
  <c r="Z152" i="21"/>
  <c r="Z44" i="21"/>
  <c r="V28" i="21"/>
  <c r="N112" i="21"/>
  <c r="R112" i="21"/>
  <c r="W40" i="21" l="1"/>
  <c r="W41" i="21"/>
  <c r="W32" i="21"/>
  <c r="CF147" i="47"/>
  <c r="CE148" i="47"/>
  <c r="CI143" i="21"/>
  <c r="CH144" i="21"/>
  <c r="CJ140" i="47"/>
  <c r="CK139" i="47"/>
  <c r="G104" i="21"/>
  <c r="G106" i="21" s="1"/>
  <c r="S16" i="21"/>
  <c r="AA101" i="21"/>
  <c r="AI101" i="21"/>
  <c r="AI95" i="21"/>
  <c r="AI94" i="21"/>
  <c r="AN90" i="21"/>
  <c r="AN100" i="21" s="1"/>
  <c r="AJ90" i="21"/>
  <c r="AJ102" i="21" s="1"/>
  <c r="AI99" i="21"/>
  <c r="AB90" i="21"/>
  <c r="AB102" i="21" s="1"/>
  <c r="AA99" i="21"/>
  <c r="AI100" i="21"/>
  <c r="AA100" i="21"/>
  <c r="AE100" i="21"/>
  <c r="AA64" i="21"/>
  <c r="N157" i="21"/>
  <c r="O157" i="21" s="1"/>
  <c r="AE101" i="21"/>
  <c r="AE99" i="21"/>
  <c r="X90" i="21"/>
  <c r="X102" i="21" s="1"/>
  <c r="W101" i="21"/>
  <c r="W99" i="21"/>
  <c r="W100" i="21"/>
  <c r="S99" i="21"/>
  <c r="S100" i="21"/>
  <c r="S101" i="21"/>
  <c r="CN112" i="21"/>
  <c r="I118" i="21"/>
  <c r="I133" i="21" s="1"/>
  <c r="J117" i="21"/>
  <c r="X41" i="21"/>
  <c r="X40" i="21"/>
  <c r="S57" i="21"/>
  <c r="S56" i="21"/>
  <c r="AI56" i="21"/>
  <c r="AI57" i="21"/>
  <c r="AA24" i="21"/>
  <c r="AA25" i="21"/>
  <c r="W72" i="21"/>
  <c r="W73" i="21"/>
  <c r="AI88" i="21"/>
  <c r="AI89" i="21"/>
  <c r="AE57" i="21"/>
  <c r="AE56" i="21"/>
  <c r="AB73" i="21"/>
  <c r="AB72" i="21"/>
  <c r="S88" i="21"/>
  <c r="S89" i="21"/>
  <c r="AE24" i="21"/>
  <c r="AE25" i="21"/>
  <c r="AI70" i="21"/>
  <c r="AI72" i="21"/>
  <c r="AI73" i="21"/>
  <c r="S41" i="21"/>
  <c r="S40" i="21"/>
  <c r="AA56" i="21"/>
  <c r="AA57" i="21"/>
  <c r="AE41" i="21"/>
  <c r="AE40" i="21"/>
  <c r="AA89" i="21"/>
  <c r="AA88" i="21"/>
  <c r="W88" i="21"/>
  <c r="W89" i="21"/>
  <c r="S73" i="21"/>
  <c r="S72" i="21"/>
  <c r="W25" i="21"/>
  <c r="W24" i="21"/>
  <c r="AI38" i="21"/>
  <c r="AI41" i="21"/>
  <c r="AI40" i="21"/>
  <c r="AA32" i="21"/>
  <c r="AA40" i="21"/>
  <c r="AA41" i="21"/>
  <c r="AE88" i="21"/>
  <c r="AE89" i="21"/>
  <c r="AE73" i="21"/>
  <c r="AE72" i="21"/>
  <c r="W56" i="21"/>
  <c r="W57" i="21"/>
  <c r="AI25" i="21"/>
  <c r="AI24" i="21"/>
  <c r="S24" i="21"/>
  <c r="S25" i="21"/>
  <c r="AA73" i="21"/>
  <c r="AA72" i="21"/>
  <c r="CN76" i="21"/>
  <c r="CN60" i="21"/>
  <c r="CN28" i="21"/>
  <c r="CN12" i="21"/>
  <c r="J81" i="21"/>
  <c r="J65" i="21"/>
  <c r="K65" i="21" s="1"/>
  <c r="L65" i="21" s="1"/>
  <c r="M65" i="21" s="1"/>
  <c r="I105" i="21"/>
  <c r="Y105" i="21"/>
  <c r="CN105" i="21" s="1"/>
  <c r="AF94" i="21"/>
  <c r="AF95" i="21"/>
  <c r="S94" i="21"/>
  <c r="S95" i="21"/>
  <c r="AE64" i="21"/>
  <c r="AF58" i="21"/>
  <c r="AG58" i="21" s="1"/>
  <c r="AE32" i="21"/>
  <c r="W80" i="21"/>
  <c r="S80" i="21"/>
  <c r="AN26" i="21"/>
  <c r="AJ58" i="21"/>
  <c r="AN58" i="21"/>
  <c r="AI64" i="21"/>
  <c r="AI32" i="21"/>
  <c r="AF26" i="21"/>
  <c r="AJ26" i="21"/>
  <c r="AF100" i="21"/>
  <c r="AF99" i="21"/>
  <c r="AF101" i="21"/>
  <c r="AB100" i="21"/>
  <c r="AB26" i="21"/>
  <c r="S86" i="21"/>
  <c r="S38" i="21"/>
  <c r="AA16" i="21"/>
  <c r="W8" i="21"/>
  <c r="X10" i="21"/>
  <c r="X58" i="21"/>
  <c r="S70" i="21"/>
  <c r="X74" i="21"/>
  <c r="AJ74" i="21"/>
  <c r="AE80" i="21"/>
  <c r="W64" i="21"/>
  <c r="AB74" i="21"/>
  <c r="AA80" i="21"/>
  <c r="U105" i="21"/>
  <c r="W16" i="21"/>
  <c r="AB10" i="21"/>
  <c r="AB42" i="21"/>
  <c r="AA48" i="21"/>
  <c r="S48" i="21"/>
  <c r="S54" i="21"/>
  <c r="X32" i="21"/>
  <c r="AI16" i="21"/>
  <c r="AI22" i="21"/>
  <c r="AF10" i="21"/>
  <c r="AI80" i="21"/>
  <c r="AI86" i="21"/>
  <c r="AF74" i="21"/>
  <c r="W48" i="21"/>
  <c r="AF42" i="21"/>
  <c r="AI48" i="21"/>
  <c r="AI54" i="21"/>
  <c r="AN74" i="21"/>
  <c r="S8" i="21"/>
  <c r="AA8" i="21"/>
  <c r="AG90" i="21"/>
  <c r="AG102" i="21" s="1"/>
  <c r="AC90" i="21"/>
  <c r="AC102" i="21" s="1"/>
  <c r="AJ42" i="21"/>
  <c r="AE48" i="21"/>
  <c r="AN42" i="21"/>
  <c r="AE16" i="21"/>
  <c r="AJ10" i="21"/>
  <c r="X42" i="21"/>
  <c r="AN10" i="21"/>
  <c r="AG103" i="21"/>
  <c r="AH103" i="21" s="1"/>
  <c r="AC58" i="21"/>
  <c r="AB64" i="21"/>
  <c r="S32" i="21"/>
  <c r="S64" i="21"/>
  <c r="AO103" i="21"/>
  <c r="AP103" i="21" s="1"/>
  <c r="AQ103" i="21" s="1"/>
  <c r="AR103" i="21" s="1"/>
  <c r="AS103" i="21"/>
  <c r="AI8" i="21"/>
  <c r="AE8" i="21"/>
  <c r="Z112" i="21"/>
  <c r="AD60" i="21"/>
  <c r="AD12" i="21"/>
  <c r="W152" i="21"/>
  <c r="Z76" i="21"/>
  <c r="AA152" i="21"/>
  <c r="AI12" i="21"/>
  <c r="Z60" i="21"/>
  <c r="S112" i="21"/>
  <c r="AD76" i="21"/>
  <c r="AA12" i="21"/>
  <c r="AD28" i="21"/>
  <c r="AI28" i="21"/>
  <c r="AI60" i="21"/>
  <c r="W44" i="21"/>
  <c r="AE60" i="21"/>
  <c r="AA44" i="21"/>
  <c r="AA76" i="21"/>
  <c r="W60" i="21"/>
  <c r="W12" i="21"/>
  <c r="I151" i="21"/>
  <c r="Z28" i="21"/>
  <c r="AE44" i="21"/>
  <c r="W28" i="21"/>
  <c r="W112" i="21"/>
  <c r="AI44" i="21"/>
  <c r="AE152" i="21"/>
  <c r="W76" i="21"/>
  <c r="AI152" i="21"/>
  <c r="H153" i="21"/>
  <c r="AI76" i="21"/>
  <c r="G107" i="21"/>
  <c r="Z12" i="21"/>
  <c r="S152" i="21"/>
  <c r="CG147" i="47" l="1"/>
  <c r="CF148" i="47"/>
  <c r="CJ143" i="21"/>
  <c r="CI144" i="21"/>
  <c r="CK140" i="47"/>
  <c r="CL139" i="47"/>
  <c r="CL140" i="47" s="1"/>
  <c r="H104" i="21"/>
  <c r="H106" i="21" s="1"/>
  <c r="AJ101" i="21"/>
  <c r="AJ95" i="21"/>
  <c r="AJ100" i="21"/>
  <c r="AK90" i="21"/>
  <c r="AK102" i="21" s="1"/>
  <c r="AJ99" i="21"/>
  <c r="AN102" i="21"/>
  <c r="CO102" i="21" s="1"/>
  <c r="AB101" i="21"/>
  <c r="AN101" i="21"/>
  <c r="CO101" i="21" s="1"/>
  <c r="AJ94" i="21"/>
  <c r="AS90" i="21"/>
  <c r="AS102" i="21" s="1"/>
  <c r="AO90" i="21"/>
  <c r="AO102" i="21" s="1"/>
  <c r="AN99" i="21"/>
  <c r="CP99" i="21" s="1"/>
  <c r="AB99" i="21"/>
  <c r="X99" i="21"/>
  <c r="X100" i="21"/>
  <c r="X101" i="21"/>
  <c r="N159" i="21"/>
  <c r="P157" i="21"/>
  <c r="O159" i="21"/>
  <c r="N65" i="21"/>
  <c r="O65" i="21" s="1"/>
  <c r="P65" i="21" s="1"/>
  <c r="J133" i="21"/>
  <c r="I134" i="21"/>
  <c r="K117" i="21"/>
  <c r="J118" i="21"/>
  <c r="AF64" i="21"/>
  <c r="X64" i="21"/>
  <c r="X72" i="21"/>
  <c r="X73" i="21"/>
  <c r="AF70" i="21"/>
  <c r="AF73" i="21"/>
  <c r="AF72" i="21"/>
  <c r="AJ32" i="21"/>
  <c r="AJ41" i="21"/>
  <c r="AJ40" i="21"/>
  <c r="X16" i="21"/>
  <c r="X25" i="21"/>
  <c r="X24" i="21"/>
  <c r="AF32" i="21"/>
  <c r="AF41" i="21"/>
  <c r="AF40" i="21"/>
  <c r="AF57" i="21"/>
  <c r="AF56" i="21"/>
  <c r="AC73" i="21"/>
  <c r="AC72" i="21"/>
  <c r="AJ56" i="21"/>
  <c r="AJ57" i="21"/>
  <c r="AB89" i="21"/>
  <c r="AB88" i="21"/>
  <c r="AS58" i="21"/>
  <c r="AT58" i="21" s="1"/>
  <c r="AN73" i="21"/>
  <c r="AN72" i="21"/>
  <c r="AN57" i="21"/>
  <c r="AN56" i="21"/>
  <c r="AG72" i="21"/>
  <c r="AG73" i="21"/>
  <c r="AC42" i="21"/>
  <c r="AC48" i="21" s="1"/>
  <c r="AB57" i="21"/>
  <c r="AB56" i="21"/>
  <c r="AF88" i="21"/>
  <c r="AF89" i="21"/>
  <c r="AB24" i="21"/>
  <c r="AB25" i="21"/>
  <c r="AN40" i="21"/>
  <c r="AN41" i="21"/>
  <c r="AJ25" i="21"/>
  <c r="AJ24" i="21"/>
  <c r="AJ89" i="21"/>
  <c r="AJ88" i="21"/>
  <c r="AN24" i="21"/>
  <c r="AN25" i="21"/>
  <c r="X89" i="21"/>
  <c r="X88" i="21"/>
  <c r="AB40" i="21"/>
  <c r="AB41" i="21"/>
  <c r="AJ70" i="21"/>
  <c r="AJ72" i="21"/>
  <c r="AJ73" i="21"/>
  <c r="X56" i="21"/>
  <c r="X57" i="21"/>
  <c r="AN89" i="21"/>
  <c r="AN88" i="21"/>
  <c r="AF25" i="21"/>
  <c r="AF24" i="21"/>
  <c r="K81" i="21"/>
  <c r="CP100" i="21"/>
  <c r="CO100" i="21"/>
  <c r="AC26" i="21"/>
  <c r="AC32" i="21" s="1"/>
  <c r="N105" i="21"/>
  <c r="AC95" i="21"/>
  <c r="AC94" i="21"/>
  <c r="AG94" i="21"/>
  <c r="AG95" i="21"/>
  <c r="AS94" i="21"/>
  <c r="AO95" i="21"/>
  <c r="AO94" i="21"/>
  <c r="AO26" i="21"/>
  <c r="AP26" i="21" s="1"/>
  <c r="AS26" i="21"/>
  <c r="AS32" i="21" s="1"/>
  <c r="AN64" i="21"/>
  <c r="X8" i="21"/>
  <c r="AN32" i="21"/>
  <c r="X80" i="21"/>
  <c r="AB80" i="21"/>
  <c r="AJ80" i="21"/>
  <c r="AB32" i="21"/>
  <c r="AF38" i="21"/>
  <c r="AO58" i="21"/>
  <c r="AO64" i="21" s="1"/>
  <c r="AJ64" i="21"/>
  <c r="AK58" i="21"/>
  <c r="AC74" i="21"/>
  <c r="AJ38" i="21"/>
  <c r="AG26" i="21"/>
  <c r="AG38" i="21" s="1"/>
  <c r="AK26" i="21"/>
  <c r="AL26" i="21" s="1"/>
  <c r="AO101" i="21"/>
  <c r="AO100" i="21"/>
  <c r="AO99" i="21"/>
  <c r="AC101" i="21"/>
  <c r="AC100" i="21"/>
  <c r="AC99" i="21"/>
  <c r="AK74" i="21"/>
  <c r="AK101" i="21"/>
  <c r="AK100" i="21"/>
  <c r="AK99" i="21"/>
  <c r="AS100" i="21"/>
  <c r="AS101" i="21"/>
  <c r="AG100" i="21"/>
  <c r="AG99" i="21"/>
  <c r="AG101" i="21"/>
  <c r="AF22" i="21"/>
  <c r="AF54" i="21"/>
  <c r="AS10" i="21"/>
  <c r="AX10" i="21" s="1"/>
  <c r="AC70" i="21"/>
  <c r="AO74" i="21"/>
  <c r="AG70" i="21"/>
  <c r="AJ86" i="21"/>
  <c r="AF86" i="21"/>
  <c r="AS74" i="21"/>
  <c r="R105" i="21"/>
  <c r="Z105" i="21"/>
  <c r="V105" i="21"/>
  <c r="W105" i="21"/>
  <c r="AD105" i="21"/>
  <c r="AB16" i="21"/>
  <c r="AC10" i="21"/>
  <c r="AG42" i="21"/>
  <c r="AF80" i="21"/>
  <c r="AG74" i="21"/>
  <c r="AI105" i="21"/>
  <c r="S105" i="21"/>
  <c r="AB48" i="21"/>
  <c r="AF48" i="21"/>
  <c r="AF16" i="21"/>
  <c r="AG10" i="21"/>
  <c r="X48" i="21"/>
  <c r="AJ16" i="21"/>
  <c r="AJ22" i="21"/>
  <c r="AN16" i="21"/>
  <c r="AN48" i="21"/>
  <c r="AN80" i="21"/>
  <c r="AJ48" i="21"/>
  <c r="AJ54" i="21"/>
  <c r="AB8" i="21"/>
  <c r="J82" i="21"/>
  <c r="AF8" i="21"/>
  <c r="J66" i="21"/>
  <c r="AO10" i="21"/>
  <c r="AL90" i="21"/>
  <c r="AL102" i="21" s="1"/>
  <c r="AP90" i="21"/>
  <c r="AP102" i="21" s="1"/>
  <c r="AH90" i="21"/>
  <c r="AH102" i="21" s="1"/>
  <c r="AK42" i="21"/>
  <c r="AS42" i="21"/>
  <c r="AO42" i="21"/>
  <c r="AK10" i="21"/>
  <c r="AX90" i="21"/>
  <c r="AX102" i="21" s="1"/>
  <c r="AT90" i="21"/>
  <c r="AT102" i="21" s="1"/>
  <c r="AC64" i="21"/>
  <c r="AH58" i="21"/>
  <c r="AG64" i="21"/>
  <c r="AX103" i="21"/>
  <c r="AT103" i="21"/>
  <c r="AU103" i="21" s="1"/>
  <c r="AV103" i="21" s="1"/>
  <c r="AW103" i="21" s="1"/>
  <c r="AJ8" i="21"/>
  <c r="AN8" i="21"/>
  <c r="X28" i="21"/>
  <c r="AN76" i="21"/>
  <c r="AE28" i="21"/>
  <c r="AN60" i="21"/>
  <c r="AJ152" i="21"/>
  <c r="AN28" i="21"/>
  <c r="AN152" i="21"/>
  <c r="AF60" i="21"/>
  <c r="I153" i="21"/>
  <c r="AJ44" i="21"/>
  <c r="AF152" i="21"/>
  <c r="AA28" i="21"/>
  <c r="X152" i="21"/>
  <c r="H107" i="21"/>
  <c r="AB44" i="21"/>
  <c r="X60" i="21"/>
  <c r="AF76" i="21"/>
  <c r="X12" i="21"/>
  <c r="AJ60" i="21"/>
  <c r="AF28" i="21"/>
  <c r="X76" i="21"/>
  <c r="AE12" i="21"/>
  <c r="AF12" i="21"/>
  <c r="X112" i="21"/>
  <c r="AN44" i="21"/>
  <c r="X44" i="21"/>
  <c r="AN12" i="21"/>
  <c r="AF44" i="21"/>
  <c r="AA112" i="21"/>
  <c r="AE76" i="21"/>
  <c r="AB152" i="21"/>
  <c r="AA60" i="21"/>
  <c r="CH147" i="47" l="1"/>
  <c r="CG148" i="47"/>
  <c r="CK143" i="21"/>
  <c r="CJ144" i="21"/>
  <c r="I40" i="21"/>
  <c r="I164" i="21"/>
  <c r="I56" i="21"/>
  <c r="I104" i="21"/>
  <c r="CP101" i="21"/>
  <c r="CP102" i="21"/>
  <c r="CO99" i="21"/>
  <c r="AA105" i="21"/>
  <c r="AS99" i="21"/>
  <c r="AS95" i="21"/>
  <c r="Q157" i="21"/>
  <c r="P159" i="21"/>
  <c r="AC54" i="21"/>
  <c r="CP152" i="21"/>
  <c r="CO152" i="21"/>
  <c r="AX58" i="21"/>
  <c r="BC58" i="21" s="1"/>
  <c r="AC38" i="21"/>
  <c r="Q65" i="21"/>
  <c r="R65" i="21" s="1"/>
  <c r="I135" i="21"/>
  <c r="AO32" i="21"/>
  <c r="AS64" i="21"/>
  <c r="J134" i="21"/>
  <c r="AX26" i="21"/>
  <c r="AX32" i="21" s="1"/>
  <c r="L117" i="21"/>
  <c r="K118" i="21"/>
  <c r="AG88" i="21"/>
  <c r="AG89" i="21"/>
  <c r="CP88" i="21"/>
  <c r="CO88" i="21"/>
  <c r="CP25" i="21"/>
  <c r="CO25" i="21"/>
  <c r="AG25" i="21"/>
  <c r="AG24" i="21"/>
  <c r="AK40" i="21"/>
  <c r="AK41" i="21"/>
  <c r="CP89" i="21"/>
  <c r="CO89" i="21"/>
  <c r="CP24" i="21"/>
  <c r="CO24" i="21"/>
  <c r="AH72" i="21"/>
  <c r="AH73" i="21"/>
  <c r="AG57" i="21"/>
  <c r="AG56" i="21"/>
  <c r="AG32" i="21"/>
  <c r="AG41" i="21"/>
  <c r="AG40" i="21"/>
  <c r="AC24" i="21"/>
  <c r="AC25" i="21"/>
  <c r="AC40" i="21"/>
  <c r="AC41" i="21"/>
  <c r="AC57" i="21"/>
  <c r="AC56" i="21"/>
  <c r="AC89" i="21"/>
  <c r="AC88" i="21"/>
  <c r="AK72" i="21"/>
  <c r="AK73" i="21"/>
  <c r="AL40" i="21"/>
  <c r="AL41" i="21"/>
  <c r="AK89" i="21"/>
  <c r="AK88" i="21"/>
  <c r="CP41" i="21"/>
  <c r="CO41" i="21"/>
  <c r="CP56" i="21"/>
  <c r="CO56" i="21"/>
  <c r="CP40" i="21"/>
  <c r="CO40" i="21"/>
  <c r="CO57" i="21"/>
  <c r="CP57" i="21"/>
  <c r="AK56" i="21"/>
  <c r="AK57" i="21"/>
  <c r="CO72" i="21"/>
  <c r="CP72" i="21"/>
  <c r="AK25" i="21"/>
  <c r="AK24" i="21"/>
  <c r="CP73" i="21"/>
  <c r="CO73" i="21"/>
  <c r="L81" i="21"/>
  <c r="CO16" i="21"/>
  <c r="CO64" i="21"/>
  <c r="CP64" i="21"/>
  <c r="CO80" i="21"/>
  <c r="CO32" i="21"/>
  <c r="CO48" i="21"/>
  <c r="CP76" i="21"/>
  <c r="CO76" i="21"/>
  <c r="CP60" i="21"/>
  <c r="CO60" i="21"/>
  <c r="CP44" i="21"/>
  <c r="CO44" i="21"/>
  <c r="CP28" i="21"/>
  <c r="CO28" i="21"/>
  <c r="CO12" i="21"/>
  <c r="CP12" i="21"/>
  <c r="AH26" i="21"/>
  <c r="AH32" i="21" s="1"/>
  <c r="AT26" i="21"/>
  <c r="AT32" i="21" s="1"/>
  <c r="AK32" i="21"/>
  <c r="AH94" i="21"/>
  <c r="AH95" i="21"/>
  <c r="AP95" i="21"/>
  <c r="AP94" i="21"/>
  <c r="AP58" i="21"/>
  <c r="AQ58" i="21" s="1"/>
  <c r="AX95" i="21"/>
  <c r="AX94" i="21"/>
  <c r="AL95" i="21"/>
  <c r="AL94" i="21"/>
  <c r="AT94" i="21"/>
  <c r="AT95" i="21"/>
  <c r="X105" i="21"/>
  <c r="AX74" i="21"/>
  <c r="AP74" i="21"/>
  <c r="AQ74" i="21" s="1"/>
  <c r="AC80" i="21"/>
  <c r="AL74" i="21"/>
  <c r="AK64" i="21"/>
  <c r="AL58" i="21"/>
  <c r="AC86" i="21"/>
  <c r="AK80" i="21"/>
  <c r="AT100" i="21"/>
  <c r="AT99" i="21"/>
  <c r="AT101" i="21"/>
  <c r="AH100" i="21"/>
  <c r="AH99" i="21"/>
  <c r="AH101" i="21"/>
  <c r="AX101" i="21"/>
  <c r="AX99" i="21"/>
  <c r="AX100" i="21"/>
  <c r="AP99" i="21"/>
  <c r="AP100" i="21"/>
  <c r="AP101" i="21"/>
  <c r="AL101" i="21"/>
  <c r="AL100" i="21"/>
  <c r="AL99" i="21"/>
  <c r="AT10" i="21"/>
  <c r="AT16" i="21" s="1"/>
  <c r="AG8" i="21"/>
  <c r="AG54" i="21"/>
  <c r="AS16" i="21"/>
  <c r="AO48" i="21"/>
  <c r="AC22" i="21"/>
  <c r="AX16" i="21"/>
  <c r="AS48" i="21"/>
  <c r="AP10" i="21"/>
  <c r="AQ10" i="21" s="1"/>
  <c r="AG22" i="21"/>
  <c r="AL38" i="21"/>
  <c r="AG86" i="21"/>
  <c r="AX64" i="21"/>
  <c r="AH70" i="21"/>
  <c r="AT74" i="21"/>
  <c r="AS80" i="21"/>
  <c r="AO80" i="21"/>
  <c r="AC16" i="21"/>
  <c r="AG80" i="21"/>
  <c r="AH74" i="21"/>
  <c r="AE105" i="21"/>
  <c r="AG48" i="21"/>
  <c r="AH42" i="21"/>
  <c r="AN105" i="21"/>
  <c r="K82" i="21"/>
  <c r="AG16" i="21"/>
  <c r="AH10" i="21"/>
  <c r="AP42" i="21"/>
  <c r="AL42" i="21"/>
  <c r="AT42" i="21"/>
  <c r="AT48" i="21" s="1"/>
  <c r="AX42" i="21"/>
  <c r="AK48" i="21"/>
  <c r="AL10" i="21"/>
  <c r="K66" i="21"/>
  <c r="AO16" i="21"/>
  <c r="AC8" i="21"/>
  <c r="AQ90" i="21"/>
  <c r="AQ102" i="21" s="1"/>
  <c r="AU90" i="21"/>
  <c r="AU102" i="21" s="1"/>
  <c r="AM90" i="21"/>
  <c r="AK16" i="21"/>
  <c r="AY90" i="21"/>
  <c r="AY102" i="21" s="1"/>
  <c r="BC90" i="21"/>
  <c r="BC102" i="21" s="1"/>
  <c r="AU58" i="21"/>
  <c r="AT64" i="21"/>
  <c r="AM26" i="21"/>
  <c r="AL32" i="21"/>
  <c r="AH64" i="21"/>
  <c r="AQ26" i="21"/>
  <c r="AP32" i="21"/>
  <c r="AK8" i="21"/>
  <c r="BC103" i="21"/>
  <c r="AY103" i="21"/>
  <c r="AZ103" i="21" s="1"/>
  <c r="BA103" i="21" s="1"/>
  <c r="BB103" i="21" s="1"/>
  <c r="AY10" i="21"/>
  <c r="BC10" i="21"/>
  <c r="AS8" i="21"/>
  <c r="AO8" i="21"/>
  <c r="AG152" i="21"/>
  <c r="AJ76" i="21"/>
  <c r="AB76" i="21"/>
  <c r="AO152" i="21"/>
  <c r="AB28" i="21"/>
  <c r="AK152" i="21"/>
  <c r="AK28" i="21"/>
  <c r="AC28" i="21"/>
  <c r="AC76" i="21"/>
  <c r="AG12" i="21"/>
  <c r="AG28" i="21"/>
  <c r="AB60" i="21"/>
  <c r="AC60" i="21"/>
  <c r="AS152" i="21"/>
  <c r="AG60" i="21"/>
  <c r="AJ12" i="21"/>
  <c r="I107" i="21"/>
  <c r="AB112" i="21"/>
  <c r="AB12" i="21"/>
  <c r="AJ28" i="21"/>
  <c r="AG44" i="21"/>
  <c r="AC12" i="21"/>
  <c r="AC152" i="21"/>
  <c r="AG76" i="21"/>
  <c r="CI147" i="47" l="1"/>
  <c r="CH148" i="47"/>
  <c r="CK144" i="21"/>
  <c r="CL143" i="21"/>
  <c r="CL144" i="21" s="1"/>
  <c r="M81" i="21"/>
  <c r="I24" i="21"/>
  <c r="I72" i="21"/>
  <c r="I88" i="21"/>
  <c r="I138" i="21"/>
  <c r="I106" i="21"/>
  <c r="AY58" i="21"/>
  <c r="AY64" i="21" s="1"/>
  <c r="R157" i="21"/>
  <c r="Q159" i="21"/>
  <c r="AM102" i="21"/>
  <c r="BC26" i="21"/>
  <c r="BC32" i="21" s="1"/>
  <c r="AY26" i="21"/>
  <c r="AY32" i="21" s="1"/>
  <c r="I136" i="21"/>
  <c r="J135" i="21"/>
  <c r="AU26" i="21"/>
  <c r="AV26" i="21" s="1"/>
  <c r="AH8" i="21"/>
  <c r="M117" i="21"/>
  <c r="L118" i="21"/>
  <c r="AP80" i="21"/>
  <c r="AM40" i="21"/>
  <c r="AM41" i="21"/>
  <c r="AL25" i="21"/>
  <c r="AL24" i="21"/>
  <c r="AH38" i="21"/>
  <c r="AH41" i="21"/>
  <c r="AH40" i="21"/>
  <c r="AH48" i="21"/>
  <c r="AH57" i="21"/>
  <c r="AH56" i="21"/>
  <c r="AH88" i="21"/>
  <c r="AH89" i="21"/>
  <c r="AL56" i="21"/>
  <c r="AL57" i="21"/>
  <c r="AL70" i="21"/>
  <c r="AL73" i="21"/>
  <c r="AL72" i="21"/>
  <c r="AH25" i="21"/>
  <c r="AH24" i="21"/>
  <c r="AL86" i="21"/>
  <c r="AL88" i="21"/>
  <c r="AL89" i="21"/>
  <c r="O81" i="21"/>
  <c r="L82" i="21"/>
  <c r="CP105" i="21"/>
  <c r="CO105" i="21"/>
  <c r="S65" i="21"/>
  <c r="AB105" i="21"/>
  <c r="AJ105" i="21"/>
  <c r="AP64" i="21"/>
  <c r="AY95" i="21"/>
  <c r="AY94" i="21"/>
  <c r="AM95" i="21"/>
  <c r="AM94" i="21"/>
  <c r="BC95" i="21"/>
  <c r="BC94" i="21"/>
  <c r="AU94" i="21"/>
  <c r="AU95" i="21"/>
  <c r="AQ95" i="21"/>
  <c r="AQ94" i="21"/>
  <c r="AL80" i="21"/>
  <c r="AM74" i="21"/>
  <c r="AT80" i="21"/>
  <c r="BC74" i="21"/>
  <c r="BD74" i="21" s="1"/>
  <c r="AX80" i="21"/>
  <c r="AY74" i="21"/>
  <c r="AZ74" i="21" s="1"/>
  <c r="AU74" i="21"/>
  <c r="AM58" i="21"/>
  <c r="AL64" i="21"/>
  <c r="AU10" i="21"/>
  <c r="AU16" i="21" s="1"/>
  <c r="AQ100" i="21"/>
  <c r="AQ99" i="21"/>
  <c r="AQ101" i="21"/>
  <c r="AM101" i="21"/>
  <c r="AM100" i="21"/>
  <c r="AM99" i="21"/>
  <c r="AY101" i="21"/>
  <c r="AY100" i="21"/>
  <c r="AY99" i="21"/>
  <c r="AU100" i="21"/>
  <c r="AU99" i="21"/>
  <c r="AU101" i="21"/>
  <c r="BC100" i="21"/>
  <c r="BC99" i="21"/>
  <c r="BC101" i="21"/>
  <c r="AP16" i="21"/>
  <c r="AH54" i="21"/>
  <c r="AL22" i="21"/>
  <c r="AX48" i="21"/>
  <c r="BC16" i="21"/>
  <c r="AU42" i="21"/>
  <c r="AU48" i="21" s="1"/>
  <c r="AL54" i="21"/>
  <c r="AQ42" i="21"/>
  <c r="AR42" i="21" s="1"/>
  <c r="AH22" i="21"/>
  <c r="AH86" i="21"/>
  <c r="BC64" i="21"/>
  <c r="AH16" i="21"/>
  <c r="AH80" i="21"/>
  <c r="AG105" i="21"/>
  <c r="AF105" i="21"/>
  <c r="AP48" i="21"/>
  <c r="BC42" i="21"/>
  <c r="AY42" i="21"/>
  <c r="M82" i="21"/>
  <c r="AM10" i="21"/>
  <c r="AL48" i="21"/>
  <c r="AM42" i="21"/>
  <c r="AL16" i="21"/>
  <c r="AM38" i="21"/>
  <c r="L66" i="21"/>
  <c r="AZ90" i="21"/>
  <c r="AZ102" i="21" s="1"/>
  <c r="AV90" i="21"/>
  <c r="AV102" i="21" s="1"/>
  <c r="AR90" i="21"/>
  <c r="AR102" i="21" s="1"/>
  <c r="BH90" i="21"/>
  <c r="BH102" i="21" s="1"/>
  <c r="BD90" i="21"/>
  <c r="BD102" i="21" s="1"/>
  <c r="AR74" i="21"/>
  <c r="AQ80" i="21"/>
  <c r="AM32" i="21"/>
  <c r="AZ10" i="21"/>
  <c r="AY16" i="21"/>
  <c r="AR26" i="21"/>
  <c r="AQ32" i="21"/>
  <c r="AR10" i="21"/>
  <c r="AQ16" i="21"/>
  <c r="AL8" i="21"/>
  <c r="AR58" i="21"/>
  <c r="AQ64" i="21"/>
  <c r="AV58" i="21"/>
  <c r="AU64" i="21"/>
  <c r="AZ58" i="21"/>
  <c r="AP8" i="21"/>
  <c r="BD103" i="21"/>
  <c r="BE103" i="21" s="1"/>
  <c r="BF103" i="21" s="1"/>
  <c r="BG103" i="21" s="1"/>
  <c r="BH103" i="21"/>
  <c r="BH58" i="21"/>
  <c r="BD58" i="21"/>
  <c r="BH10" i="21"/>
  <c r="BD10" i="21"/>
  <c r="AT8" i="21"/>
  <c r="AX8" i="21"/>
  <c r="AL44" i="21"/>
  <c r="AP12" i="21"/>
  <c r="AH28" i="21"/>
  <c r="AK44" i="21"/>
  <c r="AS60" i="21"/>
  <c r="AH76" i="21"/>
  <c r="AH60" i="21"/>
  <c r="AO28" i="21"/>
  <c r="AL28" i="21"/>
  <c r="AS28" i="21"/>
  <c r="AK60" i="21"/>
  <c r="AO76" i="21"/>
  <c r="AL76" i="21"/>
  <c r="AH152" i="21"/>
  <c r="AP152" i="21"/>
  <c r="AL12" i="21"/>
  <c r="AT152" i="21"/>
  <c r="AP44" i="21"/>
  <c r="AO60" i="21"/>
  <c r="AC112" i="21"/>
  <c r="AH44" i="21"/>
  <c r="AS12" i="21"/>
  <c r="AO12" i="21"/>
  <c r="AK12" i="21"/>
  <c r="AK76" i="21"/>
  <c r="AS76" i="21"/>
  <c r="AS44" i="21"/>
  <c r="AL60" i="21"/>
  <c r="AP28" i="21"/>
  <c r="AX76" i="21"/>
  <c r="AO44" i="21"/>
  <c r="AT76" i="21"/>
  <c r="AC44" i="21"/>
  <c r="AL152" i="21"/>
  <c r="AH12" i="21"/>
  <c r="BD26" i="21" l="1"/>
  <c r="BH26" i="21"/>
  <c r="CJ147" i="47"/>
  <c r="CI148" i="47"/>
  <c r="N81" i="21"/>
  <c r="N82" i="21" s="1"/>
  <c r="J119" i="21"/>
  <c r="E119" i="21"/>
  <c r="I119" i="21"/>
  <c r="G119" i="21"/>
  <c r="K119" i="21"/>
  <c r="H119" i="21"/>
  <c r="F119" i="21"/>
  <c r="L119" i="21"/>
  <c r="AZ26" i="21"/>
  <c r="AZ32" i="21" s="1"/>
  <c r="S157" i="21"/>
  <c r="R159" i="21"/>
  <c r="J136" i="21"/>
  <c r="AU32" i="21"/>
  <c r="N117" i="21"/>
  <c r="M118" i="21"/>
  <c r="M119" i="21"/>
  <c r="AM24" i="21"/>
  <c r="AM25" i="21"/>
  <c r="AM70" i="21"/>
  <c r="AM72" i="21"/>
  <c r="AM73" i="21"/>
  <c r="AM56" i="21"/>
  <c r="AM57" i="21"/>
  <c r="AM86" i="21"/>
  <c r="AM89" i="21"/>
  <c r="AM88" i="21"/>
  <c r="P81" i="21"/>
  <c r="AM80" i="21"/>
  <c r="T65" i="21"/>
  <c r="AK105" i="21"/>
  <c r="AS105" i="21"/>
  <c r="AZ95" i="21"/>
  <c r="AZ94" i="21"/>
  <c r="AR94" i="21"/>
  <c r="AR95" i="21"/>
  <c r="AV94" i="21"/>
  <c r="AV95" i="21"/>
  <c r="BH74" i="21"/>
  <c r="BM74" i="21" s="1"/>
  <c r="BD94" i="21"/>
  <c r="BD95" i="21"/>
  <c r="BH94" i="21"/>
  <c r="BH95" i="21"/>
  <c r="AV42" i="21"/>
  <c r="AV48" i="21" s="1"/>
  <c r="BC80" i="21"/>
  <c r="AU80" i="21"/>
  <c r="AV74" i="21"/>
  <c r="AV80" i="21" s="1"/>
  <c r="AY80" i="21"/>
  <c r="AV10" i="21"/>
  <c r="AV16" i="21" s="1"/>
  <c r="AM64" i="21"/>
  <c r="AR100" i="21"/>
  <c r="AR99" i="21"/>
  <c r="AR101" i="21"/>
  <c r="AV101" i="21"/>
  <c r="AV99" i="21"/>
  <c r="AV100" i="21"/>
  <c r="BD100" i="21"/>
  <c r="BD99" i="21"/>
  <c r="BD101" i="21"/>
  <c r="BH101" i="21"/>
  <c r="BH100" i="21"/>
  <c r="BH99" i="21"/>
  <c r="AZ101" i="21"/>
  <c r="AZ100" i="21"/>
  <c r="AZ99" i="21"/>
  <c r="AQ48" i="21"/>
  <c r="BH16" i="21"/>
  <c r="AM54" i="21"/>
  <c r="AM22" i="21"/>
  <c r="BC48" i="21"/>
  <c r="BH32" i="21"/>
  <c r="AR32" i="21"/>
  <c r="AR48" i="21"/>
  <c r="AR16" i="21"/>
  <c r="AY48" i="21"/>
  <c r="AZ42" i="21"/>
  <c r="AZ48" i="21" s="1"/>
  <c r="BH64" i="21"/>
  <c r="AR80" i="21"/>
  <c r="AR64" i="21"/>
  <c r="AH105" i="21"/>
  <c r="AC105" i="21"/>
  <c r="AO105" i="21"/>
  <c r="BD42" i="21"/>
  <c r="BE42" i="21" s="1"/>
  <c r="BH42" i="21"/>
  <c r="AM16" i="21"/>
  <c r="AM48" i="21"/>
  <c r="M66" i="21"/>
  <c r="AW90" i="21"/>
  <c r="AW102" i="21" s="1"/>
  <c r="BE90" i="21"/>
  <c r="BE102" i="21" s="1"/>
  <c r="BA90" i="21"/>
  <c r="BA102" i="21" s="1"/>
  <c r="BM90" i="21"/>
  <c r="BM102" i="21" s="1"/>
  <c r="BI90" i="21"/>
  <c r="BI102" i="21" s="1"/>
  <c r="BE26" i="21"/>
  <c r="BD32" i="21"/>
  <c r="BA74" i="21"/>
  <c r="AZ80" i="21"/>
  <c r="AM8" i="21"/>
  <c r="BE58" i="21"/>
  <c r="BD64" i="21"/>
  <c r="AW58" i="21"/>
  <c r="AV64" i="21"/>
  <c r="BA10" i="21"/>
  <c r="AZ16" i="21"/>
  <c r="BE74" i="21"/>
  <c r="BD80" i="21"/>
  <c r="AQ8" i="21"/>
  <c r="BA58" i="21"/>
  <c r="AZ64" i="21"/>
  <c r="AU8" i="21"/>
  <c r="BE10" i="21"/>
  <c r="BD16" i="21"/>
  <c r="AW26" i="21"/>
  <c r="AV32" i="21"/>
  <c r="BM103" i="21"/>
  <c r="BI103" i="21"/>
  <c r="BJ103" i="21" s="1"/>
  <c r="BK103" i="21" s="1"/>
  <c r="BL103" i="21" s="1"/>
  <c r="BM58" i="21"/>
  <c r="BI58" i="21"/>
  <c r="BM26" i="21"/>
  <c r="BI26" i="21"/>
  <c r="BM10" i="21"/>
  <c r="BI10" i="21"/>
  <c r="AY8" i="21"/>
  <c r="BC8" i="21"/>
  <c r="AY60" i="21"/>
  <c r="AU44" i="21"/>
  <c r="AP60" i="21"/>
  <c r="AY76" i="21"/>
  <c r="AY152" i="21"/>
  <c r="BC44" i="21"/>
  <c r="AU152" i="21"/>
  <c r="AU28" i="21"/>
  <c r="AX152" i="21"/>
  <c r="AX28" i="21"/>
  <c r="BC12" i="21"/>
  <c r="AU12" i="21"/>
  <c r="AX44" i="21"/>
  <c r="AY28" i="21"/>
  <c r="BC152" i="21"/>
  <c r="AT12" i="21"/>
  <c r="AM152" i="21"/>
  <c r="AQ152" i="21"/>
  <c r="AX12" i="21"/>
  <c r="AT28" i="21"/>
  <c r="AY12" i="21"/>
  <c r="AT44" i="21"/>
  <c r="AU76" i="21"/>
  <c r="AP76" i="21"/>
  <c r="AM44" i="21"/>
  <c r="BC60" i="21"/>
  <c r="AX60" i="21"/>
  <c r="AU60" i="21"/>
  <c r="BC76" i="21"/>
  <c r="BC28" i="21"/>
  <c r="AM60" i="21"/>
  <c r="AM28" i="21"/>
  <c r="AT60" i="21"/>
  <c r="AD112" i="21"/>
  <c r="BA26" i="21" l="1"/>
  <c r="CK147" i="47"/>
  <c r="CJ148" i="47"/>
  <c r="T157" i="21"/>
  <c r="S159" i="21"/>
  <c r="O117" i="21"/>
  <c r="N118" i="21"/>
  <c r="N119" i="21"/>
  <c r="AW42" i="21"/>
  <c r="AW48" i="21" s="1"/>
  <c r="Q81" i="21"/>
  <c r="BH80" i="21"/>
  <c r="AW10" i="21"/>
  <c r="AW16" i="21" s="1"/>
  <c r="BI74" i="21"/>
  <c r="BJ74" i="21" s="1"/>
  <c r="U65" i="21"/>
  <c r="T66" i="21"/>
  <c r="AP105" i="21"/>
  <c r="BA95" i="21"/>
  <c r="BA94" i="21"/>
  <c r="AW94" i="21"/>
  <c r="AW95" i="21"/>
  <c r="BE94" i="21"/>
  <c r="BE95" i="21"/>
  <c r="BI94" i="21"/>
  <c r="BI95" i="21"/>
  <c r="BM95" i="21"/>
  <c r="BM94" i="21"/>
  <c r="AW74" i="21"/>
  <c r="BA42" i="21"/>
  <c r="BB42" i="21" s="1"/>
  <c r="BD48" i="21"/>
  <c r="AW101" i="21"/>
  <c r="AW100" i="21"/>
  <c r="AW99" i="21"/>
  <c r="BA101" i="21"/>
  <c r="BA100" i="21"/>
  <c r="BA99" i="21"/>
  <c r="BI101" i="21"/>
  <c r="BI100" i="21"/>
  <c r="BI99" i="21"/>
  <c r="BE100" i="21"/>
  <c r="BE99" i="21"/>
  <c r="BE101" i="21"/>
  <c r="BM101" i="21"/>
  <c r="BM100" i="21"/>
  <c r="BM99" i="21"/>
  <c r="BH48" i="21"/>
  <c r="AW32" i="21"/>
  <c r="BM16" i="21"/>
  <c r="BM32" i="21"/>
  <c r="AW64" i="21"/>
  <c r="BM64" i="21"/>
  <c r="BM80" i="21"/>
  <c r="AT105" i="21"/>
  <c r="AX105" i="21"/>
  <c r="AL105" i="21"/>
  <c r="BM42" i="21"/>
  <c r="BR42" i="21" s="1"/>
  <c r="BI42" i="21"/>
  <c r="BJ42" i="21" s="1"/>
  <c r="O82" i="21"/>
  <c r="AZ8" i="21"/>
  <c r="N66" i="21"/>
  <c r="BJ90" i="21"/>
  <c r="BJ102" i="21" s="1"/>
  <c r="BB90" i="21"/>
  <c r="BB102" i="21" s="1"/>
  <c r="BF90" i="21"/>
  <c r="BF102" i="21" s="1"/>
  <c r="BN90" i="21"/>
  <c r="BN102" i="21" s="1"/>
  <c r="BR90" i="21"/>
  <c r="BR102" i="21" s="1"/>
  <c r="BF58" i="21"/>
  <c r="BE64" i="21"/>
  <c r="BJ10" i="21"/>
  <c r="BI16" i="21"/>
  <c r="BB74" i="21"/>
  <c r="BA80" i="21"/>
  <c r="BF74" i="21"/>
  <c r="BE80" i="21"/>
  <c r="BF42" i="21"/>
  <c r="BE48" i="21"/>
  <c r="BJ26" i="21"/>
  <c r="BI32" i="21"/>
  <c r="BB26" i="21"/>
  <c r="BA32" i="21"/>
  <c r="BF10" i="21"/>
  <c r="BE16" i="21"/>
  <c r="BB58" i="21"/>
  <c r="BA64" i="21"/>
  <c r="BB10" i="21"/>
  <c r="BA16" i="21"/>
  <c r="AV8" i="21"/>
  <c r="BJ58" i="21"/>
  <c r="BI64" i="21"/>
  <c r="AR8" i="21"/>
  <c r="BF26" i="21"/>
  <c r="BE32" i="21"/>
  <c r="BN103" i="21"/>
  <c r="BO103" i="21" s="1"/>
  <c r="BP103" i="21" s="1"/>
  <c r="BQ103" i="21" s="1"/>
  <c r="BR103" i="21"/>
  <c r="BN74" i="21"/>
  <c r="BR74" i="21"/>
  <c r="BR58" i="21"/>
  <c r="BN58" i="21"/>
  <c r="BN26" i="21"/>
  <c r="BR26" i="21"/>
  <c r="BN10" i="21"/>
  <c r="BR10" i="21"/>
  <c r="BH8" i="21"/>
  <c r="BD8" i="21"/>
  <c r="AR76" i="21"/>
  <c r="AQ12" i="21"/>
  <c r="AR44" i="21"/>
  <c r="AM76" i="21"/>
  <c r="AZ76" i="21"/>
  <c r="AZ28" i="21"/>
  <c r="AY44" i="21"/>
  <c r="AV152" i="21"/>
  <c r="AQ28" i="21"/>
  <c r="AR152" i="21"/>
  <c r="BD60" i="21"/>
  <c r="BD44" i="21"/>
  <c r="AQ60" i="21"/>
  <c r="AZ152" i="21"/>
  <c r="AE112" i="21"/>
  <c r="AQ44" i="21"/>
  <c r="AZ12" i="21"/>
  <c r="AR12" i="21"/>
  <c r="BH44" i="21"/>
  <c r="BH76" i="21"/>
  <c r="AZ60" i="21"/>
  <c r="AQ76" i="21"/>
  <c r="AZ44" i="21"/>
  <c r="BD12" i="21"/>
  <c r="BH28" i="21"/>
  <c r="BD152" i="21"/>
  <c r="AM12" i="21"/>
  <c r="BH152" i="21"/>
  <c r="CL147" i="47" l="1"/>
  <c r="CL148" i="47" s="1"/>
  <c r="CK148" i="47"/>
  <c r="AW80" i="21"/>
  <c r="U157" i="21"/>
  <c r="T159" i="21"/>
  <c r="P117" i="21"/>
  <c r="O118" i="21"/>
  <c r="O119" i="21"/>
  <c r="R81" i="21"/>
  <c r="BI80" i="21"/>
  <c r="V65" i="21"/>
  <c r="U66" i="21"/>
  <c r="AM105" i="21"/>
  <c r="AQ105" i="21"/>
  <c r="BN95" i="21"/>
  <c r="BN94" i="21"/>
  <c r="BF94" i="21"/>
  <c r="BF95" i="21"/>
  <c r="BB95" i="21"/>
  <c r="BB94" i="21"/>
  <c r="BJ95" i="21"/>
  <c r="BJ94" i="21"/>
  <c r="BR94" i="21"/>
  <c r="BR95" i="21"/>
  <c r="BA48" i="21"/>
  <c r="BI48" i="21"/>
  <c r="BR100" i="21"/>
  <c r="BR99" i="21"/>
  <c r="BR101" i="21"/>
  <c r="BB99" i="21"/>
  <c r="BB100" i="21"/>
  <c r="BB101" i="21"/>
  <c r="BF100" i="21"/>
  <c r="BF99" i="21"/>
  <c r="BF101" i="21"/>
  <c r="BN99" i="21"/>
  <c r="BN100" i="21"/>
  <c r="BN101" i="21"/>
  <c r="BJ101" i="21"/>
  <c r="BJ99" i="21"/>
  <c r="BJ100" i="21"/>
  <c r="BR48" i="21"/>
  <c r="BB16" i="21"/>
  <c r="BM48" i="21"/>
  <c r="BB48" i="21"/>
  <c r="BR16" i="21"/>
  <c r="BR32" i="21"/>
  <c r="BB32" i="21"/>
  <c r="BB80" i="21"/>
  <c r="BR64" i="21"/>
  <c r="BR80" i="21"/>
  <c r="BB64" i="21"/>
  <c r="BN42" i="21"/>
  <c r="BN48" i="21" s="1"/>
  <c r="AY105" i="21"/>
  <c r="BC105" i="21"/>
  <c r="AU105" i="21"/>
  <c r="P82" i="21"/>
  <c r="O66" i="21"/>
  <c r="BA8" i="21"/>
  <c r="BE8" i="21"/>
  <c r="BG90" i="21"/>
  <c r="BG102" i="21" s="1"/>
  <c r="BO90" i="21"/>
  <c r="BO102" i="21" s="1"/>
  <c r="BK90" i="21"/>
  <c r="BK102" i="21" s="1"/>
  <c r="BW90" i="21"/>
  <c r="BW102" i="21" s="1"/>
  <c r="BS90" i="21"/>
  <c r="BS102" i="21" s="1"/>
  <c r="AW8" i="21"/>
  <c r="BG42" i="21"/>
  <c r="BF48" i="21"/>
  <c r="BK10" i="21"/>
  <c r="BJ16" i="21"/>
  <c r="BK74" i="21"/>
  <c r="BJ80" i="21"/>
  <c r="BO74" i="21"/>
  <c r="BN80" i="21"/>
  <c r="BG26" i="21"/>
  <c r="BF32" i="21"/>
  <c r="BG10" i="21"/>
  <c r="BF16" i="21"/>
  <c r="BO58" i="21"/>
  <c r="BN64" i="21"/>
  <c r="BG74" i="21"/>
  <c r="BF80" i="21"/>
  <c r="BO10" i="21"/>
  <c r="BN16" i="21"/>
  <c r="BK58" i="21"/>
  <c r="BJ64" i="21"/>
  <c r="BO26" i="21"/>
  <c r="BN32" i="21"/>
  <c r="BK42" i="21"/>
  <c r="BJ48" i="21"/>
  <c r="BG58" i="21"/>
  <c r="BF64" i="21"/>
  <c r="BK26" i="21"/>
  <c r="BJ32" i="21"/>
  <c r="BW103" i="21"/>
  <c r="BS103" i="21"/>
  <c r="BT103" i="21" s="1"/>
  <c r="BU103" i="21" s="1"/>
  <c r="BV103" i="21" s="1"/>
  <c r="BW74" i="21"/>
  <c r="BS74" i="21"/>
  <c r="BW58" i="21"/>
  <c r="BS58" i="21"/>
  <c r="BW42" i="21"/>
  <c r="BS42" i="21"/>
  <c r="BW26" i="21"/>
  <c r="BS26" i="21"/>
  <c r="BW10" i="21"/>
  <c r="BS10" i="21"/>
  <c r="BI8" i="21"/>
  <c r="BM8" i="21"/>
  <c r="AV12" i="21"/>
  <c r="BE76" i="21"/>
  <c r="BE28" i="21"/>
  <c r="BM43" i="21"/>
  <c r="AW44" i="21"/>
  <c r="AW60" i="21"/>
  <c r="BE152" i="21"/>
  <c r="AR28" i="21"/>
  <c r="AV60" i="21"/>
  <c r="BA60" i="21"/>
  <c r="AW12" i="21"/>
  <c r="BM28" i="21"/>
  <c r="BA76" i="21"/>
  <c r="BM152" i="21"/>
  <c r="BM151" i="21"/>
  <c r="BA12" i="21"/>
  <c r="AV44" i="21"/>
  <c r="BI12" i="21"/>
  <c r="BD28" i="21"/>
  <c r="BA28" i="21"/>
  <c r="AW76" i="21"/>
  <c r="BM111" i="21"/>
  <c r="BM45" i="21"/>
  <c r="AV28" i="21"/>
  <c r="BA152" i="21"/>
  <c r="AR60" i="21"/>
  <c r="BM29" i="21"/>
  <c r="AW152" i="21"/>
  <c r="BH60" i="21"/>
  <c r="BM153" i="21"/>
  <c r="BM107" i="21"/>
  <c r="AW28" i="21"/>
  <c r="BE44" i="21"/>
  <c r="AV76" i="21"/>
  <c r="BM77" i="21"/>
  <c r="BI60" i="21"/>
  <c r="BI28" i="21"/>
  <c r="BE12" i="21"/>
  <c r="BI152" i="21"/>
  <c r="BH12" i="21"/>
  <c r="BM61" i="21"/>
  <c r="BD76" i="21"/>
  <c r="BA44" i="21"/>
  <c r="AF112" i="21"/>
  <c r="BE60" i="21"/>
  <c r="V157" i="21" l="1"/>
  <c r="U159" i="21"/>
  <c r="Q117" i="21"/>
  <c r="P118" i="21"/>
  <c r="P119" i="21"/>
  <c r="S81" i="21"/>
  <c r="W65" i="21"/>
  <c r="V66" i="21"/>
  <c r="AR105" i="21"/>
  <c r="BW95" i="21"/>
  <c r="BW94" i="21"/>
  <c r="BK95" i="21"/>
  <c r="BK94" i="21"/>
  <c r="BO95" i="21"/>
  <c r="BO94" i="21"/>
  <c r="BG94" i="21"/>
  <c r="BG95" i="21"/>
  <c r="BS94" i="21"/>
  <c r="BS95" i="21"/>
  <c r="BK101" i="21"/>
  <c r="BK100" i="21"/>
  <c r="BK99" i="21"/>
  <c r="BS100" i="21"/>
  <c r="BS99" i="21"/>
  <c r="BS101" i="21"/>
  <c r="BO100" i="21"/>
  <c r="BO99" i="21"/>
  <c r="BO101" i="21"/>
  <c r="BW101" i="21"/>
  <c r="BW100" i="21"/>
  <c r="BW99" i="21"/>
  <c r="BG100" i="21"/>
  <c r="BG99" i="21"/>
  <c r="BG101" i="21"/>
  <c r="BO42" i="21"/>
  <c r="BO48" i="21" s="1"/>
  <c r="BG32" i="21"/>
  <c r="BW32" i="21"/>
  <c r="BW48" i="21"/>
  <c r="BW16" i="21"/>
  <c r="BG16" i="21"/>
  <c r="BG48" i="21"/>
  <c r="BG64" i="21"/>
  <c r="BW64" i="21"/>
  <c r="BW80" i="21"/>
  <c r="BG80" i="21"/>
  <c r="AV105" i="21"/>
  <c r="BH105" i="21"/>
  <c r="BD105" i="21"/>
  <c r="AZ105" i="21"/>
  <c r="BE105" i="21"/>
  <c r="BA105" i="21"/>
  <c r="P66" i="21"/>
  <c r="Q82" i="21"/>
  <c r="Q66" i="21"/>
  <c r="BF8" i="21"/>
  <c r="BB8" i="21"/>
  <c r="BJ8" i="21"/>
  <c r="BP90" i="21"/>
  <c r="BP102" i="21" s="1"/>
  <c r="BL90" i="21"/>
  <c r="BL102" i="21" s="1"/>
  <c r="BT90" i="21"/>
  <c r="BT102" i="21" s="1"/>
  <c r="BX90" i="21"/>
  <c r="BX102" i="21" s="1"/>
  <c r="CB90" i="21"/>
  <c r="CB102" i="21" s="1"/>
  <c r="BP58" i="21"/>
  <c r="BO64" i="21"/>
  <c r="BP74" i="21"/>
  <c r="BO80" i="21"/>
  <c r="BT42" i="21"/>
  <c r="BS48" i="21"/>
  <c r="BP26" i="21"/>
  <c r="BO32" i="21"/>
  <c r="BL74" i="21"/>
  <c r="BK80" i="21"/>
  <c r="BL26" i="21"/>
  <c r="BK32" i="21"/>
  <c r="BL58" i="21"/>
  <c r="BK64" i="21"/>
  <c r="BL10" i="21"/>
  <c r="BK16" i="21"/>
  <c r="BT74" i="21"/>
  <c r="BS80" i="21"/>
  <c r="BT10" i="21"/>
  <c r="BS16" i="21"/>
  <c r="BP10" i="21"/>
  <c r="BO16" i="21"/>
  <c r="BT58" i="21"/>
  <c r="BS64" i="21"/>
  <c r="BL42" i="21"/>
  <c r="BK48" i="21"/>
  <c r="BT26" i="21"/>
  <c r="BS32" i="21"/>
  <c r="CB103" i="21"/>
  <c r="BX103" i="21"/>
  <c r="BY103" i="21" s="1"/>
  <c r="BZ103" i="21" s="1"/>
  <c r="CA103" i="21" s="1"/>
  <c r="BX74" i="21"/>
  <c r="CB74" i="21"/>
  <c r="BX58" i="21"/>
  <c r="CB58" i="21"/>
  <c r="BX42" i="21"/>
  <c r="CB42" i="21"/>
  <c r="BX26" i="21"/>
  <c r="CB26" i="21"/>
  <c r="BX10" i="21"/>
  <c r="CB10" i="21"/>
  <c r="BR8" i="21"/>
  <c r="BN8" i="21"/>
  <c r="BN153" i="21"/>
  <c r="BJ12" i="21"/>
  <c r="BN152" i="21"/>
  <c r="BR152" i="21"/>
  <c r="BB60" i="21"/>
  <c r="BM44" i="21"/>
  <c r="BJ60" i="21"/>
  <c r="BI76" i="21"/>
  <c r="BN29" i="21"/>
  <c r="BJ28" i="21"/>
  <c r="BN111" i="21"/>
  <c r="BM13" i="21"/>
  <c r="BN151" i="21"/>
  <c r="BM11" i="21"/>
  <c r="BF12" i="21"/>
  <c r="BR153" i="21"/>
  <c r="BF152" i="21"/>
  <c r="BR61" i="21"/>
  <c r="AG112" i="21"/>
  <c r="BB76" i="21"/>
  <c r="BJ76" i="21"/>
  <c r="BN107" i="21"/>
  <c r="BM12" i="21"/>
  <c r="BF60" i="21"/>
  <c r="BR27" i="21"/>
  <c r="BR28" i="21"/>
  <c r="BB44" i="21"/>
  <c r="BM60" i="21"/>
  <c r="BR44" i="21"/>
  <c r="BF76" i="21"/>
  <c r="BI44" i="21"/>
  <c r="BR107" i="21"/>
  <c r="BR29" i="21"/>
  <c r="BB28" i="21"/>
  <c r="BN75" i="21"/>
  <c r="BF44" i="21"/>
  <c r="BM59" i="21"/>
  <c r="BM76" i="21"/>
  <c r="BR111" i="21"/>
  <c r="BM75" i="21"/>
  <c r="BB152" i="21"/>
  <c r="BJ152" i="21"/>
  <c r="BF28" i="21"/>
  <c r="BR151" i="21"/>
  <c r="BR75" i="21"/>
  <c r="BR43" i="21"/>
  <c r="BM27" i="21"/>
  <c r="BB12" i="21"/>
  <c r="W157" i="21" l="1"/>
  <c r="V159" i="21"/>
  <c r="R117" i="21"/>
  <c r="Q118" i="21"/>
  <c r="Q119" i="21"/>
  <c r="BP42" i="21"/>
  <c r="BQ42" i="21" s="1"/>
  <c r="T81" i="21"/>
  <c r="X65" i="21"/>
  <c r="Y65" i="21" s="1"/>
  <c r="W66" i="21"/>
  <c r="BM105" i="21"/>
  <c r="BM104" i="21"/>
  <c r="BT95" i="21"/>
  <c r="BT94" i="21"/>
  <c r="BL95" i="21"/>
  <c r="BL94" i="21"/>
  <c r="BP94" i="21"/>
  <c r="BP95" i="21"/>
  <c r="CB94" i="21"/>
  <c r="CB95" i="21"/>
  <c r="BX95" i="21"/>
  <c r="BX94" i="21"/>
  <c r="BT99" i="21"/>
  <c r="BT101" i="21"/>
  <c r="BT100" i="21"/>
  <c r="CB100" i="21"/>
  <c r="CB99" i="21"/>
  <c r="CB101" i="21"/>
  <c r="BL101" i="21"/>
  <c r="BL100" i="21"/>
  <c r="BL99" i="21"/>
  <c r="BX101" i="21"/>
  <c r="BX100" i="21"/>
  <c r="BX99" i="21"/>
  <c r="BP100" i="21"/>
  <c r="BP99" i="21"/>
  <c r="BP101" i="21"/>
  <c r="CB32" i="21"/>
  <c r="BL48" i="21"/>
  <c r="CB16" i="21"/>
  <c r="BL16" i="21"/>
  <c r="CB48" i="21"/>
  <c r="BL32" i="21"/>
  <c r="CB80" i="21"/>
  <c r="BL64" i="21"/>
  <c r="BL80" i="21"/>
  <c r="CB64" i="21"/>
  <c r="AW105" i="21"/>
  <c r="BI105" i="21"/>
  <c r="BB105" i="21"/>
  <c r="R66" i="21"/>
  <c r="R82" i="21"/>
  <c r="BO8" i="21"/>
  <c r="BK8" i="21"/>
  <c r="BG8" i="21"/>
  <c r="BU90" i="21"/>
  <c r="BU102" i="21" s="1"/>
  <c r="BY90" i="21"/>
  <c r="BY102" i="21" s="1"/>
  <c r="BQ90" i="21"/>
  <c r="BQ102" i="21" s="1"/>
  <c r="CG90" i="21"/>
  <c r="CG102" i="21" s="1"/>
  <c r="CC90" i="21"/>
  <c r="CC102" i="21" s="1"/>
  <c r="BU74" i="21"/>
  <c r="BT80" i="21"/>
  <c r="BQ26" i="21"/>
  <c r="BP32" i="21"/>
  <c r="BY26" i="21"/>
  <c r="BX32" i="21"/>
  <c r="BY10" i="21"/>
  <c r="BX16" i="21"/>
  <c r="BU58" i="21"/>
  <c r="BT64" i="21"/>
  <c r="BU42" i="21"/>
  <c r="BT48" i="21"/>
  <c r="BY42" i="21"/>
  <c r="BX48" i="21"/>
  <c r="BQ74" i="21"/>
  <c r="BP80" i="21"/>
  <c r="BY74" i="21"/>
  <c r="BX80" i="21"/>
  <c r="BU26" i="21"/>
  <c r="BT32" i="21"/>
  <c r="BQ10" i="21"/>
  <c r="BP16" i="21"/>
  <c r="BY58" i="21"/>
  <c r="BX64" i="21"/>
  <c r="BU10" i="21"/>
  <c r="BT16" i="21"/>
  <c r="BQ58" i="21"/>
  <c r="BP64" i="21"/>
  <c r="CG103" i="21"/>
  <c r="CC103" i="21"/>
  <c r="CD103" i="21" s="1"/>
  <c r="CE103" i="21" s="1"/>
  <c r="CF103" i="21" s="1"/>
  <c r="CG74" i="21"/>
  <c r="CC74" i="21"/>
  <c r="CG58" i="21"/>
  <c r="CC58" i="21"/>
  <c r="CG42" i="21"/>
  <c r="CC42" i="21"/>
  <c r="CG26" i="21"/>
  <c r="CC26" i="21"/>
  <c r="CG10" i="21"/>
  <c r="CC10" i="21"/>
  <c r="BS8" i="21"/>
  <c r="BW8" i="21"/>
  <c r="BN43" i="21"/>
  <c r="BO11" i="21"/>
  <c r="BO12" i="21"/>
  <c r="BS11" i="21"/>
  <c r="BR77" i="21"/>
  <c r="BS45" i="21"/>
  <c r="BO152" i="21"/>
  <c r="BS13" i="21"/>
  <c r="BR12" i="21"/>
  <c r="BS75" i="21"/>
  <c r="BG28" i="21"/>
  <c r="BN44" i="21"/>
  <c r="BR59" i="21"/>
  <c r="BN13" i="21"/>
  <c r="BN45" i="21"/>
  <c r="BR13" i="21"/>
  <c r="BW111" i="21"/>
  <c r="BN11" i="21"/>
  <c r="BG60" i="21"/>
  <c r="AH112" i="21"/>
  <c r="BO44" i="21"/>
  <c r="BR60" i="21"/>
  <c r="BN27" i="21"/>
  <c r="BN76" i="21"/>
  <c r="BO153" i="21"/>
  <c r="BK152" i="21"/>
  <c r="BW27" i="21"/>
  <c r="BO29" i="21"/>
  <c r="BO27" i="21"/>
  <c r="BO28" i="21"/>
  <c r="BR45" i="21"/>
  <c r="BJ44" i="21"/>
  <c r="BR11" i="21"/>
  <c r="BR76" i="21"/>
  <c r="BO61" i="21"/>
  <c r="BO45" i="21"/>
  <c r="BS27" i="21"/>
  <c r="BS29" i="21"/>
  <c r="BN12" i="21"/>
  <c r="BN61" i="21"/>
  <c r="BS43" i="21"/>
  <c r="BO75" i="21"/>
  <c r="BN59" i="21"/>
  <c r="BS60" i="21"/>
  <c r="BN77" i="21"/>
  <c r="BN28" i="21"/>
  <c r="BN60" i="21"/>
  <c r="X157" i="21" l="1"/>
  <c r="W159" i="21"/>
  <c r="BP48" i="21"/>
  <c r="CN65" i="21"/>
  <c r="Z65" i="21"/>
  <c r="Y66" i="21"/>
  <c r="S117" i="21"/>
  <c r="R118" i="21"/>
  <c r="R119" i="21"/>
  <c r="U81" i="21"/>
  <c r="T82" i="21"/>
  <c r="X66" i="21"/>
  <c r="BM106" i="21"/>
  <c r="BY95" i="21"/>
  <c r="BY94" i="21"/>
  <c r="BU95" i="21"/>
  <c r="BU94" i="21"/>
  <c r="BQ94" i="21"/>
  <c r="BQ95" i="21"/>
  <c r="CC94" i="21"/>
  <c r="CC95" i="21"/>
  <c r="CG94" i="21"/>
  <c r="CG95" i="21"/>
  <c r="BY101" i="21"/>
  <c r="BY100" i="21"/>
  <c r="BY99" i="21"/>
  <c r="CC100" i="21"/>
  <c r="CC99" i="21"/>
  <c r="CC101" i="21"/>
  <c r="CG101" i="21"/>
  <c r="CG100" i="21"/>
  <c r="CG99" i="21"/>
  <c r="BQ100" i="21"/>
  <c r="BQ99" i="21"/>
  <c r="BQ101" i="21"/>
  <c r="BU101" i="21"/>
  <c r="BU100" i="21"/>
  <c r="BU99" i="21"/>
  <c r="CG16" i="21"/>
  <c r="CG32" i="21"/>
  <c r="CG48" i="21"/>
  <c r="BQ48" i="21"/>
  <c r="BQ32" i="21"/>
  <c r="BQ16" i="21"/>
  <c r="CG80" i="21"/>
  <c r="CG64" i="21"/>
  <c r="BQ64" i="21"/>
  <c r="BQ80" i="21"/>
  <c r="BN104" i="21"/>
  <c r="BN138" i="21" s="1"/>
  <c r="BF105" i="21"/>
  <c r="BN105" i="21"/>
  <c r="BJ105" i="21"/>
  <c r="BR104" i="21"/>
  <c r="BR105" i="21"/>
  <c r="S82" i="21"/>
  <c r="S66" i="21"/>
  <c r="BT8" i="21"/>
  <c r="BL8" i="21"/>
  <c r="BP8" i="21"/>
  <c r="CD90" i="21"/>
  <c r="CD102" i="21" s="1"/>
  <c r="BZ90" i="21"/>
  <c r="BZ102" i="21" s="1"/>
  <c r="BV90" i="21"/>
  <c r="BV102" i="21" s="1"/>
  <c r="CL90" i="21"/>
  <c r="CH90" i="21"/>
  <c r="CH102" i="21" s="1"/>
  <c r="BV58" i="21"/>
  <c r="BU64" i="21"/>
  <c r="BZ58" i="21"/>
  <c r="BY64" i="21"/>
  <c r="BZ10" i="21"/>
  <c r="BY16" i="21"/>
  <c r="CD26" i="21"/>
  <c r="CC32" i="21"/>
  <c r="BZ26" i="21"/>
  <c r="BY32" i="21"/>
  <c r="CD10" i="21"/>
  <c r="CC16" i="21"/>
  <c r="BV26" i="21"/>
  <c r="BU32" i="21"/>
  <c r="BZ74" i="21"/>
  <c r="BY80" i="21"/>
  <c r="BZ42" i="21"/>
  <c r="BY48" i="21"/>
  <c r="CD42" i="21"/>
  <c r="CC48" i="21"/>
  <c r="CD58" i="21"/>
  <c r="CC64" i="21"/>
  <c r="CD74" i="21"/>
  <c r="CC80" i="21"/>
  <c r="BV10" i="21"/>
  <c r="BU16" i="21"/>
  <c r="BV42" i="21"/>
  <c r="BU48" i="21"/>
  <c r="BV74" i="21"/>
  <c r="BU80" i="21"/>
  <c r="CL103" i="21"/>
  <c r="CH103" i="21"/>
  <c r="CI103" i="21" s="1"/>
  <c r="CJ103" i="21" s="1"/>
  <c r="CK103" i="21" s="1"/>
  <c r="CL74" i="21"/>
  <c r="CH74" i="21"/>
  <c r="CH58" i="21"/>
  <c r="CL58" i="21"/>
  <c r="CL42" i="21"/>
  <c r="CH42" i="21"/>
  <c r="CL26" i="21"/>
  <c r="CH26" i="21"/>
  <c r="CL10" i="21"/>
  <c r="CH10" i="21"/>
  <c r="CB8" i="21"/>
  <c r="BX8" i="21"/>
  <c r="BW11" i="21"/>
  <c r="BT111" i="21"/>
  <c r="BT60" i="21"/>
  <c r="BT152" i="21"/>
  <c r="BT28" i="21"/>
  <c r="BT44" i="21"/>
  <c r="BS61" i="21"/>
  <c r="BT59" i="21"/>
  <c r="BW107" i="21"/>
  <c r="BW44" i="21"/>
  <c r="BO13" i="21"/>
  <c r="BP28" i="21"/>
  <c r="CB44" i="21"/>
  <c r="AI112" i="21"/>
  <c r="BT75" i="21"/>
  <c r="BS28" i="21"/>
  <c r="BT12" i="21"/>
  <c r="BG44" i="21"/>
  <c r="BW60" i="21"/>
  <c r="BX60" i="21"/>
  <c r="BS76" i="21"/>
  <c r="BT153" i="21"/>
  <c r="BX76" i="21"/>
  <c r="BX152" i="21"/>
  <c r="BX77" i="21"/>
  <c r="BT107" i="21"/>
  <c r="BO60" i="21"/>
  <c r="BL44" i="21"/>
  <c r="BX61" i="21"/>
  <c r="BS152" i="21"/>
  <c r="BO111" i="21"/>
  <c r="BW153" i="21"/>
  <c r="BS107" i="21"/>
  <c r="BW152" i="21"/>
  <c r="BL152" i="21"/>
  <c r="BW12" i="21"/>
  <c r="BW75" i="21"/>
  <c r="BW59" i="21"/>
  <c r="BT45" i="21"/>
  <c r="BK44" i="21"/>
  <c r="BT151" i="21"/>
  <c r="CB77" i="21"/>
  <c r="BO77" i="21"/>
  <c r="BK28" i="21"/>
  <c r="BX107" i="21"/>
  <c r="BT77" i="21"/>
  <c r="BW151" i="21"/>
  <c r="BK12" i="21"/>
  <c r="BO59" i="21"/>
  <c r="BS151" i="21"/>
  <c r="BT11" i="21"/>
  <c r="BS59" i="21"/>
  <c r="BO76" i="21"/>
  <c r="BW13" i="21"/>
  <c r="BX43" i="21"/>
  <c r="BS153" i="21"/>
  <c r="BL60" i="21"/>
  <c r="BT43" i="21"/>
  <c r="BW45" i="21"/>
  <c r="BS44" i="21"/>
  <c r="BK60" i="21"/>
  <c r="BT61" i="21"/>
  <c r="BP12" i="21"/>
  <c r="BS12" i="21"/>
  <c r="BT27" i="21"/>
  <c r="BS77" i="21"/>
  <c r="BX59" i="21"/>
  <c r="BT76" i="21"/>
  <c r="BG152" i="21"/>
  <c r="BW43" i="21"/>
  <c r="BX151" i="21"/>
  <c r="BL28" i="21"/>
  <c r="BG12" i="21"/>
  <c r="BX153" i="21"/>
  <c r="BX111" i="21"/>
  <c r="BO43" i="21"/>
  <c r="BX12" i="21"/>
  <c r="BW77" i="21"/>
  <c r="BT29" i="21"/>
  <c r="BO107" i="21"/>
  <c r="BW76" i="21"/>
  <c r="BT13" i="21"/>
  <c r="BW61" i="21"/>
  <c r="BL76" i="21"/>
  <c r="BW29" i="21"/>
  <c r="BG76" i="21"/>
  <c r="BP76" i="21"/>
  <c r="BO151" i="21"/>
  <c r="BW28" i="21"/>
  <c r="CB151" i="21"/>
  <c r="BK76" i="21"/>
  <c r="BL12" i="21"/>
  <c r="BX28" i="21"/>
  <c r="BS111" i="21"/>
  <c r="BS105" i="21" l="1"/>
  <c r="BS104" i="21"/>
  <c r="BS138" i="21" s="1"/>
  <c r="BG105" i="21"/>
  <c r="Y157" i="21"/>
  <c r="X159" i="21"/>
  <c r="CL102" i="21"/>
  <c r="AA65" i="21"/>
  <c r="Z66" i="21"/>
  <c r="T117" i="21"/>
  <c r="S118" i="21"/>
  <c r="S119" i="21"/>
  <c r="V81" i="21"/>
  <c r="U82" i="21"/>
  <c r="BZ95" i="21"/>
  <c r="BZ94" i="21"/>
  <c r="CL95" i="21"/>
  <c r="CL94" i="21"/>
  <c r="CH95" i="21"/>
  <c r="CH94" i="21"/>
  <c r="BV95" i="21"/>
  <c r="BV94" i="21"/>
  <c r="CD94" i="21"/>
  <c r="CD95" i="21"/>
  <c r="CH101" i="21"/>
  <c r="CH99" i="21"/>
  <c r="CH100" i="21"/>
  <c r="BZ101" i="21"/>
  <c r="BZ100" i="21"/>
  <c r="BZ99" i="21"/>
  <c r="CL99" i="21"/>
  <c r="CL100" i="21"/>
  <c r="CL101" i="21"/>
  <c r="CD100" i="21"/>
  <c r="CD99" i="21"/>
  <c r="CD101" i="21"/>
  <c r="BV101" i="21"/>
  <c r="BV100" i="21"/>
  <c r="BV99" i="21"/>
  <c r="BV16" i="21"/>
  <c r="BV32" i="21"/>
  <c r="BV48" i="21"/>
  <c r="BV80" i="21"/>
  <c r="BV64" i="21"/>
  <c r="BN106" i="21"/>
  <c r="BR106" i="21"/>
  <c r="BO105" i="21"/>
  <c r="BK105" i="21"/>
  <c r="BO104" i="21"/>
  <c r="BO138" i="21" s="1"/>
  <c r="BW104" i="21"/>
  <c r="BW105" i="21"/>
  <c r="BY8" i="21"/>
  <c r="BU8" i="21"/>
  <c r="BQ8" i="21"/>
  <c r="CI90" i="21"/>
  <c r="CI102" i="21" s="1"/>
  <c r="CA90" i="21"/>
  <c r="CA102" i="21" s="1"/>
  <c r="CE90" i="21"/>
  <c r="CE102" i="21" s="1"/>
  <c r="CE26" i="21"/>
  <c r="CD32" i="21"/>
  <c r="CE74" i="21"/>
  <c r="CD80" i="21"/>
  <c r="CA10" i="21"/>
  <c r="BZ16" i="21"/>
  <c r="CI42" i="21"/>
  <c r="CH48" i="21"/>
  <c r="CI10" i="21"/>
  <c r="CH16" i="21"/>
  <c r="CE10" i="21"/>
  <c r="CD16" i="21"/>
  <c r="CA74" i="21"/>
  <c r="BZ80" i="21"/>
  <c r="CL16" i="21"/>
  <c r="CI26" i="21"/>
  <c r="CH32" i="21"/>
  <c r="CE58" i="21"/>
  <c r="CD64" i="21"/>
  <c r="CL32" i="21"/>
  <c r="CI58" i="21"/>
  <c r="CH64" i="21"/>
  <c r="CA58" i="21"/>
  <c r="BZ64" i="21"/>
  <c r="CA42" i="21"/>
  <c r="BZ48" i="21"/>
  <c r="CL64" i="21"/>
  <c r="CI74" i="21"/>
  <c r="CH80" i="21"/>
  <c r="CE42" i="21"/>
  <c r="CD48" i="21"/>
  <c r="CA26" i="21"/>
  <c r="BZ32" i="21"/>
  <c r="CL48" i="21"/>
  <c r="CL80" i="21"/>
  <c r="CG8" i="21"/>
  <c r="CC8" i="21"/>
  <c r="CG44" i="21"/>
  <c r="BY11" i="21"/>
  <c r="BQ151" i="21"/>
  <c r="CC59" i="21"/>
  <c r="BU12" i="21"/>
  <c r="BY76" i="21"/>
  <c r="BP59" i="21"/>
  <c r="BQ11" i="21"/>
  <c r="BY12" i="21"/>
  <c r="BY60" i="21"/>
  <c r="BU59" i="21"/>
  <c r="BY29" i="21"/>
  <c r="CB27" i="21"/>
  <c r="BU153" i="21"/>
  <c r="BU11" i="21"/>
  <c r="BQ59" i="21"/>
  <c r="CC12" i="21"/>
  <c r="BY152" i="21"/>
  <c r="BY153" i="21"/>
  <c r="CB12" i="21"/>
  <c r="BY151" i="21"/>
  <c r="CC13" i="21"/>
  <c r="BU43" i="21"/>
  <c r="BX13" i="21"/>
  <c r="BP43" i="21"/>
  <c r="CB153" i="21"/>
  <c r="CB43" i="21"/>
  <c r="BY75" i="21"/>
  <c r="CG152" i="21"/>
  <c r="BX44" i="21"/>
  <c r="CG43" i="21"/>
  <c r="CG61" i="21"/>
  <c r="BP13" i="21"/>
  <c r="BY45" i="21"/>
  <c r="CG111" i="21"/>
  <c r="BP45" i="21"/>
  <c r="CB59" i="21"/>
  <c r="CB11" i="21"/>
  <c r="BQ28" i="21"/>
  <c r="BU29" i="21"/>
  <c r="CC29" i="21"/>
  <c r="BP151" i="21"/>
  <c r="CC107" i="21"/>
  <c r="BU44" i="21"/>
  <c r="BQ29" i="21"/>
  <c r="BP60" i="21"/>
  <c r="BX29" i="21"/>
  <c r="BU60" i="21"/>
  <c r="CB111" i="21"/>
  <c r="BQ13" i="21"/>
  <c r="CG29" i="21"/>
  <c r="BP111" i="21"/>
  <c r="BP77" i="21"/>
  <c r="CG151" i="21"/>
  <c r="CB61" i="21"/>
  <c r="BU45" i="21"/>
  <c r="BU28" i="21"/>
  <c r="CC153" i="21"/>
  <c r="BY77" i="21"/>
  <c r="BY44" i="21"/>
  <c r="BY27" i="21"/>
  <c r="CC45" i="21"/>
  <c r="CC27" i="21"/>
  <c r="BQ43" i="21"/>
  <c r="BY13" i="21"/>
  <c r="BU152" i="21"/>
  <c r="BP44" i="21"/>
  <c r="BX75" i="21"/>
  <c r="BQ107" i="21"/>
  <c r="BP107" i="21"/>
  <c r="BP152" i="21"/>
  <c r="BU27" i="21"/>
  <c r="CG27" i="21"/>
  <c r="BU107" i="21"/>
  <c r="BQ111" i="21"/>
  <c r="CB60" i="21"/>
  <c r="CB29" i="21"/>
  <c r="CC151" i="21"/>
  <c r="BY43" i="21"/>
  <c r="CG12" i="21"/>
  <c r="BU151" i="21"/>
  <c r="BP75" i="21"/>
  <c r="CG77" i="21"/>
  <c r="BY107" i="21"/>
  <c r="CC75" i="21"/>
  <c r="BP29" i="21"/>
  <c r="BU61" i="21"/>
  <c r="CC61" i="21"/>
  <c r="BQ153" i="21"/>
  <c r="BP11" i="21"/>
  <c r="BQ152" i="21"/>
  <c r="BX27" i="21"/>
  <c r="BY61" i="21"/>
  <c r="AJ112" i="21"/>
  <c r="CC111" i="21"/>
  <c r="CC44" i="21"/>
  <c r="CB76" i="21"/>
  <c r="CB45" i="21"/>
  <c r="BU111" i="21"/>
  <c r="BX11" i="21"/>
  <c r="CC28" i="21"/>
  <c r="BU13" i="21"/>
  <c r="CB75" i="21"/>
  <c r="BQ60" i="21"/>
  <c r="BY28" i="21"/>
  <c r="BP27" i="21"/>
  <c r="CC152" i="21"/>
  <c r="BQ12" i="21"/>
  <c r="BU76" i="21"/>
  <c r="BX45" i="21"/>
  <c r="CB13" i="21"/>
  <c r="CB107" i="21"/>
  <c r="CG28" i="21"/>
  <c r="CB152" i="21"/>
  <c r="BU77" i="21"/>
  <c r="BY59" i="21"/>
  <c r="CB28" i="21"/>
  <c r="CG107" i="21"/>
  <c r="BY111" i="21"/>
  <c r="BU75" i="21"/>
  <c r="BQ76" i="21"/>
  <c r="BP153" i="21"/>
  <c r="CC43" i="21"/>
  <c r="BP61" i="21"/>
  <c r="BS106" i="21" l="1"/>
  <c r="Z157" i="21"/>
  <c r="Y159" i="21"/>
  <c r="AB65" i="21"/>
  <c r="AA66" i="21"/>
  <c r="U117" i="21"/>
  <c r="T118" i="21"/>
  <c r="T119" i="21"/>
  <c r="W81" i="21"/>
  <c r="V82" i="21"/>
  <c r="CE94" i="21"/>
  <c r="CE95" i="21"/>
  <c r="CA95" i="21"/>
  <c r="CA94" i="21"/>
  <c r="CI95" i="21"/>
  <c r="CI94" i="21"/>
  <c r="CE100" i="21"/>
  <c r="CE99" i="21"/>
  <c r="CE101" i="21"/>
  <c r="CA100" i="21"/>
  <c r="CA99" i="21"/>
  <c r="CA101" i="21"/>
  <c r="CI101" i="21"/>
  <c r="CI100" i="21"/>
  <c r="CI99" i="21"/>
  <c r="CA32" i="21"/>
  <c r="CA16" i="21"/>
  <c r="CA48" i="21"/>
  <c r="CA64" i="21"/>
  <c r="CA80" i="21"/>
  <c r="BW106" i="21"/>
  <c r="BO106" i="21"/>
  <c r="CB104" i="21"/>
  <c r="BP104" i="21"/>
  <c r="BP138" i="21" s="1"/>
  <c r="CB105" i="21"/>
  <c r="BT104" i="21"/>
  <c r="BT138" i="21" s="1"/>
  <c r="BX105" i="21"/>
  <c r="BP105" i="21"/>
  <c r="BT105" i="21"/>
  <c r="BX104" i="21"/>
  <c r="BX138" i="21" s="1"/>
  <c r="BL105" i="21"/>
  <c r="BU105" i="21"/>
  <c r="BU104" i="21"/>
  <c r="BY105" i="21"/>
  <c r="BY104" i="21"/>
  <c r="CD8" i="21"/>
  <c r="BV8" i="21"/>
  <c r="BZ8" i="21"/>
  <c r="CF90" i="21"/>
  <c r="CF102" i="21" s="1"/>
  <c r="CJ90" i="21"/>
  <c r="CJ102" i="21" s="1"/>
  <c r="CJ74" i="21"/>
  <c r="CI80" i="21"/>
  <c r="CJ42" i="21"/>
  <c r="CI48" i="21"/>
  <c r="CF10" i="21"/>
  <c r="CE16" i="21"/>
  <c r="CF58" i="21"/>
  <c r="CE64" i="21"/>
  <c r="CJ58" i="21"/>
  <c r="CI64" i="21"/>
  <c r="CF74" i="21"/>
  <c r="CE80" i="21"/>
  <c r="CJ26" i="21"/>
  <c r="CI32" i="21"/>
  <c r="CJ10" i="21"/>
  <c r="CI16" i="21"/>
  <c r="CF26" i="21"/>
  <c r="CE32" i="21"/>
  <c r="CF42" i="21"/>
  <c r="CE48" i="21"/>
  <c r="CL8" i="21"/>
  <c r="CH8" i="21"/>
  <c r="CH59" i="21"/>
  <c r="CD27" i="21"/>
  <c r="CL107" i="21"/>
  <c r="BQ45" i="21"/>
  <c r="BV27" i="21"/>
  <c r="BV76" i="21"/>
  <c r="BZ111" i="21"/>
  <c r="CH44" i="21"/>
  <c r="CL43" i="21"/>
  <c r="CD107" i="21"/>
  <c r="CG75" i="21"/>
  <c r="CH152" i="21"/>
  <c r="CD11" i="21"/>
  <c r="CL152" i="21"/>
  <c r="CD153" i="21"/>
  <c r="CC77" i="21"/>
  <c r="BZ60" i="21"/>
  <c r="BV44" i="21"/>
  <c r="CH151" i="21"/>
  <c r="CH27" i="21"/>
  <c r="CD111" i="21"/>
  <c r="CD44" i="21"/>
  <c r="CD12" i="21"/>
  <c r="BV59" i="21"/>
  <c r="BZ45" i="21"/>
  <c r="BV75" i="21"/>
  <c r="BQ27" i="21"/>
  <c r="CC11" i="21"/>
  <c r="CH61" i="21"/>
  <c r="BZ27" i="21"/>
  <c r="CD75" i="21"/>
  <c r="CH111" i="21"/>
  <c r="CH45" i="21"/>
  <c r="CD59" i="21"/>
  <c r="CD60" i="21"/>
  <c r="BV111" i="21"/>
  <c r="CD28" i="21"/>
  <c r="BQ61" i="21"/>
  <c r="BV43" i="21"/>
  <c r="AK112" i="21"/>
  <c r="BZ29" i="21"/>
  <c r="CL76" i="21"/>
  <c r="CH107" i="21"/>
  <c r="CG11" i="21"/>
  <c r="BZ44" i="21"/>
  <c r="CC76" i="21"/>
  <c r="CD43" i="21"/>
  <c r="BV153" i="21"/>
  <c r="CG13" i="21"/>
  <c r="BV77" i="21"/>
  <c r="BV29" i="21"/>
  <c r="BV60" i="21"/>
  <c r="CD13" i="21"/>
  <c r="BZ28" i="21"/>
  <c r="BV11" i="21"/>
  <c r="CD45" i="21"/>
  <c r="BQ75" i="21"/>
  <c r="BQ44" i="21"/>
  <c r="CC60" i="21"/>
  <c r="CD151" i="21"/>
  <c r="CD77" i="21"/>
  <c r="BZ77" i="21"/>
  <c r="BQ77" i="21"/>
  <c r="CG153" i="21"/>
  <c r="CH13" i="21"/>
  <c r="CD61" i="21"/>
  <c r="BZ61" i="21"/>
  <c r="CD76" i="21"/>
  <c r="BV151" i="21"/>
  <c r="CL153" i="21"/>
  <c r="CL111" i="21"/>
  <c r="CD29" i="21"/>
  <c r="CL151" i="21"/>
  <c r="CG59" i="21"/>
  <c r="BV61" i="21"/>
  <c r="CD152" i="21"/>
  <c r="BV45" i="21"/>
  <c r="CH12" i="21"/>
  <c r="CG60" i="21"/>
  <c r="BV12" i="21"/>
  <c r="BV13" i="21"/>
  <c r="BZ13" i="21"/>
  <c r="CG45" i="21"/>
  <c r="BV28" i="21"/>
  <c r="BV152" i="21"/>
  <c r="CL45" i="21"/>
  <c r="CG76" i="21"/>
  <c r="BZ107" i="21"/>
  <c r="BV107" i="21"/>
  <c r="BQ105" i="21" l="1"/>
  <c r="BQ104" i="21"/>
  <c r="BR138" i="21" s="1"/>
  <c r="AA157" i="21"/>
  <c r="Z159" i="21"/>
  <c r="AC65" i="21"/>
  <c r="AB66" i="21"/>
  <c r="BU138" i="21"/>
  <c r="BY138" i="21"/>
  <c r="V117" i="21"/>
  <c r="U118" i="21"/>
  <c r="U119" i="21"/>
  <c r="X81" i="21"/>
  <c r="Y81" i="21" s="1"/>
  <c r="W82" i="21"/>
  <c r="CF95" i="21"/>
  <c r="CF94" i="21"/>
  <c r="CJ95" i="21"/>
  <c r="CJ94" i="21"/>
  <c r="CF99" i="21"/>
  <c r="CF101" i="21"/>
  <c r="CF100" i="21"/>
  <c r="CJ101" i="21"/>
  <c r="CJ100" i="21"/>
  <c r="CJ99" i="21"/>
  <c r="CF48" i="21"/>
  <c r="CF16" i="21"/>
  <c r="CF32" i="21"/>
  <c r="CF64" i="21"/>
  <c r="CF80" i="21"/>
  <c r="BP106" i="21"/>
  <c r="BX106" i="21"/>
  <c r="BT106" i="21"/>
  <c r="CB106" i="21"/>
  <c r="CC105" i="21"/>
  <c r="CC104" i="21"/>
  <c r="CC138" i="21" s="1"/>
  <c r="CG105" i="21"/>
  <c r="CG104" i="21"/>
  <c r="BU106" i="21"/>
  <c r="BY106" i="21"/>
  <c r="CD105" i="21"/>
  <c r="CD104" i="21"/>
  <c r="CA8" i="21"/>
  <c r="CE8" i="21"/>
  <c r="CI8" i="21"/>
  <c r="CK90" i="21"/>
  <c r="CK102" i="21" s="1"/>
  <c r="CK58" i="21"/>
  <c r="Z67" i="21" s="1"/>
  <c r="CJ64" i="21"/>
  <c r="CK10" i="21"/>
  <c r="CJ16" i="21"/>
  <c r="CK26" i="21"/>
  <c r="CJ32" i="21"/>
  <c r="CK42" i="21"/>
  <c r="CJ48" i="21"/>
  <c r="CK74" i="21"/>
  <c r="L83" i="21" s="1"/>
  <c r="CJ80" i="21"/>
  <c r="CI111" i="21"/>
  <c r="CL77" i="21"/>
  <c r="CL44" i="21"/>
  <c r="CA152" i="21"/>
  <c r="CL75" i="21"/>
  <c r="CE75" i="21"/>
  <c r="CE43" i="21"/>
  <c r="CE153" i="21"/>
  <c r="CH153" i="21"/>
  <c r="CE28" i="21"/>
  <c r="CE13" i="21"/>
  <c r="CE61" i="21"/>
  <c r="CH29" i="21"/>
  <c r="CH43" i="21"/>
  <c r="BZ11" i="21"/>
  <c r="CE60" i="21"/>
  <c r="CL12" i="21"/>
  <c r="CH76" i="21"/>
  <c r="CI29" i="21"/>
  <c r="CA27" i="21"/>
  <c r="AL112" i="21"/>
  <c r="CL59" i="21"/>
  <c r="CL28" i="21"/>
  <c r="CE44" i="21"/>
  <c r="BZ151" i="21"/>
  <c r="CE59" i="21"/>
  <c r="CE151" i="21"/>
  <c r="CE111" i="21"/>
  <c r="BZ59" i="21"/>
  <c r="CE27" i="21"/>
  <c r="CL29" i="21"/>
  <c r="CL13" i="21"/>
  <c r="CL11" i="21"/>
  <c r="CE77" i="21"/>
  <c r="BZ43" i="21"/>
  <c r="CH75" i="21"/>
  <c r="CI151" i="21"/>
  <c r="CL27" i="21"/>
  <c r="CL61" i="21"/>
  <c r="CL60" i="21"/>
  <c r="CH60" i="21"/>
  <c r="CA111" i="21"/>
  <c r="BZ153" i="21"/>
  <c r="CE152" i="21"/>
  <c r="BZ76" i="21"/>
  <c r="CI152" i="21"/>
  <c r="CH28" i="21"/>
  <c r="CH11" i="21"/>
  <c r="CA153" i="21"/>
  <c r="CH77" i="21"/>
  <c r="CI107" i="21"/>
  <c r="BZ152" i="21"/>
  <c r="BZ12" i="21"/>
  <c r="CE45" i="21"/>
  <c r="BZ75" i="21"/>
  <c r="CI153" i="21"/>
  <c r="CA107" i="21"/>
  <c r="F88" i="5" l="1"/>
  <c r="Y67" i="21"/>
  <c r="T67" i="21"/>
  <c r="W67" i="21"/>
  <c r="E67" i="21"/>
  <c r="G67" i="21"/>
  <c r="S67" i="21"/>
  <c r="AA67" i="21"/>
  <c r="N83" i="21"/>
  <c r="M67" i="21"/>
  <c r="I83" i="21"/>
  <c r="I67" i="21"/>
  <c r="R67" i="21"/>
  <c r="P83" i="21"/>
  <c r="S83" i="21"/>
  <c r="Q83" i="21"/>
  <c r="N67" i="21"/>
  <c r="U83" i="21"/>
  <c r="F83" i="21"/>
  <c r="H67" i="21"/>
  <c r="K67" i="21"/>
  <c r="L67" i="21"/>
  <c r="X67" i="21"/>
  <c r="T83" i="21"/>
  <c r="U67" i="21"/>
  <c r="W83" i="21"/>
  <c r="AB67" i="21"/>
  <c r="R83" i="21"/>
  <c r="V83" i="21"/>
  <c r="E83" i="21"/>
  <c r="J83" i="21"/>
  <c r="P67" i="21"/>
  <c r="H83" i="21"/>
  <c r="J67" i="21"/>
  <c r="Q67" i="21"/>
  <c r="O67" i="21"/>
  <c r="G83" i="21"/>
  <c r="K83" i="21"/>
  <c r="F67" i="21"/>
  <c r="V67" i="21"/>
  <c r="M83" i="21"/>
  <c r="O83" i="21"/>
  <c r="BQ138" i="21"/>
  <c r="BQ106" i="21"/>
  <c r="AB157" i="21"/>
  <c r="AA159" i="21"/>
  <c r="CN81" i="21"/>
  <c r="Y83" i="21"/>
  <c r="Z81" i="21"/>
  <c r="Y82" i="21"/>
  <c r="AD65" i="21"/>
  <c r="AC67" i="21"/>
  <c r="AC66" i="21"/>
  <c r="CD138" i="21"/>
  <c r="W117" i="21"/>
  <c r="V118" i="21"/>
  <c r="V119" i="21"/>
  <c r="X83" i="21"/>
  <c r="X82" i="21"/>
  <c r="CL104" i="21"/>
  <c r="CH104" i="21"/>
  <c r="CH138" i="21" s="1"/>
  <c r="CL105" i="21"/>
  <c r="CH105" i="21"/>
  <c r="CK95" i="21"/>
  <c r="CK94" i="21"/>
  <c r="CK101" i="21"/>
  <c r="CK100" i="21"/>
  <c r="CK99" i="21"/>
  <c r="CK48" i="21"/>
  <c r="CK32" i="21"/>
  <c r="CK16" i="21"/>
  <c r="CK80" i="21"/>
  <c r="CK64" i="21"/>
  <c r="CG106" i="21"/>
  <c r="CC106" i="21"/>
  <c r="BV105" i="21"/>
  <c r="BV104" i="21"/>
  <c r="BZ104" i="21"/>
  <c r="BZ138" i="21" s="1"/>
  <c r="BZ105" i="21"/>
  <c r="CD106" i="21"/>
  <c r="CJ8" i="21"/>
  <c r="CF8" i="21"/>
  <c r="CI13" i="21"/>
  <c r="CF77" i="21"/>
  <c r="CA43" i="21"/>
  <c r="CI28" i="21"/>
  <c r="CF152" i="21"/>
  <c r="CJ27" i="21"/>
  <c r="CF13" i="21"/>
  <c r="CF107" i="21"/>
  <c r="CI61" i="21"/>
  <c r="CF111" i="21"/>
  <c r="CI11" i="21"/>
  <c r="CJ77" i="21"/>
  <c r="CI59" i="21"/>
  <c r="CA12" i="21"/>
  <c r="CF44" i="21"/>
  <c r="CI45" i="21"/>
  <c r="CJ76" i="21"/>
  <c r="CA11" i="21"/>
  <c r="CJ60" i="21"/>
  <c r="CF45" i="21"/>
  <c r="CJ151" i="21"/>
  <c r="CJ29" i="21"/>
  <c r="CI75" i="21"/>
  <c r="CA76" i="21"/>
  <c r="CE29" i="21"/>
  <c r="CI43" i="21"/>
  <c r="CA61" i="21"/>
  <c r="CJ59" i="21"/>
  <c r="AM112" i="21"/>
  <c r="CA59" i="21"/>
  <c r="CA60" i="21"/>
  <c r="CA45" i="21"/>
  <c r="CI76" i="21"/>
  <c r="CJ28" i="21"/>
  <c r="CI12" i="21"/>
  <c r="CA77" i="21"/>
  <c r="CI44" i="21"/>
  <c r="CE11" i="21"/>
  <c r="CJ61" i="21"/>
  <c r="CA75" i="21"/>
  <c r="CE76" i="21"/>
  <c r="CJ75" i="21"/>
  <c r="CF43" i="21"/>
  <c r="CF153" i="21"/>
  <c r="CF29" i="21"/>
  <c r="CF60" i="21"/>
  <c r="CE107" i="21"/>
  <c r="CA13" i="21"/>
  <c r="CJ11" i="21"/>
  <c r="CI77" i="21"/>
  <c r="CI27" i="21"/>
  <c r="CF75" i="21"/>
  <c r="CJ45" i="21"/>
  <c r="CJ153" i="21"/>
  <c r="CI60" i="21"/>
  <c r="CE12" i="21"/>
  <c r="CA29" i="21"/>
  <c r="CF11" i="21"/>
  <c r="CJ111" i="21"/>
  <c r="CF59" i="21"/>
  <c r="CF76" i="21"/>
  <c r="CF151" i="21"/>
  <c r="CJ152" i="21"/>
  <c r="CF12" i="21"/>
  <c r="CF27" i="21"/>
  <c r="CJ43" i="21"/>
  <c r="CF28" i="21"/>
  <c r="CA28" i="21"/>
  <c r="CJ12" i="21"/>
  <c r="CA44" i="21"/>
  <c r="CA151" i="21"/>
  <c r="CJ107" i="21"/>
  <c r="CN83" i="21" l="1"/>
  <c r="CN67" i="21"/>
  <c r="CE104" i="21"/>
  <c r="CE138" i="21" s="1"/>
  <c r="CE105" i="21"/>
  <c r="AC157" i="21"/>
  <c r="AB159" i="21"/>
  <c r="AD67" i="21"/>
  <c r="AE65" i="21"/>
  <c r="AD66" i="21"/>
  <c r="AA81" i="21"/>
  <c r="Z83" i="21"/>
  <c r="Z82" i="21"/>
  <c r="BV138" i="21"/>
  <c r="BW138" i="21"/>
  <c r="X117" i="21"/>
  <c r="W118" i="21"/>
  <c r="W119" i="21"/>
  <c r="CH106" i="21"/>
  <c r="CL106" i="21"/>
  <c r="CI105" i="21"/>
  <c r="CI104" i="21"/>
  <c r="CI138" i="21" s="1"/>
  <c r="BZ106" i="21"/>
  <c r="BV106" i="21"/>
  <c r="CA105" i="21"/>
  <c r="CA104" i="21"/>
  <c r="CF105" i="21"/>
  <c r="CK8" i="21"/>
  <c r="H16" i="21"/>
  <c r="CK43" i="21"/>
  <c r="CK12" i="21"/>
  <c r="CK44" i="21"/>
  <c r="CK76" i="21"/>
  <c r="CK111" i="21"/>
  <c r="CJ44" i="21"/>
  <c r="CK29" i="21"/>
  <c r="CK60" i="21"/>
  <c r="CK13" i="21"/>
  <c r="CK153" i="21"/>
  <c r="CK27" i="21"/>
  <c r="CF61" i="21"/>
  <c r="CK11" i="21"/>
  <c r="CK77" i="21"/>
  <c r="CK61" i="21"/>
  <c r="CK107" i="21"/>
  <c r="CJ13" i="21"/>
  <c r="CK28" i="21"/>
  <c r="CK59" i="21"/>
  <c r="CK75" i="21"/>
  <c r="CK152" i="21"/>
  <c r="CK45" i="21"/>
  <c r="AN112" i="21"/>
  <c r="CK151" i="21"/>
  <c r="CE106" i="21" l="1"/>
  <c r="AD157" i="21"/>
  <c r="AC159" i="21"/>
  <c r="AA83" i="21"/>
  <c r="AB81" i="21"/>
  <c r="AA82" i="21"/>
  <c r="AF65" i="21"/>
  <c r="AE67" i="21"/>
  <c r="AE66" i="21"/>
  <c r="CA138" i="21"/>
  <c r="CB138" i="21"/>
  <c r="CO112" i="21"/>
  <c r="CP112" i="21"/>
  <c r="Y117" i="21"/>
  <c r="X118" i="21"/>
  <c r="X119" i="21"/>
  <c r="CN16" i="21"/>
  <c r="CP16" i="21"/>
  <c r="CI106" i="21"/>
  <c r="H32" i="21"/>
  <c r="I32" i="21"/>
  <c r="CA106" i="21"/>
  <c r="CJ105" i="21"/>
  <c r="CJ104" i="21"/>
  <c r="CJ138" i="21" s="1"/>
  <c r="CF104" i="21"/>
  <c r="CK104" i="21"/>
  <c r="H18" i="21"/>
  <c r="AO112" i="21"/>
  <c r="AE157" i="21" l="1"/>
  <c r="AD159" i="21"/>
  <c r="AF67" i="21"/>
  <c r="AG65" i="21"/>
  <c r="AF66" i="21"/>
  <c r="AC81" i="21"/>
  <c r="AB83" i="21"/>
  <c r="AB82" i="21"/>
  <c r="G80" i="21"/>
  <c r="G82" i="21" s="1"/>
  <c r="CK138" i="21"/>
  <c r="CL138" i="21"/>
  <c r="CF106" i="21"/>
  <c r="CF138" i="21"/>
  <c r="CG138" i="21"/>
  <c r="Z117" i="21"/>
  <c r="CN117" i="21"/>
  <c r="Y118" i="21"/>
  <c r="CN118" i="21" s="1"/>
  <c r="Y119" i="21"/>
  <c r="E49" i="21"/>
  <c r="E92" i="21" s="1"/>
  <c r="F49" i="21"/>
  <c r="F92" i="21" s="1"/>
  <c r="G49" i="21"/>
  <c r="G92" i="21" s="1"/>
  <c r="H34" i="21"/>
  <c r="CN32" i="21"/>
  <c r="CP32" i="21"/>
  <c r="H49" i="21"/>
  <c r="G48" i="21"/>
  <c r="CJ106" i="21"/>
  <c r="CK105" i="21"/>
  <c r="CK106" i="21" s="1"/>
  <c r="H66" i="21"/>
  <c r="CN66" i="21" s="1"/>
  <c r="AP112" i="21"/>
  <c r="AF157" i="21" l="1"/>
  <c r="AE159" i="21"/>
  <c r="G155" i="5"/>
  <c r="G154" i="5"/>
  <c r="G153" i="5"/>
  <c r="AD81" i="21"/>
  <c r="AC83" i="21"/>
  <c r="AC82" i="21"/>
  <c r="AH65" i="21"/>
  <c r="AG67" i="21"/>
  <c r="AG66" i="21"/>
  <c r="CN119" i="21"/>
  <c r="AA117" i="21"/>
  <c r="Z118" i="21"/>
  <c r="Z119" i="21"/>
  <c r="I49" i="21"/>
  <c r="H92" i="21"/>
  <c r="H48" i="21"/>
  <c r="I48" i="21"/>
  <c r="H80" i="21"/>
  <c r="I80" i="21"/>
  <c r="I82" i="21" s="1"/>
  <c r="N38" i="21"/>
  <c r="E22" i="21"/>
  <c r="E38" i="21"/>
  <c r="E50" i="21"/>
  <c r="AQ112" i="21"/>
  <c r="AG157" i="21" l="1"/>
  <c r="AF159" i="21"/>
  <c r="AI65" i="21"/>
  <c r="AH67" i="21"/>
  <c r="AH66" i="21"/>
  <c r="AE81" i="21"/>
  <c r="AD83" i="21"/>
  <c r="AD82" i="21"/>
  <c r="AB117" i="21"/>
  <c r="AA118" i="21"/>
  <c r="AA119" i="21"/>
  <c r="I50" i="21"/>
  <c r="J49" i="21"/>
  <c r="J50" i="21" s="1"/>
  <c r="H82" i="21"/>
  <c r="CN82" i="21" s="1"/>
  <c r="CN80" i="21"/>
  <c r="CP80" i="21"/>
  <c r="H50" i="21"/>
  <c r="CN48" i="21"/>
  <c r="CP48" i="21"/>
  <c r="N22" i="21"/>
  <c r="F50" i="21"/>
  <c r="G50" i="21"/>
  <c r="AR112" i="21"/>
  <c r="AH157" i="21" l="1"/>
  <c r="AG159" i="21"/>
  <c r="G156" i="5"/>
  <c r="AF81" i="21"/>
  <c r="AE83" i="21"/>
  <c r="AE82" i="21"/>
  <c r="AJ65" i="21"/>
  <c r="AI67" i="21"/>
  <c r="AI66" i="21"/>
  <c r="AC117" i="21"/>
  <c r="AB118" i="21"/>
  <c r="AB119" i="21"/>
  <c r="K49" i="21"/>
  <c r="K50" i="21" s="1"/>
  <c r="N70" i="21"/>
  <c r="N86" i="21"/>
  <c r="E70" i="21"/>
  <c r="E86" i="21"/>
  <c r="AS112" i="21"/>
  <c r="AI157" i="21" l="1"/>
  <c r="AH159" i="21"/>
  <c r="AG81" i="21"/>
  <c r="AF83" i="21"/>
  <c r="AF82" i="21"/>
  <c r="AJ67" i="21"/>
  <c r="AK65" i="21"/>
  <c r="AJ66" i="21"/>
  <c r="AD117" i="21"/>
  <c r="AC118" i="21"/>
  <c r="AC119" i="21"/>
  <c r="L49" i="21"/>
  <c r="L50" i="21" s="1"/>
  <c r="AT112" i="21"/>
  <c r="AJ157" i="21" l="1"/>
  <c r="AI159" i="21"/>
  <c r="AL65" i="21"/>
  <c r="AK67" i="21"/>
  <c r="AK66" i="21"/>
  <c r="AH81" i="21"/>
  <c r="AG83" i="21"/>
  <c r="AG82" i="21"/>
  <c r="AE117" i="21"/>
  <c r="AD118" i="21"/>
  <c r="AD119" i="21"/>
  <c r="M49" i="21"/>
  <c r="AU112" i="21"/>
  <c r="M50" i="21" l="1"/>
  <c r="H51" i="21"/>
  <c r="G51" i="21"/>
  <c r="J51" i="21"/>
  <c r="I51" i="21"/>
  <c r="K51" i="21"/>
  <c r="E51" i="21"/>
  <c r="F51" i="21"/>
  <c r="L51" i="21"/>
  <c r="AK157" i="21"/>
  <c r="AJ159" i="21"/>
  <c r="AL67" i="21"/>
  <c r="AM65" i="21"/>
  <c r="AL66" i="21"/>
  <c r="AI81" i="21"/>
  <c r="AH83" i="21"/>
  <c r="AH82" i="21"/>
  <c r="AF117" i="21"/>
  <c r="AE118" i="21"/>
  <c r="AE119" i="21"/>
  <c r="M51" i="21"/>
  <c r="N49" i="21"/>
  <c r="N50" i="21" s="1"/>
  <c r="AV112" i="21"/>
  <c r="AL157" i="21" l="1"/>
  <c r="AK159" i="21"/>
  <c r="AJ81" i="21"/>
  <c r="AI83" i="21"/>
  <c r="AI82" i="21"/>
  <c r="AN65" i="21"/>
  <c r="AM67" i="21"/>
  <c r="AM66" i="21"/>
  <c r="AG117" i="21"/>
  <c r="AF118" i="21"/>
  <c r="AF119" i="21"/>
  <c r="N51" i="21"/>
  <c r="O49" i="21"/>
  <c r="AW112" i="21"/>
  <c r="AM157" i="21" l="1"/>
  <c r="AL159" i="21"/>
  <c r="CP65" i="21"/>
  <c r="CO65" i="21"/>
  <c r="AO65" i="21"/>
  <c r="AN67" i="21"/>
  <c r="AN66" i="21"/>
  <c r="AK81" i="21"/>
  <c r="AJ83" i="21"/>
  <c r="AJ82" i="21"/>
  <c r="AH117" i="21"/>
  <c r="AG118" i="21"/>
  <c r="AG119" i="21"/>
  <c r="O51" i="21"/>
  <c r="O50" i="21"/>
  <c r="P49" i="21"/>
  <c r="E54" i="21"/>
  <c r="N54" i="21"/>
  <c r="AX112" i="21"/>
  <c r="AN157" i="21" l="1"/>
  <c r="AM159" i="21"/>
  <c r="AL81" i="21"/>
  <c r="AK83" i="21"/>
  <c r="AK82" i="21"/>
  <c r="CO66" i="21"/>
  <c r="CP66" i="21"/>
  <c r="CP67" i="21"/>
  <c r="CO67" i="21"/>
  <c r="AO67" i="21"/>
  <c r="AP65" i="21"/>
  <c r="AO66" i="21"/>
  <c r="AI117" i="21"/>
  <c r="AH118" i="21"/>
  <c r="AH119" i="21"/>
  <c r="P51" i="21"/>
  <c r="P50" i="21"/>
  <c r="Q49" i="21"/>
  <c r="AY112" i="21"/>
  <c r="AO157" i="21" l="1"/>
  <c r="AN159" i="21"/>
  <c r="AQ65" i="21"/>
  <c r="AP67" i="21"/>
  <c r="AP66" i="21"/>
  <c r="AL83" i="21"/>
  <c r="AM81" i="21"/>
  <c r="AL82" i="21"/>
  <c r="AJ117" i="21"/>
  <c r="AI118" i="21"/>
  <c r="AI119" i="21"/>
  <c r="Q51" i="21"/>
  <c r="R49" i="21"/>
  <c r="Q50" i="21"/>
  <c r="AZ112" i="21"/>
  <c r="AP157" i="21" l="1"/>
  <c r="AO159" i="21"/>
  <c r="AN81" i="21"/>
  <c r="AM83" i="21"/>
  <c r="AM82" i="21"/>
  <c r="AQ67" i="21"/>
  <c r="AR65" i="21"/>
  <c r="AQ66" i="21"/>
  <c r="AK117" i="21"/>
  <c r="AJ118" i="21"/>
  <c r="AJ119" i="21"/>
  <c r="R51" i="21"/>
  <c r="R50" i="21"/>
  <c r="S49" i="21"/>
  <c r="BA112" i="21"/>
  <c r="AQ157" i="21" l="1"/>
  <c r="AP159" i="21"/>
  <c r="AR67" i="21"/>
  <c r="AS65" i="21"/>
  <c r="AR66" i="21"/>
  <c r="AO81" i="21"/>
  <c r="CP81" i="21"/>
  <c r="CO81" i="21"/>
  <c r="AN83" i="21"/>
  <c r="AN82" i="21"/>
  <c r="AL117" i="21"/>
  <c r="AK118" i="21"/>
  <c r="AK119" i="21"/>
  <c r="S51" i="21"/>
  <c r="S50" i="21"/>
  <c r="T49" i="21"/>
  <c r="BB112" i="21"/>
  <c r="AR157" i="21" l="1"/>
  <c r="AQ159" i="21"/>
  <c r="CO82" i="21"/>
  <c r="CP82" i="21"/>
  <c r="CP83" i="21"/>
  <c r="CO83" i="21"/>
  <c r="AO83" i="21"/>
  <c r="AP81" i="21"/>
  <c r="AO82" i="21"/>
  <c r="AS67" i="21"/>
  <c r="AT65" i="21"/>
  <c r="AS66" i="21"/>
  <c r="AM117" i="21"/>
  <c r="AL118" i="21"/>
  <c r="AL119" i="21"/>
  <c r="T51" i="21"/>
  <c r="T50" i="21"/>
  <c r="U49" i="21"/>
  <c r="BC112" i="21"/>
  <c r="AS157" i="21" l="1"/>
  <c r="AR159" i="21"/>
  <c r="AP83" i="21"/>
  <c r="AQ81" i="21"/>
  <c r="AP82" i="21"/>
  <c r="AU65" i="21"/>
  <c r="AT67" i="21"/>
  <c r="AT66" i="21"/>
  <c r="AN117" i="21"/>
  <c r="AM118" i="21"/>
  <c r="AM119" i="21"/>
  <c r="U51" i="21"/>
  <c r="V49" i="21"/>
  <c r="U50" i="21"/>
  <c r="BD112" i="21"/>
  <c r="AT157" i="21" l="1"/>
  <c r="AS159" i="21"/>
  <c r="AU67" i="21"/>
  <c r="AV65" i="21"/>
  <c r="AU66" i="21"/>
  <c r="AQ83" i="21"/>
  <c r="AR81" i="21"/>
  <c r="AQ82" i="21"/>
  <c r="AO117" i="21"/>
  <c r="CP117" i="21"/>
  <c r="CO117" i="21"/>
  <c r="AN118" i="21"/>
  <c r="AN119" i="21"/>
  <c r="V51" i="21"/>
  <c r="V50" i="21"/>
  <c r="W49" i="21"/>
  <c r="BE112" i="21"/>
  <c r="AU157" i="21" l="1"/>
  <c r="AT159" i="21"/>
  <c r="AR83" i="21"/>
  <c r="AS81" i="21"/>
  <c r="AR82" i="21"/>
  <c r="AV67" i="21"/>
  <c r="AW65" i="21"/>
  <c r="AV66" i="21"/>
  <c r="CP118" i="21"/>
  <c r="CO118" i="21"/>
  <c r="AP117" i="21"/>
  <c r="AO118" i="21"/>
  <c r="AO119" i="21"/>
  <c r="CP119" i="21"/>
  <c r="CO119" i="21"/>
  <c r="W51" i="21"/>
  <c r="W50" i="21"/>
  <c r="X49" i="21"/>
  <c r="Y49" i="21" s="1"/>
  <c r="BF112" i="21"/>
  <c r="AV157" i="21" l="1"/>
  <c r="AU159" i="21"/>
  <c r="AW67" i="21"/>
  <c r="AX65" i="21"/>
  <c r="AW66" i="21"/>
  <c r="CN49" i="21"/>
  <c r="Z49" i="21"/>
  <c r="Y51" i="21"/>
  <c r="CN51" i="21" s="1"/>
  <c r="Y50" i="21"/>
  <c r="CN50" i="21" s="1"/>
  <c r="AT81" i="21"/>
  <c r="AS83" i="21"/>
  <c r="AS82" i="21"/>
  <c r="AQ117" i="21"/>
  <c r="AP118" i="21"/>
  <c r="AP119" i="21"/>
  <c r="X51" i="21"/>
  <c r="X50" i="21"/>
  <c r="BG112" i="21"/>
  <c r="AW157" i="21" l="1"/>
  <c r="AV159" i="21"/>
  <c r="Z51" i="21"/>
  <c r="AA49" i="21"/>
  <c r="Z50" i="21"/>
  <c r="AY65" i="21"/>
  <c r="AX67" i="21"/>
  <c r="AX66" i="21"/>
  <c r="AT83" i="21"/>
  <c r="AU81" i="21"/>
  <c r="AT82" i="21"/>
  <c r="AR117" i="21"/>
  <c r="AQ118" i="21"/>
  <c r="AQ119" i="21"/>
  <c r="BH112" i="21"/>
  <c r="AX157" i="21" l="1"/>
  <c r="AW159" i="21"/>
  <c r="AV81" i="21"/>
  <c r="AU83" i="21"/>
  <c r="AU82" i="21"/>
  <c r="AZ65" i="21"/>
  <c r="AY67" i="21"/>
  <c r="AY66" i="21"/>
  <c r="AA51" i="21"/>
  <c r="AB49" i="21"/>
  <c r="AA50" i="21"/>
  <c r="AS117" i="21"/>
  <c r="AR118" i="21"/>
  <c r="AR119" i="21"/>
  <c r="BI112" i="21"/>
  <c r="AY157" i="21" l="1"/>
  <c r="AX159" i="21"/>
  <c r="AB51" i="21"/>
  <c r="AC49" i="21"/>
  <c r="AB50" i="21"/>
  <c r="AZ67" i="21"/>
  <c r="BA65" i="21"/>
  <c r="AZ66" i="21"/>
  <c r="AV83" i="21"/>
  <c r="AW81" i="21"/>
  <c r="AV82" i="21"/>
  <c r="AT117" i="21"/>
  <c r="AS118" i="21"/>
  <c r="AS119" i="21"/>
  <c r="BJ112" i="21"/>
  <c r="AZ157" i="21" l="1"/>
  <c r="AY159" i="21"/>
  <c r="AX81" i="21"/>
  <c r="AW83" i="21"/>
  <c r="AW82" i="21"/>
  <c r="BB65" i="21"/>
  <c r="BA67" i="21"/>
  <c r="BA66" i="21"/>
  <c r="AC51" i="21"/>
  <c r="AD49" i="21"/>
  <c r="AC50" i="21"/>
  <c r="AU117" i="21"/>
  <c r="AT118" i="21"/>
  <c r="AT119" i="21"/>
  <c r="BK112" i="21"/>
  <c r="BA157" i="21" l="1"/>
  <c r="AZ159" i="21"/>
  <c r="AD51" i="21"/>
  <c r="AE49" i="21"/>
  <c r="AD50" i="21"/>
  <c r="BC65" i="21"/>
  <c r="BB67" i="21"/>
  <c r="BB66" i="21"/>
  <c r="AY81" i="21"/>
  <c r="AX83" i="21"/>
  <c r="AX82" i="21"/>
  <c r="AV117" i="21"/>
  <c r="AU118" i="21"/>
  <c r="AU119" i="21"/>
  <c r="BL112" i="21"/>
  <c r="BB157" i="21" l="1"/>
  <c r="BA159" i="21"/>
  <c r="BC67" i="21"/>
  <c r="BD65" i="21"/>
  <c r="BC66" i="21"/>
  <c r="AE51" i="21"/>
  <c r="AF49" i="21"/>
  <c r="AE50" i="21"/>
  <c r="AY83" i="21"/>
  <c r="AZ81" i="21"/>
  <c r="AY82" i="21"/>
  <c r="AW117" i="21"/>
  <c r="AV118" i="21"/>
  <c r="AV119" i="21"/>
  <c r="BM112" i="21"/>
  <c r="BC157" i="21" l="1"/>
  <c r="BB159" i="21"/>
  <c r="BA81" i="21"/>
  <c r="AZ83" i="21"/>
  <c r="AZ82" i="21"/>
  <c r="AF51" i="21"/>
  <c r="AG49" i="21"/>
  <c r="AF50" i="21"/>
  <c r="BD67" i="21"/>
  <c r="BE65" i="21"/>
  <c r="BD66" i="21"/>
  <c r="AX117" i="21"/>
  <c r="AW118" i="21"/>
  <c r="AW119" i="21"/>
  <c r="BM113" i="21"/>
  <c r="BN112" i="21"/>
  <c r="BD157" i="21" l="1"/>
  <c r="BC159" i="21"/>
  <c r="BF65" i="21"/>
  <c r="BE67" i="21"/>
  <c r="BE66" i="21"/>
  <c r="AG51" i="21"/>
  <c r="AH49" i="21"/>
  <c r="AG50" i="21"/>
  <c r="BA83" i="21"/>
  <c r="BB81" i="21"/>
  <c r="BA82" i="21"/>
  <c r="AY117" i="21"/>
  <c r="AX118" i="21"/>
  <c r="AX119" i="21"/>
  <c r="BO112" i="21"/>
  <c r="BN113" i="21"/>
  <c r="BE157" i="21" l="1"/>
  <c r="BD159" i="21"/>
  <c r="BC81" i="21"/>
  <c r="BB83" i="21"/>
  <c r="BB82" i="21"/>
  <c r="AH51" i="21"/>
  <c r="AI49" i="21"/>
  <c r="AH50" i="21"/>
  <c r="BF67" i="21"/>
  <c r="BG65" i="21"/>
  <c r="BF66" i="21"/>
  <c r="BN132" i="21"/>
  <c r="AZ117" i="21"/>
  <c r="AY118" i="21"/>
  <c r="AY119" i="21"/>
  <c r="BP112" i="21"/>
  <c r="BO113" i="21"/>
  <c r="BF157" i="21" l="1"/>
  <c r="BE159" i="21"/>
  <c r="BH65" i="21"/>
  <c r="BG67" i="21"/>
  <c r="BG66" i="21"/>
  <c r="AI51" i="21"/>
  <c r="AJ49" i="21"/>
  <c r="AI50" i="21"/>
  <c r="BD81" i="21"/>
  <c r="BC83" i="21"/>
  <c r="BC82" i="21"/>
  <c r="BO132" i="21"/>
  <c r="BA117" i="21"/>
  <c r="AZ118" i="21"/>
  <c r="AZ119" i="21"/>
  <c r="BQ112" i="21"/>
  <c r="BP113" i="21"/>
  <c r="BG157" i="21" l="1"/>
  <c r="BF159" i="21"/>
  <c r="BE81" i="21"/>
  <c r="BD83" i="21"/>
  <c r="BD82" i="21"/>
  <c r="BH67" i="21"/>
  <c r="BI65" i="21"/>
  <c r="BH66" i="21"/>
  <c r="AJ51" i="21"/>
  <c r="AK49" i="21"/>
  <c r="AJ50" i="21"/>
  <c r="BP132" i="21"/>
  <c r="BB117" i="21"/>
  <c r="BA118" i="21"/>
  <c r="BA119" i="21"/>
  <c r="BR112" i="21"/>
  <c r="BQ113" i="21"/>
  <c r="BH157" i="21" l="1"/>
  <c r="BG159" i="21"/>
  <c r="AK51" i="21"/>
  <c r="AL49" i="21"/>
  <c r="AK50" i="21"/>
  <c r="BI67" i="21"/>
  <c r="BJ65" i="21"/>
  <c r="BI66" i="21"/>
  <c r="BF81" i="21"/>
  <c r="BE83" i="21"/>
  <c r="BE82" i="21"/>
  <c r="BQ132" i="21"/>
  <c r="BC117" i="21"/>
  <c r="BB118" i="21"/>
  <c r="BB119" i="21"/>
  <c r="BS112" i="21"/>
  <c r="BR113" i="21"/>
  <c r="BI157" i="21" l="1"/>
  <c r="BH159" i="21"/>
  <c r="BK65" i="21"/>
  <c r="BJ67" i="21"/>
  <c r="BJ66" i="21"/>
  <c r="BF83" i="21"/>
  <c r="BG81" i="21"/>
  <c r="BF82" i="21"/>
  <c r="AL51" i="21"/>
  <c r="AM49" i="21"/>
  <c r="AL50" i="21"/>
  <c r="BR132" i="21"/>
  <c r="BD117" i="21"/>
  <c r="BC118" i="21"/>
  <c r="BC119" i="21"/>
  <c r="BT112" i="21"/>
  <c r="BS113" i="21"/>
  <c r="BJ157" i="21" l="1"/>
  <c r="BI159" i="21"/>
  <c r="AM51" i="21"/>
  <c r="AN49" i="21"/>
  <c r="AM50" i="21"/>
  <c r="BH81" i="21"/>
  <c r="BG83" i="21"/>
  <c r="BG82" i="21"/>
  <c r="BK67" i="21"/>
  <c r="BL65" i="21"/>
  <c r="BK66" i="21"/>
  <c r="BS132" i="21"/>
  <c r="BE117" i="21"/>
  <c r="BD118" i="21"/>
  <c r="BD119" i="21"/>
  <c r="BT113" i="21"/>
  <c r="BU112" i="21"/>
  <c r="BK157" i="21" l="1"/>
  <c r="BJ159" i="21"/>
  <c r="BI81" i="21"/>
  <c r="BH83" i="21"/>
  <c r="BH82" i="21"/>
  <c r="BM65" i="21"/>
  <c r="BL67" i="21"/>
  <c r="BL66" i="21"/>
  <c r="CO49" i="21"/>
  <c r="AO49" i="21"/>
  <c r="AN51" i="21"/>
  <c r="CP49" i="21"/>
  <c r="AN50" i="21"/>
  <c r="BT132" i="21"/>
  <c r="BF117" i="21"/>
  <c r="BE118" i="21"/>
  <c r="BE119" i="21"/>
  <c r="BV112" i="21"/>
  <c r="BU113" i="21"/>
  <c r="BL157" i="21" l="1"/>
  <c r="BK159" i="21"/>
  <c r="CO51" i="21"/>
  <c r="CP51" i="21"/>
  <c r="BJ81" i="21"/>
  <c r="BI83" i="21"/>
  <c r="BI82" i="21"/>
  <c r="BN65" i="21"/>
  <c r="BM67" i="21"/>
  <c r="BM66" i="21"/>
  <c r="AO51" i="21"/>
  <c r="AP49" i="21"/>
  <c r="AO50" i="21"/>
  <c r="CP50" i="21"/>
  <c r="CO50" i="21"/>
  <c r="BU132" i="21"/>
  <c r="BG117" i="21"/>
  <c r="BF118" i="21"/>
  <c r="BF119" i="21"/>
  <c r="BW112" i="21"/>
  <c r="BV113" i="21"/>
  <c r="BM157" i="21" l="1"/>
  <c r="BL159" i="21"/>
  <c r="BN67" i="21"/>
  <c r="BO65" i="21"/>
  <c r="BN66" i="21"/>
  <c r="AP51" i="21"/>
  <c r="AQ49" i="21"/>
  <c r="AP50" i="21"/>
  <c r="BK81" i="21"/>
  <c r="BJ83" i="21"/>
  <c r="BJ82" i="21"/>
  <c r="BV132" i="21"/>
  <c r="BH117" i="21"/>
  <c r="BG118" i="21"/>
  <c r="BG119" i="21"/>
  <c r="BW113" i="21"/>
  <c r="BX112" i="21"/>
  <c r="BN157" i="21" l="1"/>
  <c r="BM159" i="21"/>
  <c r="BP65" i="21"/>
  <c r="BO67" i="21"/>
  <c r="BO66" i="21"/>
  <c r="BK83" i="21"/>
  <c r="BL81" i="21"/>
  <c r="BK82" i="21"/>
  <c r="AQ51" i="21"/>
  <c r="AR49" i="21"/>
  <c r="AQ50" i="21"/>
  <c r="BW132" i="21"/>
  <c r="BI117" i="21"/>
  <c r="BH118" i="21"/>
  <c r="BH119" i="21"/>
  <c r="BY112" i="21"/>
  <c r="BX113" i="21"/>
  <c r="BO157" i="21" l="1"/>
  <c r="BN159" i="21"/>
  <c r="BM81" i="21"/>
  <c r="BL83" i="21"/>
  <c r="BL82" i="21"/>
  <c r="BP67" i="21"/>
  <c r="BQ65" i="21"/>
  <c r="BP66" i="21"/>
  <c r="AR51" i="21"/>
  <c r="AS49" i="21"/>
  <c r="AR50" i="21"/>
  <c r="BX132" i="21"/>
  <c r="BJ117" i="21"/>
  <c r="BI118" i="21"/>
  <c r="BI119" i="21"/>
  <c r="BY113" i="21"/>
  <c r="BZ112" i="21"/>
  <c r="BP157" i="21" l="1"/>
  <c r="BO159" i="21"/>
  <c r="AS51" i="21"/>
  <c r="AT49" i="21"/>
  <c r="AS50" i="21"/>
  <c r="BQ67" i="21"/>
  <c r="BR65" i="21"/>
  <c r="BQ66" i="21"/>
  <c r="BM83" i="21"/>
  <c r="BN81" i="21"/>
  <c r="BM82" i="21"/>
  <c r="BY132" i="21"/>
  <c r="BK117" i="21"/>
  <c r="BJ118" i="21"/>
  <c r="BJ119" i="21"/>
  <c r="CA112" i="21"/>
  <c r="BZ113" i="21"/>
  <c r="BQ157" i="21" l="1"/>
  <c r="BP159" i="21"/>
  <c r="BN83" i="21"/>
  <c r="BO81" i="21"/>
  <c r="BN82" i="21"/>
  <c r="BR67" i="21"/>
  <c r="BS65" i="21"/>
  <c r="BR66" i="21"/>
  <c r="AT51" i="21"/>
  <c r="AU49" i="21"/>
  <c r="AT50" i="21"/>
  <c r="BZ132" i="21"/>
  <c r="BL117" i="21"/>
  <c r="BK118" i="21"/>
  <c r="BK119" i="21"/>
  <c r="CB112" i="21"/>
  <c r="CA113" i="21"/>
  <c r="BR157" i="21" l="1"/>
  <c r="BQ159" i="21"/>
  <c r="BT65" i="21"/>
  <c r="BS67" i="21"/>
  <c r="BS66" i="21"/>
  <c r="AU51" i="21"/>
  <c r="AV49" i="21"/>
  <c r="AU50" i="21"/>
  <c r="BO83" i="21"/>
  <c r="BP81" i="21"/>
  <c r="BO82" i="21"/>
  <c r="CA132" i="21"/>
  <c r="BM117" i="21"/>
  <c r="BL118" i="21"/>
  <c r="BL119" i="21"/>
  <c r="CB113" i="21"/>
  <c r="CC112" i="21"/>
  <c r="BS157" i="21" l="1"/>
  <c r="BR159" i="21"/>
  <c r="AV51" i="21"/>
  <c r="AW49" i="21"/>
  <c r="AV50" i="21"/>
  <c r="BQ81" i="21"/>
  <c r="BP83" i="21"/>
  <c r="BP82" i="21"/>
  <c r="BT67" i="21"/>
  <c r="BU65" i="21"/>
  <c r="BT66" i="21"/>
  <c r="CB132" i="21"/>
  <c r="BN117" i="21"/>
  <c r="BM118" i="21"/>
  <c r="BM119" i="21"/>
  <c r="CD112" i="21"/>
  <c r="CC113" i="21"/>
  <c r="BT157" i="21" l="1"/>
  <c r="BS159" i="21"/>
  <c r="BV65" i="21"/>
  <c r="BU67" i="21"/>
  <c r="BU66" i="21"/>
  <c r="BR81" i="21"/>
  <c r="BQ83" i="21"/>
  <c r="BQ82" i="21"/>
  <c r="AW51" i="21"/>
  <c r="AX49" i="21"/>
  <c r="AW50" i="21"/>
  <c r="CC132" i="21"/>
  <c r="BO117" i="21"/>
  <c r="BN118" i="21"/>
  <c r="BN119" i="21"/>
  <c r="CD113" i="21"/>
  <c r="CE112" i="21"/>
  <c r="BU157" i="21" l="1"/>
  <c r="BT159" i="21"/>
  <c r="AX51" i="21"/>
  <c r="AY49" i="21"/>
  <c r="AX50" i="21"/>
  <c r="BS81" i="21"/>
  <c r="BR83" i="21"/>
  <c r="BR82" i="21"/>
  <c r="BW65" i="21"/>
  <c r="BV67" i="21"/>
  <c r="BV66" i="21"/>
  <c r="CD132" i="21"/>
  <c r="BP117" i="21"/>
  <c r="BO118" i="21"/>
  <c r="BO119" i="21"/>
  <c r="CF112" i="21"/>
  <c r="CE113" i="21"/>
  <c r="BV157" i="21" l="1"/>
  <c r="BU159" i="21"/>
  <c r="BS83" i="21"/>
  <c r="BT81" i="21"/>
  <c r="BS82" i="21"/>
  <c r="BX65" i="21"/>
  <c r="BW67" i="21"/>
  <c r="BW66" i="21"/>
  <c r="AY51" i="21"/>
  <c r="AZ49" i="21"/>
  <c r="AY50" i="21"/>
  <c r="CE132" i="21"/>
  <c r="BQ117" i="21"/>
  <c r="BP118" i="21"/>
  <c r="BP119" i="21"/>
  <c r="CF113" i="21"/>
  <c r="CG112" i="21"/>
  <c r="BW157" i="21" l="1"/>
  <c r="BV159" i="21"/>
  <c r="BX67" i="21"/>
  <c r="BY65" i="21"/>
  <c r="BX66" i="21"/>
  <c r="BU81" i="21"/>
  <c r="BT83" i="21"/>
  <c r="BT82" i="21"/>
  <c r="AZ51" i="21"/>
  <c r="BA49" i="21"/>
  <c r="AZ50" i="21"/>
  <c r="CF132" i="21"/>
  <c r="BR117" i="21"/>
  <c r="BQ118" i="21"/>
  <c r="BQ119" i="21"/>
  <c r="CH112" i="21"/>
  <c r="CG113" i="21"/>
  <c r="BX157" i="21" l="1"/>
  <c r="BW159" i="21"/>
  <c r="BV81" i="21"/>
  <c r="BU83" i="21"/>
  <c r="BU82" i="21"/>
  <c r="BY67" i="21"/>
  <c r="BZ65" i="21"/>
  <c r="BY66" i="21"/>
  <c r="BA51" i="21"/>
  <c r="BB49" i="21"/>
  <c r="BA50" i="21"/>
  <c r="CG132" i="21"/>
  <c r="BS117" i="21"/>
  <c r="BR118" i="21"/>
  <c r="BR119" i="21"/>
  <c r="CH113" i="21"/>
  <c r="CI112" i="21"/>
  <c r="BY157" i="21" l="1"/>
  <c r="BX159" i="21"/>
  <c r="CA65" i="21"/>
  <c r="BZ67" i="21"/>
  <c r="BZ66" i="21"/>
  <c r="BB51" i="21"/>
  <c r="BC49" i="21"/>
  <c r="BB50" i="21"/>
  <c r="BW81" i="21"/>
  <c r="BV83" i="21"/>
  <c r="BV82" i="21"/>
  <c r="CH132" i="21"/>
  <c r="BT117" i="21"/>
  <c r="BS118" i="21"/>
  <c r="BS119" i="21"/>
  <c r="CJ112" i="21"/>
  <c r="CI113" i="21"/>
  <c r="BZ157" i="21" l="1"/>
  <c r="BY159" i="21"/>
  <c r="BX81" i="21"/>
  <c r="BW83" i="21"/>
  <c r="BW82" i="21"/>
  <c r="BC51" i="21"/>
  <c r="BD49" i="21"/>
  <c r="BC50" i="21"/>
  <c r="CB65" i="21"/>
  <c r="CA67" i="21"/>
  <c r="CA66" i="21"/>
  <c r="CI132" i="21"/>
  <c r="BU117" i="21"/>
  <c r="BT118" i="21"/>
  <c r="BT119" i="21"/>
  <c r="CJ113" i="21"/>
  <c r="CK112" i="21"/>
  <c r="CA157" i="21" l="1"/>
  <c r="BZ159" i="21"/>
  <c r="BD51" i="21"/>
  <c r="BE49" i="21"/>
  <c r="BD50" i="21"/>
  <c r="CC65" i="21"/>
  <c r="CB67" i="21"/>
  <c r="CB66" i="21"/>
  <c r="BY81" i="21"/>
  <c r="BX83" i="21"/>
  <c r="BX82" i="21"/>
  <c r="CJ132" i="21"/>
  <c r="BV117" i="21"/>
  <c r="BU118" i="21"/>
  <c r="BU119" i="21"/>
  <c r="CL112" i="21"/>
  <c r="CK113" i="21"/>
  <c r="CB157" i="21" l="1"/>
  <c r="CA159" i="21"/>
  <c r="BZ81" i="21"/>
  <c r="BY83" i="21"/>
  <c r="BY82" i="21"/>
  <c r="CC67" i="21"/>
  <c r="CD65" i="21"/>
  <c r="CC66" i="21"/>
  <c r="BE51" i="21"/>
  <c r="BF49" i="21"/>
  <c r="BE50" i="21"/>
  <c r="CK132" i="21"/>
  <c r="BW117" i="21"/>
  <c r="BV118" i="21"/>
  <c r="BV119" i="21"/>
  <c r="CL113" i="21"/>
  <c r="CC157" i="21" l="1"/>
  <c r="CB159" i="21"/>
  <c r="BF51" i="21"/>
  <c r="BG49" i="21"/>
  <c r="BF50" i="21"/>
  <c r="CE65" i="21"/>
  <c r="CD67" i="21"/>
  <c r="CD66" i="21"/>
  <c r="CA81" i="21"/>
  <c r="BZ83" i="21"/>
  <c r="BZ82" i="21"/>
  <c r="CL132" i="21"/>
  <c r="BX117" i="21"/>
  <c r="BW118" i="21"/>
  <c r="BW119" i="21"/>
  <c r="CD157" i="21" l="1"/>
  <c r="CC159" i="21"/>
  <c r="CE67" i="21"/>
  <c r="CF65" i="21"/>
  <c r="CE66" i="21"/>
  <c r="BG51" i="21"/>
  <c r="BH49" i="21"/>
  <c r="BG50" i="21"/>
  <c r="CB81" i="21"/>
  <c r="CA83" i="21"/>
  <c r="CA82" i="21"/>
  <c r="BY117" i="21"/>
  <c r="BX118" i="21"/>
  <c r="BX119" i="21"/>
  <c r="CE157" i="21" l="1"/>
  <c r="CD159" i="21"/>
  <c r="BH51" i="21"/>
  <c r="BI49" i="21"/>
  <c r="BH50" i="21"/>
  <c r="CC81" i="21"/>
  <c r="CB83" i="21"/>
  <c r="CB82" i="21"/>
  <c r="CG65" i="21"/>
  <c r="CF67" i="21"/>
  <c r="CF66" i="21"/>
  <c r="BZ117" i="21"/>
  <c r="BY118" i="21"/>
  <c r="BY119" i="21"/>
  <c r="CF157" i="21" l="1"/>
  <c r="CE159" i="21"/>
  <c r="CH65" i="21"/>
  <c r="CG67" i="21"/>
  <c r="CG66" i="21"/>
  <c r="CD81" i="21"/>
  <c r="CC83" i="21"/>
  <c r="CC82" i="21"/>
  <c r="BI51" i="21"/>
  <c r="BJ49" i="21"/>
  <c r="BI50" i="21"/>
  <c r="CA117" i="21"/>
  <c r="BZ118" i="21"/>
  <c r="BZ119" i="21"/>
  <c r="CG157" i="21" l="1"/>
  <c r="CF159" i="21"/>
  <c r="BJ51" i="21"/>
  <c r="BK49" i="21"/>
  <c r="BJ50" i="21"/>
  <c r="CD83" i="21"/>
  <c r="CE81" i="21"/>
  <c r="CD82" i="21"/>
  <c r="CI65" i="21"/>
  <c r="CH67" i="21"/>
  <c r="CH66" i="21"/>
  <c r="CB117" i="21"/>
  <c r="CA118" i="21"/>
  <c r="CA119" i="21"/>
  <c r="CH157" i="21" l="1"/>
  <c r="CG159" i="21"/>
  <c r="CE83" i="21"/>
  <c r="CF81" i="21"/>
  <c r="CE82" i="21"/>
  <c r="CI67" i="21"/>
  <c r="CJ65" i="21"/>
  <c r="CI66" i="21"/>
  <c r="BK51" i="21"/>
  <c r="BL49" i="21"/>
  <c r="BK50" i="21"/>
  <c r="CC117" i="21"/>
  <c r="CB118" i="21"/>
  <c r="CB119" i="21"/>
  <c r="CI157" i="21" l="1"/>
  <c r="CH159" i="21"/>
  <c r="BL51" i="21"/>
  <c r="BM49" i="21"/>
  <c r="BL50" i="21"/>
  <c r="CJ67" i="21"/>
  <c r="CK65" i="21"/>
  <c r="CJ66" i="21"/>
  <c r="CG81" i="21"/>
  <c r="CF83" i="21"/>
  <c r="CF82" i="21"/>
  <c r="CD117" i="21"/>
  <c r="CC118" i="21"/>
  <c r="CC119" i="21"/>
  <c r="CJ157" i="21" l="1"/>
  <c r="CI159" i="21"/>
  <c r="CH81" i="21"/>
  <c r="CG83" i="21"/>
  <c r="CG82" i="21"/>
  <c r="CK67" i="21"/>
  <c r="CL65" i="21"/>
  <c r="CK66" i="21"/>
  <c r="BM51" i="21"/>
  <c r="BN49" i="21"/>
  <c r="BM50" i="21"/>
  <c r="CE117" i="21"/>
  <c r="CD118" i="21"/>
  <c r="CD119" i="21"/>
  <c r="CK157" i="21" l="1"/>
  <c r="CJ159" i="21"/>
  <c r="BN51" i="21"/>
  <c r="BO49" i="21"/>
  <c r="BN50" i="21"/>
  <c r="CL67" i="21"/>
  <c r="CL66" i="21"/>
  <c r="CH83" i="21"/>
  <c r="CI81" i="21"/>
  <c r="CH82" i="21"/>
  <c r="CF117" i="21"/>
  <c r="CE118" i="21"/>
  <c r="CE119" i="21"/>
  <c r="CL157" i="21" l="1"/>
  <c r="CL159" i="21" s="1"/>
  <c r="CK159" i="21"/>
  <c r="CJ81" i="21"/>
  <c r="CI83" i="21"/>
  <c r="CI82" i="21"/>
  <c r="BO51" i="21"/>
  <c r="BP49" i="21"/>
  <c r="BO50" i="21"/>
  <c r="CG117" i="21"/>
  <c r="CF118" i="21"/>
  <c r="CF119" i="21"/>
  <c r="BP51" i="21" l="1"/>
  <c r="BQ49" i="21"/>
  <c r="BP50" i="21"/>
  <c r="CK81" i="21"/>
  <c r="CJ83" i="21"/>
  <c r="CJ82" i="21"/>
  <c r="CH117" i="21"/>
  <c r="CG118" i="21"/>
  <c r="CG119" i="21"/>
  <c r="CL81" i="21" l="1"/>
  <c r="CK83" i="21"/>
  <c r="CK82" i="21"/>
  <c r="BQ51" i="21"/>
  <c r="BR49" i="21"/>
  <c r="BQ50" i="21"/>
  <c r="CI117" i="21"/>
  <c r="CH118" i="21"/>
  <c r="CH119" i="21"/>
  <c r="BR51" i="21" l="1"/>
  <c r="BS49" i="21"/>
  <c r="BR50" i="21"/>
  <c r="CL83" i="21"/>
  <c r="CL82" i="21"/>
  <c r="CJ117" i="21"/>
  <c r="CI118" i="21"/>
  <c r="CI119" i="21"/>
  <c r="BS51" i="21" l="1"/>
  <c r="BT49" i="21"/>
  <c r="BS50" i="21"/>
  <c r="CK117" i="21"/>
  <c r="CJ118" i="21"/>
  <c r="CJ119" i="21"/>
  <c r="BT51" i="21" l="1"/>
  <c r="BU49" i="21"/>
  <c r="BT50" i="21"/>
  <c r="CL117" i="21"/>
  <c r="CK118" i="21"/>
  <c r="CK119" i="21"/>
  <c r="BU51" i="21" l="1"/>
  <c r="BV49" i="21"/>
  <c r="BU50" i="21"/>
  <c r="CL118" i="21"/>
  <c r="CL119" i="21"/>
  <c r="BV51" i="21" l="1"/>
  <c r="BW49" i="21"/>
  <c r="BV50" i="21"/>
  <c r="BW51" i="21" l="1"/>
  <c r="BX49" i="21"/>
  <c r="BW50" i="21"/>
  <c r="BX51" i="21" l="1"/>
  <c r="BY49" i="21"/>
  <c r="BX50" i="21"/>
  <c r="BY51" i="21" l="1"/>
  <c r="BZ49" i="21"/>
  <c r="BY50" i="21"/>
  <c r="BZ51" i="21" l="1"/>
  <c r="CA49" i="21"/>
  <c r="BZ50" i="21"/>
  <c r="CA51" i="21" l="1"/>
  <c r="CB49" i="21"/>
  <c r="CA50" i="21"/>
  <c r="F81" i="10"/>
  <c r="F78" i="10"/>
  <c r="F79" i="10"/>
  <c r="L84" i="10"/>
  <c r="K84" i="10"/>
  <c r="H84" i="10"/>
  <c r="C2" i="14"/>
  <c r="H35" i="10"/>
  <c r="G3" i="14"/>
  <c r="C32" i="14"/>
  <c r="C31" i="14"/>
  <c r="C30" i="14"/>
  <c r="C29" i="14"/>
  <c r="C28" i="14"/>
  <c r="C27" i="14"/>
  <c r="C26" i="14"/>
  <c r="C25" i="14"/>
  <c r="C23" i="14"/>
  <c r="C22" i="14"/>
  <c r="C21" i="14"/>
  <c r="C20" i="14"/>
  <c r="C19" i="14"/>
  <c r="C18" i="14"/>
  <c r="C17" i="14"/>
  <c r="C16" i="14"/>
  <c r="C15" i="14"/>
  <c r="C14" i="14"/>
  <c r="C13" i="14"/>
  <c r="C12" i="14"/>
  <c r="C11" i="14"/>
  <c r="C10" i="14"/>
  <c r="C9" i="14"/>
  <c r="C8" i="14"/>
  <c r="C7" i="14"/>
  <c r="C6" i="14"/>
  <c r="C5" i="14"/>
  <c r="C4" i="14"/>
  <c r="C3" i="14"/>
  <c r="C24"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H28" i="14" l="1"/>
  <c r="L28" i="14"/>
  <c r="I28" i="14"/>
  <c r="M28" i="14"/>
  <c r="K28" i="14"/>
  <c r="J28" i="14"/>
  <c r="H5" i="14"/>
  <c r="M5" i="14"/>
  <c r="L5" i="14"/>
  <c r="I5" i="14"/>
  <c r="J5" i="14"/>
  <c r="K5" i="14"/>
  <c r="H13" i="14"/>
  <c r="M13" i="14"/>
  <c r="L13" i="14"/>
  <c r="I13" i="14"/>
  <c r="K13" i="14"/>
  <c r="J13" i="14"/>
  <c r="H21" i="14"/>
  <c r="L21" i="14"/>
  <c r="I21" i="14"/>
  <c r="M21" i="14"/>
  <c r="J21" i="14"/>
  <c r="K21" i="14"/>
  <c r="H29" i="14"/>
  <c r="M29" i="14"/>
  <c r="L29" i="14"/>
  <c r="I29" i="14"/>
  <c r="K29" i="14"/>
  <c r="J29" i="14"/>
  <c r="H19" i="14"/>
  <c r="I19" i="14"/>
  <c r="M19" i="14"/>
  <c r="L19" i="14"/>
  <c r="J19" i="14"/>
  <c r="K19" i="14"/>
  <c r="H12" i="14"/>
  <c r="L12" i="14"/>
  <c r="M12" i="14"/>
  <c r="I12" i="14"/>
  <c r="J12" i="14"/>
  <c r="K12" i="14"/>
  <c r="H6" i="14"/>
  <c r="I6" i="14"/>
  <c r="L6" i="14"/>
  <c r="M6" i="14"/>
  <c r="K6" i="14"/>
  <c r="J6" i="14"/>
  <c r="H14" i="14"/>
  <c r="M14" i="14"/>
  <c r="I14" i="14"/>
  <c r="L14" i="14"/>
  <c r="K14" i="14"/>
  <c r="J14" i="14"/>
  <c r="H22" i="14"/>
  <c r="I22" i="14"/>
  <c r="M22" i="14"/>
  <c r="L22" i="14"/>
  <c r="J22" i="14"/>
  <c r="K22" i="14"/>
  <c r="H30" i="14"/>
  <c r="M30" i="14"/>
  <c r="I30" i="14"/>
  <c r="L30" i="14"/>
  <c r="K30" i="14"/>
  <c r="J30" i="14"/>
  <c r="H23" i="14"/>
  <c r="L23" i="14"/>
  <c r="I23" i="14"/>
  <c r="M23" i="14"/>
  <c r="J23" i="14"/>
  <c r="K23" i="14"/>
  <c r="H3" i="14"/>
  <c r="I3" i="14"/>
  <c r="L3" i="14"/>
  <c r="M3" i="14"/>
  <c r="K3" i="14"/>
  <c r="J3" i="14"/>
  <c r="H11" i="14"/>
  <c r="L11" i="14"/>
  <c r="M11" i="14"/>
  <c r="I11" i="14"/>
  <c r="J11" i="14"/>
  <c r="K11" i="14"/>
  <c r="H4" i="14"/>
  <c r="I4" i="14"/>
  <c r="M4" i="14"/>
  <c r="L4" i="14"/>
  <c r="J4" i="14"/>
  <c r="K4" i="14"/>
  <c r="H15" i="14"/>
  <c r="L15" i="14"/>
  <c r="M15" i="14"/>
  <c r="I15" i="14"/>
  <c r="K15" i="14"/>
  <c r="J15" i="14"/>
  <c r="H31" i="14"/>
  <c r="I31" i="14"/>
  <c r="M31" i="14"/>
  <c r="L31" i="14"/>
  <c r="K31" i="14"/>
  <c r="J31" i="14"/>
  <c r="H8" i="14"/>
  <c r="L8" i="14"/>
  <c r="M8" i="14"/>
  <c r="I8" i="14"/>
  <c r="J8" i="14"/>
  <c r="K8" i="14"/>
  <c r="H16" i="14"/>
  <c r="I16" i="14"/>
  <c r="M16" i="14"/>
  <c r="L16" i="14"/>
  <c r="K16" i="14"/>
  <c r="J16" i="14"/>
  <c r="H24" i="14"/>
  <c r="L24" i="14"/>
  <c r="M24" i="14"/>
  <c r="I24" i="14"/>
  <c r="J24" i="14"/>
  <c r="K24" i="14"/>
  <c r="H32" i="14"/>
  <c r="I32" i="14"/>
  <c r="M32" i="14"/>
  <c r="L32" i="14"/>
  <c r="K32" i="14"/>
  <c r="J32" i="14"/>
  <c r="H20" i="14"/>
  <c r="L20" i="14"/>
  <c r="I20" i="14"/>
  <c r="M20" i="14"/>
  <c r="J20" i="14"/>
  <c r="K20" i="14"/>
  <c r="H9" i="14"/>
  <c r="L9" i="14"/>
  <c r="M9" i="14"/>
  <c r="I9" i="14"/>
  <c r="K9" i="14"/>
  <c r="J9" i="14"/>
  <c r="H17" i="14"/>
  <c r="L17" i="14"/>
  <c r="M17" i="14"/>
  <c r="I17" i="14"/>
  <c r="K17" i="14"/>
  <c r="J17" i="14"/>
  <c r="H25" i="14"/>
  <c r="L25" i="14"/>
  <c r="I25" i="14"/>
  <c r="M25" i="14"/>
  <c r="K25" i="14"/>
  <c r="J25" i="14"/>
  <c r="H27" i="14"/>
  <c r="L27" i="14"/>
  <c r="I27" i="14"/>
  <c r="M27" i="14"/>
  <c r="J27" i="14"/>
  <c r="K27" i="14"/>
  <c r="H7" i="14"/>
  <c r="M7" i="14"/>
  <c r="L7" i="14"/>
  <c r="I7" i="14"/>
  <c r="J7" i="14"/>
  <c r="K7" i="14"/>
  <c r="H10" i="14"/>
  <c r="I10" i="14"/>
  <c r="M10" i="14"/>
  <c r="L10" i="14"/>
  <c r="J10" i="14"/>
  <c r="K10" i="14"/>
  <c r="H18" i="14"/>
  <c r="M18" i="14"/>
  <c r="I18" i="14"/>
  <c r="L18" i="14"/>
  <c r="K18" i="14"/>
  <c r="J18" i="14"/>
  <c r="H26" i="14"/>
  <c r="I26" i="14"/>
  <c r="M26" i="14"/>
  <c r="L26" i="14"/>
  <c r="J26" i="14"/>
  <c r="K26" i="14"/>
  <c r="CB51" i="21"/>
  <c r="CC49" i="21"/>
  <c r="CB50" i="21"/>
  <c r="I36" i="10" a="1"/>
  <c r="I36" i="10" s="1"/>
  <c r="F84" i="10"/>
  <c r="CC51" i="21" l="1"/>
  <c r="CD49" i="21"/>
  <c r="CC50" i="21"/>
  <c r="CD51" i="21" l="1"/>
  <c r="CE49" i="21"/>
  <c r="CD50" i="21"/>
  <c r="F26" i="10"/>
  <c r="F28" i="10" s="1"/>
  <c r="CE51" i="21" l="1"/>
  <c r="CF49" i="21"/>
  <c r="CE50" i="21"/>
  <c r="J55" i="5"/>
  <c r="F55" i="5"/>
  <c r="I55" i="5"/>
  <c r="J40" i="5"/>
  <c r="F40" i="5"/>
  <c r="CF51" i="21" l="1"/>
  <c r="CG49" i="21"/>
  <c r="CF50" i="21"/>
  <c r="I40" i="5"/>
  <c r="L64" i="10"/>
  <c r="K64" i="10"/>
  <c r="F64" i="10"/>
  <c r="E55" i="5"/>
  <c r="E40" i="5"/>
  <c r="I64" i="10"/>
  <c r="CG51" i="21" l="1"/>
  <c r="CH49" i="21"/>
  <c r="CG50" i="21"/>
  <c r="H64" i="10"/>
  <c r="CH51" i="21" l="1"/>
  <c r="CI49" i="21"/>
  <c r="CH50" i="21"/>
  <c r="I35" i="10"/>
  <c r="CI51" i="21" l="1"/>
  <c r="CJ49" i="21"/>
  <c r="CI50" i="21"/>
  <c r="K65" i="10"/>
  <c r="L65" i="10" s="1"/>
  <c r="L66" i="10" s="1"/>
  <c r="H65" i="10"/>
  <c r="H66" i="10" s="1"/>
  <c r="CJ51" i="21" l="1"/>
  <c r="CK49" i="21"/>
  <c r="CJ50" i="21"/>
  <c r="I65" i="10"/>
  <c r="I66" i="10" s="1"/>
  <c r="F65" i="10"/>
  <c r="F66" i="10" s="1"/>
  <c r="K66" i="10"/>
  <c r="CK51" i="21" l="1"/>
  <c r="CL49" i="21"/>
  <c r="CK50" i="21"/>
  <c r="BG38" i="25"/>
  <c r="BG39" i="25"/>
  <c r="O38" i="25"/>
  <c r="O39" i="25"/>
  <c r="BB38" i="25"/>
  <c r="BB39" i="25"/>
  <c r="AQ39" i="25"/>
  <c r="AQ38" i="25"/>
  <c r="AS39" i="25"/>
  <c r="AS38" i="25"/>
  <c r="AR39" i="25"/>
  <c r="AR38" i="25"/>
  <c r="Q38" i="25"/>
  <c r="Q39" i="25"/>
  <c r="AJ38" i="25"/>
  <c r="AJ39" i="25"/>
  <c r="M39" i="25"/>
  <c r="M38" i="25"/>
  <c r="AA39" i="25"/>
  <c r="AA38" i="25"/>
  <c r="AK38" i="25"/>
  <c r="AK39" i="25"/>
  <c r="AF39" i="25"/>
  <c r="AF38" i="25"/>
  <c r="U39" i="25"/>
  <c r="U38" i="25"/>
  <c r="AX38" i="25"/>
  <c r="AX39" i="25"/>
  <c r="Z39" i="25"/>
  <c r="Z38" i="25"/>
  <c r="AL38" i="25"/>
  <c r="AL39" i="25"/>
  <c r="X39" i="25"/>
  <c r="X38" i="25"/>
  <c r="AC39" i="25"/>
  <c r="AC38" i="25"/>
  <c r="AD39" i="25"/>
  <c r="AD38" i="25"/>
  <c r="V39" i="25"/>
  <c r="V38" i="25"/>
  <c r="AE38" i="25"/>
  <c r="AE39" i="25"/>
  <c r="AY39" i="25"/>
  <c r="AY38" i="25"/>
  <c r="AW39" i="25"/>
  <c r="AW38" i="25"/>
  <c r="AT39" i="25"/>
  <c r="AT38" i="25"/>
  <c r="N38" i="25"/>
  <c r="N39" i="25"/>
  <c r="BF38" i="25"/>
  <c r="BF39" i="25"/>
  <c r="AN39" i="25"/>
  <c r="AN38" i="25"/>
  <c r="BD39" i="25"/>
  <c r="BD38" i="25"/>
  <c r="T39" i="25"/>
  <c r="T38" i="25"/>
  <c r="AM38" i="25"/>
  <c r="AM39" i="25"/>
  <c r="S38" i="25"/>
  <c r="S39" i="25"/>
  <c r="AO39" i="25"/>
  <c r="AO38" i="25"/>
  <c r="R39" i="25"/>
  <c r="R38" i="25"/>
  <c r="AH38" i="25"/>
  <c r="AH39" i="25"/>
  <c r="AU38" i="25"/>
  <c r="AU39" i="25"/>
  <c r="AV39" i="25"/>
  <c r="AV38" i="25"/>
  <c r="W39" i="25"/>
  <c r="W38" i="25"/>
  <c r="AZ38" i="25"/>
  <c r="AZ39" i="25"/>
  <c r="AG39" i="25"/>
  <c r="AG38" i="25"/>
  <c r="J39" i="25"/>
  <c r="J38" i="25"/>
  <c r="K38" i="25"/>
  <c r="K39" i="25"/>
  <c r="BC39" i="25"/>
  <c r="BC38" i="25"/>
  <c r="AP39" i="25"/>
  <c r="AP38" i="25"/>
  <c r="BA39" i="25"/>
  <c r="BA38" i="25"/>
  <c r="Y38" i="25"/>
  <c r="Y39" i="25"/>
  <c r="P38" i="25"/>
  <c r="P39" i="25"/>
  <c r="BE38" i="25"/>
  <c r="BE39" i="25"/>
  <c r="AI38" i="25"/>
  <c r="AI39" i="25"/>
  <c r="L39" i="25"/>
  <c r="L38" i="25"/>
  <c r="BH38" i="25"/>
  <c r="BH39" i="25"/>
  <c r="AB39" i="25"/>
  <c r="AB38" i="25"/>
  <c r="CL51" i="21" l="1"/>
  <c r="CL50" i="21"/>
  <c r="BM39" i="25"/>
  <c r="BK39" i="25"/>
  <c r="BM38" i="25"/>
  <c r="BK38" i="25"/>
  <c r="BL38" i="25"/>
  <c r="BJ38" i="25"/>
  <c r="BL39" i="25"/>
  <c r="BJ39" i="25"/>
  <c r="L52" i="25"/>
  <c r="AC52" i="25"/>
  <c r="L53" i="25"/>
  <c r="AP53" i="25"/>
  <c r="AG52" i="25"/>
  <c r="AU53" i="25"/>
  <c r="S53" i="25"/>
  <c r="AN52" i="25"/>
  <c r="AC53" i="25"/>
  <c r="AL52" i="25"/>
  <c r="AX52" i="25"/>
  <c r="AJ52" i="25"/>
  <c r="AR53" i="25"/>
  <c r="AQ53" i="25"/>
  <c r="AL53" i="25"/>
  <c r="AG53" i="25"/>
  <c r="AU52" i="25"/>
  <c r="S52" i="25"/>
  <c r="AN53" i="25"/>
  <c r="AW52" i="25"/>
  <c r="AD52" i="25"/>
  <c r="AW53" i="25"/>
  <c r="AD53" i="25"/>
  <c r="Z52" i="25"/>
  <c r="U52" i="25"/>
  <c r="AK53" i="25"/>
  <c r="Q53" i="25"/>
  <c r="AS52" i="25"/>
  <c r="BB53" i="25"/>
  <c r="AT53" i="25"/>
  <c r="AH53" i="25"/>
  <c r="AM53" i="25"/>
  <c r="Z53" i="25"/>
  <c r="U53" i="25"/>
  <c r="AK52" i="25"/>
  <c r="Q52" i="25"/>
  <c r="AS53" i="25"/>
  <c r="BB52" i="25"/>
  <c r="AR52" i="25"/>
  <c r="AZ53" i="25"/>
  <c r="AH52" i="25"/>
  <c r="AM52" i="25"/>
  <c r="BF53" i="25"/>
  <c r="AY52" i="25"/>
  <c r="AB52" i="25"/>
  <c r="BE53" i="25"/>
  <c r="Y53" i="25"/>
  <c r="K53" i="25"/>
  <c r="BF52" i="25"/>
  <c r="AY53" i="25"/>
  <c r="AF52" i="25"/>
  <c r="AA52" i="25"/>
  <c r="O53" i="25"/>
  <c r="AI53" i="25"/>
  <c r="AI52" i="25"/>
  <c r="AZ52" i="25"/>
  <c r="BE52" i="25"/>
  <c r="Y52" i="25"/>
  <c r="K52" i="25"/>
  <c r="W52" i="25"/>
  <c r="R52" i="25"/>
  <c r="T52" i="25"/>
  <c r="AF53" i="25"/>
  <c r="AA53" i="25"/>
  <c r="O52" i="25"/>
  <c r="AQ52" i="25"/>
  <c r="W53" i="25"/>
  <c r="R53" i="25"/>
  <c r="T53" i="25"/>
  <c r="N53" i="25"/>
  <c r="AE53" i="25"/>
  <c r="AP52" i="25"/>
  <c r="AX53" i="25"/>
  <c r="AJ53" i="25"/>
  <c r="P53" i="25"/>
  <c r="BA52" i="25"/>
  <c r="J52" i="25"/>
  <c r="N52" i="25"/>
  <c r="AE52" i="25"/>
  <c r="X52" i="25"/>
  <c r="M52" i="25"/>
  <c r="BG53" i="25"/>
  <c r="V53" i="25"/>
  <c r="BH53" i="25"/>
  <c r="BH52" i="25"/>
  <c r="P52" i="25"/>
  <c r="BA53" i="25"/>
  <c r="J53" i="25"/>
  <c r="AV52" i="25"/>
  <c r="AO52" i="25"/>
  <c r="BD52" i="25"/>
  <c r="X53" i="25"/>
  <c r="M53" i="25"/>
  <c r="BG52" i="25"/>
  <c r="BC52" i="25"/>
  <c r="BC53" i="25"/>
  <c r="AB53" i="25"/>
  <c r="AV53" i="25"/>
  <c r="AO53" i="25"/>
  <c r="BD53" i="25"/>
  <c r="AT52" i="25"/>
  <c r="V52" i="25"/>
  <c r="K151" i="21"/>
  <c r="L151" i="21"/>
  <c r="J151" i="21"/>
  <c r="BI27" i="21"/>
  <c r="P151" i="21"/>
  <c r="X11" i="21"/>
  <c r="Q151" i="21"/>
  <c r="BL151" i="21"/>
  <c r="Z11" i="21"/>
  <c r="BC11" i="21"/>
  <c r="BE151" i="21"/>
  <c r="BB27" i="21"/>
  <c r="M151" i="21"/>
  <c r="AD11" i="21"/>
  <c r="AQ11" i="21"/>
  <c r="AP11" i="21"/>
  <c r="AX11" i="21"/>
  <c r="AI11" i="21"/>
  <c r="AV11" i="21"/>
  <c r="O151" i="21"/>
  <c r="AT27" i="21"/>
  <c r="AS11" i="21"/>
  <c r="AC11" i="21"/>
  <c r="Y11" i="21"/>
  <c r="AQ27" i="21"/>
  <c r="AT151" i="21"/>
  <c r="AH11" i="21"/>
  <c r="BC151" i="21"/>
  <c r="AL11" i="21"/>
  <c r="AR151" i="21"/>
  <c r="BC27" i="21"/>
  <c r="BF151" i="21"/>
  <c r="AA27" i="21"/>
  <c r="AJ11" i="21"/>
  <c r="Z151" i="21"/>
  <c r="AO11" i="21"/>
  <c r="AA11" i="21"/>
  <c r="AM27" i="21"/>
  <c r="BG27" i="21"/>
  <c r="AS151" i="21"/>
  <c r="BI11" i="21"/>
  <c r="BL27" i="21"/>
  <c r="AE151" i="21"/>
  <c r="AI27" i="21"/>
  <c r="BA11" i="21"/>
  <c r="BK27" i="21"/>
  <c r="AH151" i="21"/>
  <c r="Z27" i="21"/>
  <c r="Y151" i="21"/>
  <c r="BB151" i="21"/>
  <c r="T151" i="21"/>
  <c r="AK11" i="21"/>
  <c r="AW11" i="21"/>
  <c r="R151" i="21"/>
  <c r="AB11" i="21"/>
  <c r="AF151" i="21"/>
  <c r="AZ27" i="21"/>
  <c r="X27" i="21"/>
  <c r="AX151" i="21"/>
  <c r="V151" i="21"/>
  <c r="AG27" i="21"/>
  <c r="AB27" i="21"/>
  <c r="AA151" i="21"/>
  <c r="AC27" i="21"/>
  <c r="BJ27" i="21"/>
  <c r="BJ151" i="21"/>
  <c r="BK11" i="21"/>
  <c r="AU11" i="21"/>
  <c r="BG11" i="21"/>
  <c r="AQ151" i="21"/>
  <c r="AD151" i="21"/>
  <c r="AR11" i="21"/>
  <c r="AO151" i="21"/>
  <c r="X151" i="21"/>
  <c r="AS27" i="21"/>
  <c r="AN11" i="21"/>
  <c r="AJ151" i="21"/>
  <c r="AN27" i="21"/>
  <c r="AI151" i="21"/>
  <c r="AT11" i="21"/>
  <c r="BH151" i="21"/>
  <c r="AE27" i="21"/>
  <c r="AU27" i="21"/>
  <c r="BD27" i="21"/>
  <c r="AM11" i="21"/>
  <c r="BA27" i="21"/>
  <c r="BG151" i="21"/>
  <c r="BE11" i="21"/>
  <c r="N151" i="21"/>
  <c r="AG11" i="21"/>
  <c r="BD11" i="21"/>
  <c r="BH27" i="21"/>
  <c r="AK151" i="21"/>
  <c r="BH11" i="21"/>
  <c r="AM151" i="21"/>
  <c r="AO27" i="21"/>
  <c r="Y27" i="21"/>
  <c r="BD151" i="21"/>
  <c r="AF11" i="21"/>
  <c r="AJ27" i="21"/>
  <c r="AK27" i="21"/>
  <c r="AL151" i="21"/>
  <c r="BI151" i="21"/>
  <c r="AE11" i="21"/>
  <c r="BB11" i="21"/>
  <c r="AR27" i="21"/>
  <c r="BF27" i="21"/>
  <c r="BF11" i="21"/>
  <c r="AW151" i="21"/>
  <c r="AZ11" i="21"/>
  <c r="AX27" i="21"/>
  <c r="AV27" i="21"/>
  <c r="AG151" i="21"/>
  <c r="AW27" i="21"/>
  <c r="AB151" i="21"/>
  <c r="AL27" i="21"/>
  <c r="BK151" i="21"/>
  <c r="S151" i="21"/>
  <c r="AY151" i="21"/>
  <c r="AV151" i="21"/>
  <c r="AF27" i="21"/>
  <c r="U151" i="21"/>
  <c r="AH27" i="21"/>
  <c r="AD27" i="21"/>
  <c r="BL11" i="21"/>
  <c r="AC151" i="21"/>
  <c r="BE27" i="21"/>
  <c r="AY11" i="21"/>
  <c r="BJ11" i="21"/>
  <c r="W27" i="21"/>
  <c r="W11" i="21"/>
  <c r="AP151" i="21"/>
  <c r="AN151" i="21"/>
  <c r="BA151" i="21"/>
  <c r="W151" i="21"/>
  <c r="AZ151" i="21"/>
  <c r="AP27" i="21"/>
  <c r="AY27" i="21"/>
  <c r="AU151" i="21"/>
  <c r="CN151" i="21" l="1"/>
  <c r="CP151" i="21"/>
  <c r="CO151" i="21"/>
  <c r="BM52" i="25"/>
  <c r="BK52" i="25"/>
  <c r="BM53" i="25"/>
  <c r="BK53" i="25"/>
  <c r="BL53" i="25"/>
  <c r="BJ53" i="25"/>
  <c r="BL52" i="25"/>
  <c r="BJ52" i="25"/>
  <c r="J104" i="21"/>
  <c r="CP11" i="21"/>
  <c r="CO11" i="21"/>
  <c r="CN27" i="21"/>
  <c r="CN11" i="21"/>
  <c r="CO27" i="21"/>
  <c r="CP27" i="21"/>
  <c r="K153" i="21"/>
  <c r="J107" i="21"/>
  <c r="L153" i="21"/>
  <c r="J153" i="21"/>
  <c r="AA29" i="21"/>
  <c r="AM13" i="21"/>
  <c r="AV29" i="21"/>
  <c r="BA153" i="21"/>
  <c r="AI29" i="21"/>
  <c r="Y153" i="21"/>
  <c r="AF29" i="21"/>
  <c r="BB13" i="21"/>
  <c r="AG29" i="21"/>
  <c r="U153" i="21"/>
  <c r="BL153" i="21"/>
  <c r="P153" i="21"/>
  <c r="BJ153" i="21"/>
  <c r="AP153" i="21"/>
  <c r="AN29" i="21"/>
  <c r="AS13" i="21"/>
  <c r="BJ13" i="21"/>
  <c r="AZ29" i="21"/>
  <c r="AO153" i="21"/>
  <c r="BI153" i="21"/>
  <c r="BH29" i="21"/>
  <c r="AQ29" i="21"/>
  <c r="BK29" i="21"/>
  <c r="V153" i="21"/>
  <c r="AJ13" i="21"/>
  <c r="AC153" i="21"/>
  <c r="AJ29" i="21"/>
  <c r="AO13" i="21"/>
  <c r="AL13" i="21"/>
  <c r="AH153" i="21"/>
  <c r="AX29" i="21"/>
  <c r="BJ29" i="21"/>
  <c r="BL29" i="21"/>
  <c r="BD29" i="21"/>
  <c r="Z29" i="21"/>
  <c r="AM29" i="21"/>
  <c r="AG153" i="21"/>
  <c r="AR153" i="21"/>
  <c r="AZ13" i="21"/>
  <c r="AA13" i="21"/>
  <c r="Z13" i="21"/>
  <c r="AF153" i="21"/>
  <c r="AY153" i="21"/>
  <c r="AU13" i="21"/>
  <c r="BB153" i="21"/>
  <c r="AW13" i="21"/>
  <c r="W13" i="21"/>
  <c r="AK29" i="21"/>
  <c r="BL13" i="21"/>
  <c r="AI13" i="21"/>
  <c r="AH29" i="21"/>
  <c r="BG153" i="21"/>
  <c r="Q153" i="21"/>
  <c r="AX153" i="21"/>
  <c r="BD153" i="21"/>
  <c r="N153" i="21"/>
  <c r="AM153" i="21"/>
  <c r="Z153" i="21"/>
  <c r="BD13" i="21"/>
  <c r="BI29" i="21"/>
  <c r="AN153" i="21"/>
  <c r="BH13" i="21"/>
  <c r="BC29" i="21"/>
  <c r="W153" i="21"/>
  <c r="AV153" i="21"/>
  <c r="S153" i="21"/>
  <c r="BF13" i="21"/>
  <c r="BC153" i="21"/>
  <c r="BH153" i="21"/>
  <c r="AE29" i="21"/>
  <c r="AA153" i="21"/>
  <c r="AE13" i="21"/>
  <c r="AD13" i="21"/>
  <c r="AC29" i="21"/>
  <c r="AS29" i="21"/>
  <c r="AZ153" i="21"/>
  <c r="AB13" i="21"/>
  <c r="AW153" i="21"/>
  <c r="AI153" i="21"/>
  <c r="AP29" i="21"/>
  <c r="AR13" i="21"/>
  <c r="AP13" i="21"/>
  <c r="AB153" i="21"/>
  <c r="BF29" i="21"/>
  <c r="AD29" i="21"/>
  <c r="Y13" i="21"/>
  <c r="T153" i="21"/>
  <c r="AU29" i="21"/>
  <c r="X153" i="21"/>
  <c r="AQ13" i="21"/>
  <c r="AU153" i="21"/>
  <c r="BB29" i="21"/>
  <c r="AK153" i="21"/>
  <c r="AC13" i="21"/>
  <c r="O153" i="21"/>
  <c r="X13" i="21"/>
  <c r="AE153" i="21"/>
  <c r="BK153" i="21"/>
  <c r="AY13" i="21"/>
  <c r="Y29" i="21"/>
  <c r="BK13" i="21"/>
  <c r="AX13" i="21"/>
  <c r="BE13" i="21"/>
  <c r="X29" i="21"/>
  <c r="AT153" i="21"/>
  <c r="W29" i="21"/>
  <c r="BE153" i="21"/>
  <c r="AS153" i="21"/>
  <c r="M153" i="21"/>
  <c r="AH13" i="21"/>
  <c r="AG13" i="21"/>
  <c r="AB29" i="21"/>
  <c r="AT29" i="21"/>
  <c r="BG29" i="21"/>
  <c r="AQ153" i="21"/>
  <c r="AW29" i="21"/>
  <c r="AD153" i="21"/>
  <c r="AL153" i="21"/>
  <c r="AF13" i="21"/>
  <c r="AO29" i="21"/>
  <c r="BA29" i="21"/>
  <c r="BG13" i="21"/>
  <c r="AT13" i="21"/>
  <c r="AL29" i="21"/>
  <c r="AY29" i="21"/>
  <c r="AJ153" i="21"/>
  <c r="AN13" i="21"/>
  <c r="BA13" i="21"/>
  <c r="R153" i="21"/>
  <c r="BI13" i="21"/>
  <c r="BE29" i="21"/>
  <c r="AK13" i="21"/>
  <c r="BF153" i="21"/>
  <c r="AR29" i="21"/>
  <c r="BC13" i="21"/>
  <c r="AV13" i="21"/>
  <c r="H154" i="21" l="1"/>
  <c r="O164" i="21"/>
  <c r="J164" i="21"/>
  <c r="K164" i="21" s="1"/>
  <c r="L164" i="21" s="1"/>
  <c r="M164" i="21" s="1"/>
  <c r="N164" i="21" s="1"/>
  <c r="AQ154" i="21"/>
  <c r="AB154" i="21"/>
  <c r="AI154" i="21"/>
  <c r="BG154" i="21"/>
  <c r="CN153" i="21"/>
  <c r="Y154" i="21"/>
  <c r="AH154" i="21"/>
  <c r="AU154" i="21"/>
  <c r="BC154" i="21"/>
  <c r="AT154" i="21"/>
  <c r="L154" i="21"/>
  <c r="K154" i="21"/>
  <c r="AV154" i="21"/>
  <c r="AR154" i="21"/>
  <c r="AA154" i="21"/>
  <c r="N154" i="21"/>
  <c r="AD154" i="21"/>
  <c r="AC154" i="21"/>
  <c r="CO153" i="21"/>
  <c r="BB155" i="21"/>
  <c r="AS155" i="21"/>
  <c r="BR155" i="21"/>
  <c r="BQ155" i="21"/>
  <c r="BH155" i="21"/>
  <c r="AC155" i="21"/>
  <c r="G155" i="21"/>
  <c r="BS155" i="21"/>
  <c r="AF155" i="21"/>
  <c r="E155" i="21"/>
  <c r="BL155" i="21"/>
  <c r="G154" i="21"/>
  <c r="AZ155" i="21"/>
  <c r="F155" i="21"/>
  <c r="BG155" i="21"/>
  <c r="BT155" i="21"/>
  <c r="CD155" i="21"/>
  <c r="AM155" i="21"/>
  <c r="BJ155" i="21"/>
  <c r="AG155" i="21"/>
  <c r="AL155" i="21"/>
  <c r="BM155" i="21"/>
  <c r="BZ155" i="21"/>
  <c r="CE155" i="21"/>
  <c r="E154" i="21"/>
  <c r="CK155" i="21"/>
  <c r="X155" i="21"/>
  <c r="AY155" i="21"/>
  <c r="AI155" i="21"/>
  <c r="BA155" i="21"/>
  <c r="AW155" i="21"/>
  <c r="BO155" i="21"/>
  <c r="AQ155" i="21"/>
  <c r="AA155" i="21"/>
  <c r="BC155" i="21"/>
  <c r="CB155" i="21"/>
  <c r="AE155" i="21"/>
  <c r="AO155" i="21"/>
  <c r="BX155" i="21"/>
  <c r="CI155" i="21"/>
  <c r="BD155" i="21"/>
  <c r="BY155" i="21"/>
  <c r="BU155" i="21"/>
  <c r="BE155" i="21"/>
  <c r="AK155" i="21"/>
  <c r="W155" i="21"/>
  <c r="AR155" i="21"/>
  <c r="CA155" i="21"/>
  <c r="U155" i="21"/>
  <c r="BV155" i="21"/>
  <c r="Q155" i="21"/>
  <c r="AX155" i="21"/>
  <c r="O155" i="21"/>
  <c r="AV155" i="21"/>
  <c r="BI155" i="21"/>
  <c r="Y155" i="21"/>
  <c r="M155" i="21"/>
  <c r="AU155" i="21"/>
  <c r="BW155" i="21"/>
  <c r="H155" i="21"/>
  <c r="AN154" i="21"/>
  <c r="T155" i="21"/>
  <c r="CF155" i="21"/>
  <c r="AD155" i="21"/>
  <c r="AN155" i="21"/>
  <c r="R155" i="21"/>
  <c r="CH155" i="21"/>
  <c r="I154" i="21"/>
  <c r="CP153" i="21"/>
  <c r="CG155" i="21"/>
  <c r="AH155" i="21"/>
  <c r="P155" i="21"/>
  <c r="V155" i="21"/>
  <c r="BF155" i="21"/>
  <c r="F154" i="21"/>
  <c r="BM154" i="21"/>
  <c r="BR154" i="21"/>
  <c r="BN154" i="21"/>
  <c r="BW154" i="21"/>
  <c r="BS154" i="21"/>
  <c r="BO154" i="21"/>
  <c r="CB154" i="21"/>
  <c r="BP154" i="21"/>
  <c r="BX154" i="21"/>
  <c r="BT154" i="21"/>
  <c r="CG154" i="21"/>
  <c r="BQ154" i="21"/>
  <c r="CC154" i="21"/>
  <c r="BU154" i="21"/>
  <c r="BY154" i="21"/>
  <c r="BV154" i="21"/>
  <c r="BP155" i="21"/>
  <c r="CH154" i="21"/>
  <c r="K155" i="21"/>
  <c r="AB155" i="21"/>
  <c r="BZ154" i="21"/>
  <c r="I155" i="21"/>
  <c r="AP155" i="21"/>
  <c r="CL154" i="21"/>
  <c r="BK155" i="21"/>
  <c r="CC155" i="21"/>
  <c r="CL155" i="21"/>
  <c r="CD154" i="21"/>
  <c r="N155" i="21"/>
  <c r="CJ155" i="21"/>
  <c r="AT155" i="21"/>
  <c r="AJ155" i="21"/>
  <c r="L155" i="21"/>
  <c r="S155" i="21"/>
  <c r="J155" i="21"/>
  <c r="BN155" i="21"/>
  <c r="Z155" i="21"/>
  <c r="CI154" i="21"/>
  <c r="CA154" i="21"/>
  <c r="CE154" i="21"/>
  <c r="CJ154" i="21"/>
  <c r="CF154" i="21"/>
  <c r="CK154" i="21"/>
  <c r="BJ154" i="21"/>
  <c r="M154" i="21"/>
  <c r="P154" i="21"/>
  <c r="BA154" i="21"/>
  <c r="O154" i="21"/>
  <c r="BL154" i="21"/>
  <c r="BB154" i="21"/>
  <c r="U154" i="21"/>
  <c r="AK154" i="21"/>
  <c r="Q154" i="21"/>
  <c r="X154" i="21"/>
  <c r="AF154" i="21"/>
  <c r="AP154" i="21"/>
  <c r="AJ154" i="21"/>
  <c r="BE154" i="21"/>
  <c r="AM154" i="21"/>
  <c r="AX154" i="21"/>
  <c r="Z154" i="21"/>
  <c r="BF154" i="21"/>
  <c r="S154" i="21"/>
  <c r="AG154" i="21"/>
  <c r="AL154" i="21"/>
  <c r="BI154" i="21"/>
  <c r="W154" i="21"/>
  <c r="AS154" i="21"/>
  <c r="R154" i="21"/>
  <c r="AZ154" i="21"/>
  <c r="V154" i="21"/>
  <c r="BD154" i="21"/>
  <c r="AO154" i="21"/>
  <c r="AY154" i="21"/>
  <c r="AW154" i="21"/>
  <c r="AE154" i="21"/>
  <c r="BH154" i="21"/>
  <c r="T154" i="21"/>
  <c r="J154" i="21"/>
  <c r="BK154" i="21"/>
  <c r="O24" i="21"/>
  <c r="J24" i="21"/>
  <c r="K24" i="21" s="1"/>
  <c r="L24" i="21" s="1"/>
  <c r="M24" i="21" s="1"/>
  <c r="N24" i="21" s="1"/>
  <c r="O40" i="21"/>
  <c r="J40" i="21"/>
  <c r="K40" i="21" s="1"/>
  <c r="L40" i="21" s="1"/>
  <c r="M40" i="21" s="1"/>
  <c r="N40" i="21" s="1"/>
  <c r="L14" i="21"/>
  <c r="O14" i="21"/>
  <c r="AV14" i="21"/>
  <c r="P14" i="21"/>
  <c r="AS30" i="21"/>
  <c r="AQ14" i="21"/>
  <c r="AO14" i="21"/>
  <c r="BC30" i="21"/>
  <c r="AD30" i="21"/>
  <c r="AY30" i="21"/>
  <c r="M14" i="21"/>
  <c r="AT30" i="21"/>
  <c r="AZ14" i="21"/>
  <c r="AM14" i="21"/>
  <c r="T30" i="21"/>
  <c r="BF30" i="21"/>
  <c r="BF14" i="21"/>
  <c r="BH30" i="21"/>
  <c r="AX14" i="21"/>
  <c r="AF30" i="21"/>
  <c r="AD14" i="21"/>
  <c r="AC30" i="21"/>
  <c r="W30" i="21"/>
  <c r="R30" i="21"/>
  <c r="AL14" i="21"/>
  <c r="BH14" i="21"/>
  <c r="AG14" i="21"/>
  <c r="K14" i="21"/>
  <c r="Q14" i="21"/>
  <c r="AW30" i="21"/>
  <c r="V30" i="21"/>
  <c r="P30" i="21"/>
  <c r="O30" i="21"/>
  <c r="AC14" i="21"/>
  <c r="AP30" i="21"/>
  <c r="U30" i="21"/>
  <c r="CN13" i="21"/>
  <c r="Y14" i="21"/>
  <c r="J30" i="21"/>
  <c r="AG30" i="21"/>
  <c r="AA14" i="21"/>
  <c r="N14" i="21"/>
  <c r="BB14" i="21"/>
  <c r="AR30" i="21"/>
  <c r="BD14" i="21"/>
  <c r="S30" i="21"/>
  <c r="BG30" i="21"/>
  <c r="Z14" i="21"/>
  <c r="AI30" i="21"/>
  <c r="K30" i="21"/>
  <c r="AQ30" i="21"/>
  <c r="X30" i="21"/>
  <c r="BG14" i="21"/>
  <c r="S14" i="21"/>
  <c r="AV30" i="21"/>
  <c r="AW14" i="21"/>
  <c r="AH14" i="21"/>
  <c r="AU14" i="21"/>
  <c r="F15" i="21"/>
  <c r="M15" i="21"/>
  <c r="R15" i="21"/>
  <c r="CD14" i="21"/>
  <c r="BJ14" i="21"/>
  <c r="BY14" i="21"/>
  <c r="S15" i="21"/>
  <c r="AN14" i="21"/>
  <c r="G14" i="21"/>
  <c r="Q15" i="21"/>
  <c r="E15" i="21"/>
  <c r="CO13" i="21"/>
  <c r="I14" i="21"/>
  <c r="BM14" i="21"/>
  <c r="CJ14" i="21"/>
  <c r="BN14" i="21"/>
  <c r="J15" i="21"/>
  <c r="AI15" i="21"/>
  <c r="BL14" i="21"/>
  <c r="CH14" i="21"/>
  <c r="BU14" i="21"/>
  <c r="BX14" i="21"/>
  <c r="AL15" i="21"/>
  <c r="AG15" i="21"/>
  <c r="BZ14" i="21"/>
  <c r="H14" i="21"/>
  <c r="CI14" i="21"/>
  <c r="AD15" i="21"/>
  <c r="K15" i="21"/>
  <c r="G15" i="21"/>
  <c r="AJ15" i="21"/>
  <c r="V15" i="21"/>
  <c r="BO14" i="21"/>
  <c r="BT14" i="21"/>
  <c r="CC14" i="21"/>
  <c r="AF15" i="21"/>
  <c r="CA14" i="21"/>
  <c r="CF14" i="21"/>
  <c r="E14" i="21"/>
  <c r="H15" i="21"/>
  <c r="U15" i="21"/>
  <c r="BQ14" i="21"/>
  <c r="CP13" i="21"/>
  <c r="BK14" i="21"/>
  <c r="AH15" i="21"/>
  <c r="AA15" i="21"/>
  <c r="P15" i="21"/>
  <c r="CG14" i="21"/>
  <c r="BW14" i="21"/>
  <c r="CB14" i="21"/>
  <c r="CK14" i="21"/>
  <c r="L15" i="21"/>
  <c r="BP14" i="21"/>
  <c r="BV14" i="21"/>
  <c r="F14" i="21"/>
  <c r="BS14" i="21"/>
  <c r="AE15" i="21"/>
  <c r="CL14" i="21"/>
  <c r="CE14" i="21"/>
  <c r="BR14" i="21"/>
  <c r="AK15" i="21"/>
  <c r="W15" i="21"/>
  <c r="AB15" i="21"/>
  <c r="AC15" i="21"/>
  <c r="X15" i="21"/>
  <c r="I15" i="21"/>
  <c r="N15" i="21"/>
  <c r="O15" i="21"/>
  <c r="T15" i="21"/>
  <c r="AM15" i="21"/>
  <c r="Y15" i="21"/>
  <c r="Z15" i="21"/>
  <c r="AO15" i="21"/>
  <c r="AQ15" i="21"/>
  <c r="AN15" i="21"/>
  <c r="AP15" i="21"/>
  <c r="AR15" i="21"/>
  <c r="AS15" i="21"/>
  <c r="AT15" i="21"/>
  <c r="AV15" i="21"/>
  <c r="AU15" i="21"/>
  <c r="AW15" i="21"/>
  <c r="AY15" i="21"/>
  <c r="AX15" i="21"/>
  <c r="AZ15" i="21"/>
  <c r="BA15" i="21"/>
  <c r="BB15" i="21"/>
  <c r="BC15" i="21"/>
  <c r="BD15" i="21"/>
  <c r="BE15" i="21"/>
  <c r="BF15" i="21"/>
  <c r="BO15" i="21"/>
  <c r="BM15" i="21"/>
  <c r="BL15" i="21"/>
  <c r="BS15" i="21"/>
  <c r="BU15" i="21"/>
  <c r="BH15" i="21"/>
  <c r="BK15" i="21"/>
  <c r="BG15" i="21"/>
  <c r="BJ15" i="21"/>
  <c r="BI15" i="21"/>
  <c r="CH15" i="21"/>
  <c r="BY15" i="21"/>
  <c r="BP15" i="21"/>
  <c r="BX15" i="21"/>
  <c r="CG15" i="21"/>
  <c r="CF15" i="21"/>
  <c r="BN15" i="21"/>
  <c r="BZ15" i="21"/>
  <c r="BV15" i="21"/>
  <c r="CA15" i="21"/>
  <c r="CI15" i="21"/>
  <c r="BQ15" i="21"/>
  <c r="BR15" i="21"/>
  <c r="CJ15" i="21"/>
  <c r="CD15" i="21"/>
  <c r="BT15" i="21"/>
  <c r="CB15" i="21"/>
  <c r="CE15" i="21"/>
  <c r="CC15" i="21"/>
  <c r="BW15" i="21"/>
  <c r="CK15" i="21"/>
  <c r="CL15" i="21"/>
  <c r="AA30" i="21"/>
  <c r="Q30" i="21"/>
  <c r="N30" i="21"/>
  <c r="M30" i="21"/>
  <c r="BI14" i="21"/>
  <c r="BI30" i="21"/>
  <c r="BA30" i="21"/>
  <c r="V14" i="21"/>
  <c r="AZ30" i="21"/>
  <c r="AK30" i="21"/>
  <c r="AB30" i="21"/>
  <c r="CN29" i="21"/>
  <c r="Y30" i="21"/>
  <c r="L31" i="21"/>
  <c r="AL31" i="21"/>
  <c r="X31" i="21"/>
  <c r="AI31" i="21"/>
  <c r="W31" i="21"/>
  <c r="G31" i="21"/>
  <c r="S31" i="21"/>
  <c r="K31" i="21"/>
  <c r="N31" i="21"/>
  <c r="AJ31" i="21"/>
  <c r="AG31" i="21"/>
  <c r="Q31" i="21"/>
  <c r="AB31" i="21"/>
  <c r="F31" i="21"/>
  <c r="R31" i="21"/>
  <c r="E31" i="21"/>
  <c r="Z31" i="21"/>
  <c r="AA31" i="21"/>
  <c r="H31" i="21"/>
  <c r="AF31" i="21"/>
  <c r="AD31" i="21"/>
  <c r="AH31" i="21"/>
  <c r="P31" i="21"/>
  <c r="U31" i="21"/>
  <c r="AC31" i="21"/>
  <c r="AK31" i="21"/>
  <c r="O31" i="21"/>
  <c r="AE31" i="21"/>
  <c r="V31" i="21"/>
  <c r="T31" i="21"/>
  <c r="I31" i="21"/>
  <c r="CK30" i="21"/>
  <c r="BN30" i="21"/>
  <c r="CG30" i="21"/>
  <c r="J31" i="21"/>
  <c r="CO29" i="21"/>
  <c r="CC30" i="21"/>
  <c r="F30" i="21"/>
  <c r="BK30" i="21"/>
  <c r="CJ30" i="21"/>
  <c r="H30" i="21"/>
  <c r="BJ30" i="21"/>
  <c r="G30" i="21"/>
  <c r="M31" i="21"/>
  <c r="CE30" i="21"/>
  <c r="BT30" i="21"/>
  <c r="CL30" i="21"/>
  <c r="BL30" i="21"/>
  <c r="CD30" i="21"/>
  <c r="CF30" i="21"/>
  <c r="BP30" i="21"/>
  <c r="CH30" i="21"/>
  <c r="AN30" i="21"/>
  <c r="CA30" i="21"/>
  <c r="BR30" i="21"/>
  <c r="CP29" i="21"/>
  <c r="BM30" i="21"/>
  <c r="BV30" i="21"/>
  <c r="I30" i="21"/>
  <c r="BW30" i="21"/>
  <c r="BZ30" i="21"/>
  <c r="BX30" i="21"/>
  <c r="CB30" i="21"/>
  <c r="BQ30" i="21"/>
  <c r="BS30" i="21"/>
  <c r="BO30" i="21"/>
  <c r="E30" i="21"/>
  <c r="BY30" i="21"/>
  <c r="BU30" i="21"/>
  <c r="CI30" i="21"/>
  <c r="AM31" i="21"/>
  <c r="Y31" i="21"/>
  <c r="AO31" i="21"/>
  <c r="AN31" i="21"/>
  <c r="AP31" i="21"/>
  <c r="AR31" i="21"/>
  <c r="AQ31" i="21"/>
  <c r="AS31" i="21"/>
  <c r="AU31" i="21"/>
  <c r="AT31" i="21"/>
  <c r="AV31" i="21"/>
  <c r="AW31" i="21"/>
  <c r="AX31" i="21"/>
  <c r="AY31" i="21"/>
  <c r="BA31" i="21"/>
  <c r="AZ31" i="21"/>
  <c r="BB31" i="21"/>
  <c r="BC31" i="21"/>
  <c r="BD31" i="21"/>
  <c r="BE31" i="21"/>
  <c r="BH31" i="21"/>
  <c r="BQ31" i="21"/>
  <c r="BI31" i="21"/>
  <c r="BJ31" i="21"/>
  <c r="BF31" i="21"/>
  <c r="BG31" i="21"/>
  <c r="BK31" i="21"/>
  <c r="BL31" i="21"/>
  <c r="BW31" i="21"/>
  <c r="BM31" i="21"/>
  <c r="BN31" i="21"/>
  <c r="BP31" i="21"/>
  <c r="CC31" i="21"/>
  <c r="CK31" i="21"/>
  <c r="BV31" i="21"/>
  <c r="CA31" i="21"/>
  <c r="CG31" i="21"/>
  <c r="CL31" i="21"/>
  <c r="CD31" i="21"/>
  <c r="BU31" i="21"/>
  <c r="CJ31" i="21"/>
  <c r="BO31" i="21"/>
  <c r="BS31" i="21"/>
  <c r="CI31" i="21"/>
  <c r="BR31" i="21"/>
  <c r="CF31" i="21"/>
  <c r="BT31" i="21"/>
  <c r="BZ31" i="21"/>
  <c r="CB31" i="21"/>
  <c r="BX31" i="21"/>
  <c r="CE31" i="21"/>
  <c r="BY31" i="21"/>
  <c r="CH31" i="21"/>
  <c r="U14" i="21"/>
  <c r="AY14" i="21"/>
  <c r="AJ14" i="21"/>
  <c r="Z30" i="21"/>
  <c r="BE14" i="21"/>
  <c r="AJ30" i="21"/>
  <c r="AI14" i="21"/>
  <c r="BD30" i="21"/>
  <c r="AU30" i="21"/>
  <c r="AO30" i="21"/>
  <c r="AP14" i="21"/>
  <c r="BC14" i="21"/>
  <c r="AX30" i="21"/>
  <c r="L30" i="21"/>
  <c r="AS14" i="21"/>
  <c r="AK14" i="21"/>
  <c r="J14" i="21"/>
  <c r="AH30" i="21"/>
  <c r="BE30" i="21"/>
  <c r="BB30" i="21"/>
  <c r="AT14" i="21"/>
  <c r="AL30" i="21"/>
  <c r="AE30" i="21"/>
  <c r="W14" i="21"/>
  <c r="AF14" i="21"/>
  <c r="AM30" i="21"/>
  <c r="R14" i="21"/>
  <c r="X14" i="21"/>
  <c r="BA14" i="21"/>
  <c r="T14" i="21"/>
  <c r="AR14" i="21"/>
  <c r="AB14" i="21"/>
  <c r="AE14" i="21"/>
  <c r="J106" i="21"/>
  <c r="J138" i="21"/>
  <c r="BE41" i="25" l="1"/>
  <c r="BC40" i="25"/>
  <c r="AQ40" i="25"/>
  <c r="M41" i="25"/>
  <c r="AC40" i="25"/>
  <c r="AK42" i="25"/>
  <c r="BG41" i="25"/>
  <c r="AM40" i="25"/>
  <c r="AS42" i="25" l="1"/>
  <c r="AS41" i="25"/>
  <c r="AS40" i="25"/>
  <c r="AW40" i="25"/>
  <c r="AW41" i="25"/>
  <c r="AW42" i="25"/>
  <c r="AP42" i="25"/>
  <c r="AP41" i="25"/>
  <c r="AP40" i="25"/>
  <c r="AN42" i="25"/>
  <c r="AN41" i="25"/>
  <c r="AN40" i="25"/>
  <c r="M55" i="25"/>
  <c r="O40" i="25"/>
  <c r="O42" i="25"/>
  <c r="O41" i="25"/>
  <c r="AK56" i="25"/>
  <c r="AA41" i="25"/>
  <c r="AA42" i="25"/>
  <c r="AA40" i="25"/>
  <c r="P41" i="25"/>
  <c r="P40" i="25"/>
  <c r="P42" i="25"/>
  <c r="AX41" i="25"/>
  <c r="AX40" i="25"/>
  <c r="AX42" i="25"/>
  <c r="AM54" i="25"/>
  <c r="AV40" i="25"/>
  <c r="AV41" i="25"/>
  <c r="AV42" i="25"/>
  <c r="AO41" i="25"/>
  <c r="AO42" i="25"/>
  <c r="AO40" i="25"/>
  <c r="AI40" i="25"/>
  <c r="AI42" i="25"/>
  <c r="AI41" i="25"/>
  <c r="AT41" i="25"/>
  <c r="AT40" i="25"/>
  <c r="AT42" i="25"/>
  <c r="T40" i="25"/>
  <c r="T42" i="25"/>
  <c r="T41" i="25"/>
  <c r="V42" i="25"/>
  <c r="V41" i="25"/>
  <c r="V40" i="25"/>
  <c r="AB41" i="25"/>
  <c r="AB40" i="25"/>
  <c r="AB42" i="25"/>
  <c r="X41" i="25"/>
  <c r="X42" i="25"/>
  <c r="X40" i="25"/>
  <c r="AJ41" i="25"/>
  <c r="AJ42" i="25"/>
  <c r="AJ40" i="25"/>
  <c r="AH42" i="25"/>
  <c r="AH41" i="25"/>
  <c r="AH40" i="25"/>
  <c r="R40" i="25"/>
  <c r="R42" i="25"/>
  <c r="R41" i="25"/>
  <c r="BH41" i="25"/>
  <c r="BH40" i="25"/>
  <c r="BH42" i="25"/>
  <c r="W40" i="25"/>
  <c r="W42" i="25"/>
  <c r="W41" i="25"/>
  <c r="AL40" i="25"/>
  <c r="AL42" i="25"/>
  <c r="AL41" i="25"/>
  <c r="BE55" i="25"/>
  <c r="N40" i="25"/>
  <c r="N42" i="25"/>
  <c r="N41" i="25"/>
  <c r="AQ54" i="25"/>
  <c r="U40" i="25"/>
  <c r="U42" i="25"/>
  <c r="U41" i="25"/>
  <c r="Z42" i="25"/>
  <c r="Z41" i="25"/>
  <c r="Z40" i="25"/>
  <c r="Y40" i="25"/>
  <c r="Y41" i="25"/>
  <c r="Y42" i="25"/>
  <c r="AF42" i="25"/>
  <c r="AF40" i="25"/>
  <c r="AF41" i="25"/>
  <c r="BF42" i="25"/>
  <c r="BF40" i="25"/>
  <c r="BF41" i="25"/>
  <c r="BC54" i="25"/>
  <c r="S40" i="25"/>
  <c r="S42" i="25"/>
  <c r="S41" i="25"/>
  <c r="BG55" i="25"/>
  <c r="AC54" i="25"/>
  <c r="AE41" i="25"/>
  <c r="AE40" i="25"/>
  <c r="AE42" i="25"/>
  <c r="AM42" i="25"/>
  <c r="AK41" i="25"/>
  <c r="L41" i="25"/>
  <c r="AC41" i="25"/>
  <c r="BE42" i="25"/>
  <c r="BD41" i="25"/>
  <c r="AK40" i="25"/>
  <c r="BD40" i="25"/>
  <c r="M42" i="25"/>
  <c r="BD42" i="25"/>
  <c r="M40" i="25"/>
  <c r="BC41" i="25"/>
  <c r="BC42" i="25"/>
  <c r="BG40" i="25"/>
  <c r="AQ42" i="25"/>
  <c r="BA41" i="25"/>
  <c r="AU41" i="25"/>
  <c r="AQ41" i="25"/>
  <c r="BE40" i="25"/>
  <c r="BA42" i="25"/>
  <c r="L40" i="25"/>
  <c r="AM41" i="25"/>
  <c r="BG42" i="25"/>
  <c r="BA40" i="25"/>
  <c r="L42" i="25"/>
  <c r="AU40" i="25"/>
  <c r="AU42" i="25"/>
  <c r="AC42" i="25"/>
  <c r="AC43" i="21"/>
  <c r="BG59" i="21"/>
  <c r="AM43" i="21"/>
  <c r="AK75" i="21"/>
  <c r="AQ43" i="21"/>
  <c r="BC43" i="21"/>
  <c r="BE59" i="21"/>
  <c r="BK42" i="25" l="1"/>
  <c r="BM42" i="25"/>
  <c r="BM40" i="25"/>
  <c r="BK40" i="25"/>
  <c r="BM41" i="25"/>
  <c r="BK41" i="25"/>
  <c r="BL40" i="25"/>
  <c r="BJ40" i="25"/>
  <c r="BL41" i="25"/>
  <c r="BJ41" i="25"/>
  <c r="BL42" i="25"/>
  <c r="BJ42" i="25"/>
  <c r="S56" i="25"/>
  <c r="U55" i="25"/>
  <c r="BH56" i="25"/>
  <c r="AH55" i="25"/>
  <c r="X55" i="25"/>
  <c r="T55" i="25"/>
  <c r="AA54" i="25"/>
  <c r="AP56" i="25"/>
  <c r="AM56" i="25"/>
  <c r="O54" i="25"/>
  <c r="AF56" i="25"/>
  <c r="BH54" i="25"/>
  <c r="AI54" i="25"/>
  <c r="AW56" i="25"/>
  <c r="S55" i="25"/>
  <c r="AH54" i="25"/>
  <c r="AZ41" i="25"/>
  <c r="AZ42" i="25"/>
  <c r="AZ40" i="25"/>
  <c r="Y56" i="25"/>
  <c r="U56" i="25"/>
  <c r="BH55" i="25"/>
  <c r="AH56" i="25"/>
  <c r="AB56" i="25"/>
  <c r="T56" i="25"/>
  <c r="AX56" i="25"/>
  <c r="AN54" i="25"/>
  <c r="AW55" i="25"/>
  <c r="BA56" i="25"/>
  <c r="AB54" i="25"/>
  <c r="T54" i="25"/>
  <c r="AO54" i="25"/>
  <c r="AX54" i="25"/>
  <c r="AA56" i="25"/>
  <c r="AN55" i="25"/>
  <c r="AK54" i="25"/>
  <c r="AQ55" i="25"/>
  <c r="AE54" i="25"/>
  <c r="BA55" i="25"/>
  <c r="BF55" i="25"/>
  <c r="U54" i="25"/>
  <c r="AJ54" i="25"/>
  <c r="AT56" i="25"/>
  <c r="AX55" i="25"/>
  <c r="AA55" i="25"/>
  <c r="P55" i="25"/>
  <c r="S54" i="25"/>
  <c r="AU55" i="25"/>
  <c r="AQ56" i="25"/>
  <c r="AG41" i="25"/>
  <c r="AG40" i="25"/>
  <c r="AG42" i="25"/>
  <c r="BF54" i="25"/>
  <c r="Y55" i="25"/>
  <c r="AL56" i="25"/>
  <c r="R55" i="25"/>
  <c r="AJ56" i="25"/>
  <c r="AB55" i="25"/>
  <c r="AT54" i="25"/>
  <c r="AO56" i="25"/>
  <c r="AN56" i="25"/>
  <c r="AW54" i="25"/>
  <c r="BD54" i="25"/>
  <c r="AP55" i="25"/>
  <c r="BD55" i="25"/>
  <c r="AU56" i="25"/>
  <c r="AY40" i="25"/>
  <c r="AY42" i="25"/>
  <c r="AY41" i="25"/>
  <c r="AL54" i="25"/>
  <c r="R56" i="25"/>
  <c r="AJ55" i="25"/>
  <c r="V54" i="25"/>
  <c r="AT55" i="25"/>
  <c r="AO55" i="25"/>
  <c r="AS54" i="25"/>
  <c r="Z56" i="25"/>
  <c r="BB42" i="25"/>
  <c r="BB41" i="25"/>
  <c r="BB40" i="25"/>
  <c r="AE56" i="25"/>
  <c r="BE56" i="25"/>
  <c r="AC56" i="25"/>
  <c r="AC55" i="25"/>
  <c r="AU54" i="25"/>
  <c r="L56" i="25"/>
  <c r="BF56" i="25"/>
  <c r="Z54" i="25"/>
  <c r="N55" i="25"/>
  <c r="W55" i="25"/>
  <c r="R54" i="25"/>
  <c r="V55" i="25"/>
  <c r="AV56" i="25"/>
  <c r="AS55" i="25"/>
  <c r="AV54" i="25"/>
  <c r="AR40" i="25"/>
  <c r="AR41" i="25"/>
  <c r="AR42" i="25"/>
  <c r="BG54" i="25"/>
  <c r="BC56" i="25"/>
  <c r="Y54" i="25"/>
  <c r="BA54" i="25"/>
  <c r="BG56" i="25"/>
  <c r="W56" i="25"/>
  <c r="X54" i="25"/>
  <c r="AV55" i="25"/>
  <c r="P56" i="25"/>
  <c r="O55" i="25"/>
  <c r="AS56" i="25"/>
  <c r="AL55" i="25"/>
  <c r="BC55" i="25"/>
  <c r="Q42" i="25"/>
  <c r="Q40" i="25"/>
  <c r="Q41" i="25"/>
  <c r="AM55" i="25"/>
  <c r="L55" i="25"/>
  <c r="AF55" i="25"/>
  <c r="N56" i="25"/>
  <c r="X56" i="25"/>
  <c r="V56" i="25"/>
  <c r="AI55" i="25"/>
  <c r="AP54" i="25"/>
  <c r="AI56" i="25"/>
  <c r="BE54" i="25"/>
  <c r="AE55" i="25"/>
  <c r="K41" i="25"/>
  <c r="K42" i="25"/>
  <c r="K40" i="25"/>
  <c r="AD42" i="25"/>
  <c r="AD41" i="25"/>
  <c r="AD40" i="25"/>
  <c r="M54" i="25"/>
  <c r="BD56" i="25"/>
  <c r="L54" i="25"/>
  <c r="M56" i="25"/>
  <c r="AK55" i="25"/>
  <c r="AF54" i="25"/>
  <c r="Z55" i="25"/>
  <c r="N54" i="25"/>
  <c r="W54" i="25"/>
  <c r="P54" i="25"/>
  <c r="O56" i="25"/>
  <c r="BA59" i="21"/>
  <c r="AM45" i="21"/>
  <c r="BF75" i="21"/>
  <c r="AH43" i="21"/>
  <c r="BF59" i="21"/>
  <c r="AS59" i="21"/>
  <c r="AT43" i="21"/>
  <c r="BI59" i="21"/>
  <c r="AO75" i="21"/>
  <c r="BI43" i="21"/>
  <c r="AK111" i="21"/>
  <c r="Y75" i="21"/>
  <c r="AA59" i="21"/>
  <c r="AB59" i="21"/>
  <c r="BD75" i="21"/>
  <c r="AO43" i="21"/>
  <c r="BA75" i="21"/>
  <c r="AX43" i="21"/>
  <c r="BD59" i="21"/>
  <c r="BJ75" i="21"/>
  <c r="AS43" i="21"/>
  <c r="BG75" i="21"/>
  <c r="AQ59" i="21"/>
  <c r="BK75" i="21"/>
  <c r="BJ43" i="21"/>
  <c r="BA43" i="21"/>
  <c r="AW59" i="21"/>
  <c r="AT59" i="21"/>
  <c r="BG43" i="21"/>
  <c r="AI59" i="21"/>
  <c r="BK59" i="21"/>
  <c r="AL75" i="21"/>
  <c r="W75" i="21"/>
  <c r="BE75" i="21"/>
  <c r="AQ75" i="21"/>
  <c r="AU43" i="21"/>
  <c r="AC59" i="21"/>
  <c r="BD43" i="21"/>
  <c r="BC75" i="21"/>
  <c r="AI75" i="21"/>
  <c r="AK43" i="21"/>
  <c r="AF75" i="21"/>
  <c r="AJ59" i="21"/>
  <c r="AA43" i="21"/>
  <c r="BH75" i="21"/>
  <c r="BH59" i="21"/>
  <c r="AV75" i="21"/>
  <c r="AP43" i="21"/>
  <c r="BL59" i="21"/>
  <c r="AJ75" i="21"/>
  <c r="AN75" i="21"/>
  <c r="Z59" i="21"/>
  <c r="AM75" i="21"/>
  <c r="AU75" i="21"/>
  <c r="AQ45" i="21"/>
  <c r="AL43" i="21"/>
  <c r="BL75" i="21"/>
  <c r="AF43" i="21"/>
  <c r="BC45" i="21"/>
  <c r="Y43" i="21"/>
  <c r="BH43" i="21"/>
  <c r="AP59" i="21"/>
  <c r="X75" i="21"/>
  <c r="AC75" i="21"/>
  <c r="W43" i="21"/>
  <c r="AN43" i="21"/>
  <c r="Z75" i="21"/>
  <c r="BI75" i="21"/>
  <c r="AP75" i="21"/>
  <c r="AF59" i="21"/>
  <c r="Y59" i="21"/>
  <c r="AT75" i="21"/>
  <c r="AH75" i="21"/>
  <c r="W59" i="21"/>
  <c r="BG61" i="21"/>
  <c r="AE43" i="21"/>
  <c r="BJ59" i="21"/>
  <c r="BL43" i="21"/>
  <c r="AV43" i="21"/>
  <c r="AO59" i="21"/>
  <c r="AW43" i="21"/>
  <c r="AV59" i="21"/>
  <c r="Z43" i="21"/>
  <c r="AI43" i="21"/>
  <c r="X59" i="21"/>
  <c r="BE61" i="21"/>
  <c r="AB75" i="21"/>
  <c r="BF43" i="21"/>
  <c r="AK59" i="21"/>
  <c r="AC45" i="21"/>
  <c r="AN59" i="21"/>
  <c r="AX59" i="21"/>
  <c r="AS75" i="21"/>
  <c r="AU59" i="21"/>
  <c r="AL59" i="21"/>
  <c r="AA75" i="21"/>
  <c r="AJ43" i="21"/>
  <c r="X43" i="21"/>
  <c r="AX75" i="21"/>
  <c r="AB43" i="21"/>
  <c r="AH59" i="21"/>
  <c r="AE75" i="21"/>
  <c r="AE59" i="21"/>
  <c r="AW75" i="21"/>
  <c r="AM59" i="21"/>
  <c r="BE43" i="21"/>
  <c r="AK77" i="21"/>
  <c r="BC59" i="21"/>
  <c r="BK43" i="21"/>
  <c r="BK104" i="21" l="1"/>
  <c r="BL104" i="21"/>
  <c r="BJ104" i="21"/>
  <c r="BJ106" i="21" s="1"/>
  <c r="BL56" i="25"/>
  <c r="BJ56" i="25"/>
  <c r="BL55" i="25"/>
  <c r="BJ55" i="25"/>
  <c r="BL54" i="25"/>
  <c r="BJ54" i="25"/>
  <c r="BM55" i="25"/>
  <c r="BK55" i="25"/>
  <c r="BM54" i="25"/>
  <c r="BK54" i="25"/>
  <c r="BM56" i="25"/>
  <c r="BK56" i="25"/>
  <c r="AF104" i="21"/>
  <c r="AL104" i="21"/>
  <c r="AU104" i="21"/>
  <c r="CO43" i="21"/>
  <c r="CP43" i="21"/>
  <c r="U104" i="21"/>
  <c r="AO104" i="21"/>
  <c r="CN59" i="21"/>
  <c r="AW104" i="21"/>
  <c r="P104" i="21"/>
  <c r="AC104" i="21"/>
  <c r="AX104" i="21"/>
  <c r="Y104" i="21"/>
  <c r="CN75" i="21"/>
  <c r="AQ104" i="21"/>
  <c r="R104" i="21"/>
  <c r="CP59" i="21"/>
  <c r="CO59" i="21"/>
  <c r="AM104" i="21"/>
  <c r="BH104" i="21"/>
  <c r="V104" i="21"/>
  <c r="O104" i="21"/>
  <c r="BE104" i="21"/>
  <c r="T104" i="21"/>
  <c r="AT104" i="21"/>
  <c r="AN104" i="21"/>
  <c r="CP75" i="21"/>
  <c r="CO75" i="21"/>
  <c r="CN43" i="21"/>
  <c r="BC104" i="21"/>
  <c r="AA104" i="21"/>
  <c r="AP104" i="21"/>
  <c r="BG104" i="21"/>
  <c r="AK104" i="21"/>
  <c r="AV104" i="21"/>
  <c r="BF104" i="21"/>
  <c r="AE104" i="21"/>
  <c r="AB104" i="21"/>
  <c r="X104" i="21"/>
  <c r="AJ104" i="21"/>
  <c r="BA104" i="21"/>
  <c r="S104" i="21"/>
  <c r="Z104" i="21"/>
  <c r="M104" i="21"/>
  <c r="W104" i="21"/>
  <c r="L104" i="21"/>
  <c r="AH104" i="21"/>
  <c r="AS104" i="21"/>
  <c r="BI104" i="21"/>
  <c r="N104" i="21"/>
  <c r="AI104" i="21"/>
  <c r="BD104" i="21"/>
  <c r="Q55" i="25"/>
  <c r="AR54" i="25"/>
  <c r="AR55" i="25"/>
  <c r="BB56" i="25"/>
  <c r="Q56" i="25"/>
  <c r="AY54" i="25"/>
  <c r="AZ54" i="25"/>
  <c r="Q54" i="25"/>
  <c r="AG56" i="25"/>
  <c r="AZ56" i="25"/>
  <c r="K55" i="25"/>
  <c r="AY55" i="25"/>
  <c r="AD54" i="25"/>
  <c r="AD55" i="25"/>
  <c r="K54" i="25"/>
  <c r="BB54" i="25"/>
  <c r="AY56" i="25"/>
  <c r="AG54" i="25"/>
  <c r="AZ55" i="25"/>
  <c r="AD56" i="25"/>
  <c r="K56" i="25"/>
  <c r="AG55" i="25"/>
  <c r="AR56" i="25"/>
  <c r="BB55" i="25"/>
  <c r="L107" i="21"/>
  <c r="L111" i="21"/>
  <c r="BK77" i="21"/>
  <c r="S107" i="21"/>
  <c r="X61" i="21"/>
  <c r="AI77" i="21"/>
  <c r="BL111" i="21"/>
  <c r="AP77" i="21"/>
  <c r="Z107" i="21"/>
  <c r="U107" i="21"/>
  <c r="O107" i="21"/>
  <c r="AF77" i="21"/>
  <c r="AC77" i="21"/>
  <c r="AF61" i="21"/>
  <c r="AG43" i="21"/>
  <c r="BL77" i="21"/>
  <c r="BD45" i="21"/>
  <c r="AN111" i="21"/>
  <c r="U111" i="21"/>
  <c r="AV77" i="21"/>
  <c r="BH111" i="21"/>
  <c r="AO61" i="21"/>
  <c r="AT111" i="21"/>
  <c r="AX77" i="21"/>
  <c r="AT77" i="21"/>
  <c r="AS61" i="21"/>
  <c r="AI45" i="21"/>
  <c r="AH107" i="21"/>
  <c r="X111" i="21"/>
  <c r="AY43" i="21"/>
  <c r="BJ61" i="21"/>
  <c r="BB43" i="21"/>
  <c r="AB77" i="21"/>
  <c r="AA61" i="21"/>
  <c r="AN45" i="21"/>
  <c r="Y61" i="21"/>
  <c r="BD61" i="21"/>
  <c r="AM111" i="21"/>
  <c r="Y77" i="21"/>
  <c r="AS111" i="21"/>
  <c r="AZ75" i="21"/>
  <c r="AP45" i="21"/>
  <c r="BA61" i="21"/>
  <c r="Z61" i="21"/>
  <c r="AQ61" i="21"/>
  <c r="BI45" i="21"/>
  <c r="BL107" i="21"/>
  <c r="AK107" i="21"/>
  <c r="AB111" i="21"/>
  <c r="BF61" i="21"/>
  <c r="AZ59" i="21"/>
  <c r="AW61" i="21"/>
  <c r="AA111" i="21"/>
  <c r="P107" i="21"/>
  <c r="M107" i="21"/>
  <c r="AX45" i="21"/>
  <c r="AI107" i="21"/>
  <c r="O111" i="21"/>
  <c r="AE77" i="21"/>
  <c r="AT45" i="21"/>
  <c r="T107" i="21"/>
  <c r="AW77" i="21"/>
  <c r="AR43" i="21"/>
  <c r="AX61" i="21"/>
  <c r="AE107" i="21"/>
  <c r="AJ107" i="21"/>
  <c r="BF107" i="21"/>
  <c r="BA77" i="21"/>
  <c r="AU111" i="21"/>
  <c r="AR75" i="21"/>
  <c r="AQ77" i="21"/>
  <c r="BH77" i="21"/>
  <c r="AC61" i="21"/>
  <c r="BB75" i="21"/>
  <c r="AJ111" i="21"/>
  <c r="BK61" i="21"/>
  <c r="AX107" i="21"/>
  <c r="AR59" i="21"/>
  <c r="BC77" i="21"/>
  <c r="AN107" i="21"/>
  <c r="AN61" i="21"/>
  <c r="AT61" i="21"/>
  <c r="Z77" i="21"/>
  <c r="AQ111" i="21"/>
  <c r="AO111" i="21"/>
  <c r="BJ107" i="21"/>
  <c r="AC111" i="21"/>
  <c r="AH45" i="21"/>
  <c r="BG45" i="21"/>
  <c r="AP61" i="21"/>
  <c r="AO45" i="21"/>
  <c r="AW107" i="21"/>
  <c r="BD107" i="21"/>
  <c r="AL45" i="21"/>
  <c r="AP111" i="21"/>
  <c r="AA77" i="21"/>
  <c r="AS107" i="21"/>
  <c r="AV107" i="21"/>
  <c r="BL61" i="21"/>
  <c r="BF45" i="21"/>
  <c r="W45" i="21"/>
  <c r="AL107" i="21"/>
  <c r="BE107" i="21"/>
  <c r="P111" i="21"/>
  <c r="BA107" i="21"/>
  <c r="X107" i="21"/>
  <c r="AY75" i="21"/>
  <c r="BL45" i="21"/>
  <c r="BJ45" i="21"/>
  <c r="V111" i="21"/>
  <c r="AE61" i="21"/>
  <c r="BJ77" i="21"/>
  <c r="AS45" i="21"/>
  <c r="BD77" i="21"/>
  <c r="AZ43" i="21"/>
  <c r="AU77" i="21"/>
  <c r="AP107" i="21"/>
  <c r="BH61" i="21"/>
  <c r="AI111" i="21"/>
  <c r="BG111" i="21"/>
  <c r="AV45" i="21"/>
  <c r="AV61" i="21"/>
  <c r="AK45" i="21"/>
  <c r="BC107" i="21"/>
  <c r="BC61" i="21"/>
  <c r="X77" i="21"/>
  <c r="BF111" i="21"/>
  <c r="R111" i="21"/>
  <c r="Z45" i="21"/>
  <c r="AL77" i="21"/>
  <c r="BC111" i="21"/>
  <c r="X45" i="21"/>
  <c r="W111" i="21"/>
  <c r="AQ107" i="21"/>
  <c r="AM61" i="21"/>
  <c r="Z111" i="21"/>
  <c r="AB61" i="21"/>
  <c r="AG75" i="21"/>
  <c r="AT107" i="21"/>
  <c r="AA45" i="21"/>
  <c r="AD75" i="21"/>
  <c r="BI61" i="21"/>
  <c r="AB45" i="21"/>
  <c r="T111" i="21"/>
  <c r="AJ45" i="21"/>
  <c r="AD43" i="21"/>
  <c r="AE45" i="21"/>
  <c r="BH107" i="21"/>
  <c r="AF111" i="21"/>
  <c r="AJ61" i="21"/>
  <c r="N107" i="21"/>
  <c r="Y107" i="21"/>
  <c r="AI61" i="21"/>
  <c r="BH45" i="21"/>
  <c r="AH77" i="21"/>
  <c r="AK113" i="21"/>
  <c r="AF107" i="21"/>
  <c r="BI77" i="21"/>
  <c r="BB59" i="21"/>
  <c r="BK107" i="21"/>
  <c r="AL61" i="21"/>
  <c r="BG107" i="21"/>
  <c r="W107" i="21"/>
  <c r="BA111" i="21"/>
  <c r="BI111" i="21"/>
  <c r="AU61" i="21"/>
  <c r="AO77" i="21"/>
  <c r="R107" i="21"/>
  <c r="Y45" i="21"/>
  <c r="N111" i="21"/>
  <c r="AG59" i="21"/>
  <c r="AB107" i="21"/>
  <c r="AS77" i="21"/>
  <c r="AU45" i="21"/>
  <c r="AN77" i="21"/>
  <c r="BJ111" i="21"/>
  <c r="AA107" i="21"/>
  <c r="V107" i="21"/>
  <c r="BD111" i="21"/>
  <c r="BG77" i="21"/>
  <c r="AM107" i="21"/>
  <c r="AM77" i="21"/>
  <c r="AW111" i="21"/>
  <c r="AW45" i="21"/>
  <c r="AY59" i="21"/>
  <c r="AU107" i="21"/>
  <c r="BI107" i="21"/>
  <c r="AE111" i="21"/>
  <c r="BE111" i="21"/>
  <c r="BE45" i="21"/>
  <c r="AK61" i="21"/>
  <c r="W61" i="21"/>
  <c r="AL111" i="21"/>
  <c r="BF77" i="21"/>
  <c r="AF45" i="21"/>
  <c r="AJ77" i="21"/>
  <c r="Y111" i="21"/>
  <c r="S111" i="21"/>
  <c r="M111" i="21"/>
  <c r="AC107" i="21"/>
  <c r="AV111" i="21"/>
  <c r="AX111" i="21"/>
  <c r="AD59" i="21"/>
  <c r="BK45" i="21"/>
  <c r="BK111" i="21"/>
  <c r="AO107" i="21"/>
  <c r="AH61" i="21"/>
  <c r="BE77" i="21"/>
  <c r="W77" i="21"/>
  <c r="BA45" i="21"/>
  <c r="AH111" i="21"/>
  <c r="J88" i="21" l="1"/>
  <c r="K88" i="21" s="1"/>
  <c r="L88" i="21" s="1"/>
  <c r="M88" i="21" s="1"/>
  <c r="N88" i="21" s="1"/>
  <c r="I148" i="21"/>
  <c r="CI148" i="21"/>
  <c r="BW148" i="21"/>
  <c r="BK148" i="21"/>
  <c r="AY148" i="21"/>
  <c r="AM148" i="21"/>
  <c r="AA148" i="21"/>
  <c r="O148" i="21"/>
  <c r="CF148" i="21"/>
  <c r="AJ148" i="21"/>
  <c r="AI148" i="21"/>
  <c r="BF148" i="21"/>
  <c r="AH148" i="21"/>
  <c r="BQ148" i="21"/>
  <c r="U148" i="21"/>
  <c r="BN148" i="21"/>
  <c r="R148" i="21"/>
  <c r="BY148" i="21"/>
  <c r="BX148" i="21"/>
  <c r="CH148" i="21"/>
  <c r="BV148" i="21"/>
  <c r="BJ148" i="21"/>
  <c r="AX148" i="21"/>
  <c r="AL148" i="21"/>
  <c r="N148" i="21"/>
  <c r="M148" i="21"/>
  <c r="BT148" i="21"/>
  <c r="AV148" i="21"/>
  <c r="W148" i="21"/>
  <c r="BR148" i="21"/>
  <c r="V148" i="21"/>
  <c r="CC148" i="21"/>
  <c r="H148" i="21"/>
  <c r="CL148" i="21"/>
  <c r="BM148" i="21"/>
  <c r="BL148" i="21"/>
  <c r="P148" i="21"/>
  <c r="CG148" i="21"/>
  <c r="BU148" i="21"/>
  <c r="BI148" i="21"/>
  <c r="AW148" i="21"/>
  <c r="AK148" i="21"/>
  <c r="BH148" i="21"/>
  <c r="L148" i="21"/>
  <c r="K148" i="21"/>
  <c r="CD148" i="21"/>
  <c r="J148" i="21"/>
  <c r="AS148" i="21"/>
  <c r="BB148" i="21"/>
  <c r="BA148" i="21"/>
  <c r="AZ148" i="21"/>
  <c r="CE148" i="21"/>
  <c r="BS148" i="21"/>
  <c r="BG148" i="21"/>
  <c r="AU148" i="21"/>
  <c r="AT148" i="21"/>
  <c r="BE148" i="21"/>
  <c r="AG148" i="21"/>
  <c r="BZ148" i="21"/>
  <c r="AO148" i="21"/>
  <c r="Q148" i="21"/>
  <c r="CJ148" i="21"/>
  <c r="CB148" i="21"/>
  <c r="BP148" i="21"/>
  <c r="BD148" i="21"/>
  <c r="AR148" i="21"/>
  <c r="AF148" i="21"/>
  <c r="CA148" i="21"/>
  <c r="BO148" i="21"/>
  <c r="BC148" i="21"/>
  <c r="AQ148" i="21"/>
  <c r="AE148" i="21"/>
  <c r="S148" i="21"/>
  <c r="AP148" i="21"/>
  <c r="CK148" i="21"/>
  <c r="AC148" i="21"/>
  <c r="AN148" i="21"/>
  <c r="O88" i="21"/>
  <c r="O56" i="21"/>
  <c r="J56" i="21"/>
  <c r="K56" i="21" s="1"/>
  <c r="L56" i="21" s="1"/>
  <c r="M56" i="21" s="1"/>
  <c r="N56" i="21" s="1"/>
  <c r="O72" i="21"/>
  <c r="J72" i="21"/>
  <c r="K72" i="21" s="1"/>
  <c r="L72" i="21" s="1"/>
  <c r="M72" i="21" s="1"/>
  <c r="N72" i="21" s="1"/>
  <c r="BL106" i="21"/>
  <c r="BL138" i="21"/>
  <c r="BM138" i="21"/>
  <c r="BK138" i="21"/>
  <c r="BK106" i="21"/>
  <c r="CN111" i="21"/>
  <c r="K104" i="21"/>
  <c r="L138" i="21" s="1"/>
  <c r="AY104" i="21"/>
  <c r="CN45" i="21"/>
  <c r="AZ104" i="21"/>
  <c r="BA138" i="21" s="1"/>
  <c r="CP111" i="21"/>
  <c r="CO111" i="21"/>
  <c r="Z79" i="21"/>
  <c r="AN79" i="21"/>
  <c r="N79" i="21"/>
  <c r="CF79" i="21"/>
  <c r="T79" i="21"/>
  <c r="R79" i="21"/>
  <c r="U79" i="21"/>
  <c r="BE79" i="21"/>
  <c r="BM79" i="21"/>
  <c r="AB79" i="21"/>
  <c r="AG79" i="21"/>
  <c r="BN79" i="21"/>
  <c r="CH79" i="21"/>
  <c r="BL79" i="21"/>
  <c r="CL79" i="21"/>
  <c r="CI79" i="21"/>
  <c r="AY79" i="21"/>
  <c r="BH79" i="21"/>
  <c r="BS79" i="21"/>
  <c r="AL79" i="21"/>
  <c r="BZ79" i="21"/>
  <c r="V79" i="21"/>
  <c r="CA79" i="21"/>
  <c r="AC79" i="21"/>
  <c r="Q79" i="21"/>
  <c r="BO79" i="21"/>
  <c r="AW79" i="21"/>
  <c r="CC79" i="21"/>
  <c r="BT79" i="21"/>
  <c r="BK79" i="21"/>
  <c r="AP79" i="21"/>
  <c r="K79" i="21"/>
  <c r="X79" i="21"/>
  <c r="AH79" i="21"/>
  <c r="CG79" i="21"/>
  <c r="O79" i="21"/>
  <c r="AX79" i="21"/>
  <c r="AF79" i="21"/>
  <c r="BJ79" i="21"/>
  <c r="AO79" i="21"/>
  <c r="CB79" i="21"/>
  <c r="CK79" i="21"/>
  <c r="J79" i="21"/>
  <c r="AI79" i="21"/>
  <c r="I79" i="21"/>
  <c r="BR79" i="21"/>
  <c r="BA79" i="21"/>
  <c r="AQ79" i="21"/>
  <c r="P79" i="21"/>
  <c r="BW79" i="21"/>
  <c r="AD79" i="21"/>
  <c r="BB79" i="21"/>
  <c r="BU79" i="21"/>
  <c r="BQ79" i="21"/>
  <c r="BI79" i="21"/>
  <c r="AE79" i="21"/>
  <c r="BV79" i="21"/>
  <c r="BD79" i="21"/>
  <c r="AA79" i="21"/>
  <c r="BG79" i="21"/>
  <c r="W79" i="21"/>
  <c r="AJ79" i="21"/>
  <c r="BX79" i="21"/>
  <c r="CJ79" i="21"/>
  <c r="AV79" i="21"/>
  <c r="CE79" i="21"/>
  <c r="AU79" i="21"/>
  <c r="Y79" i="21"/>
  <c r="L79" i="21"/>
  <c r="AZ79" i="21"/>
  <c r="AS79" i="21"/>
  <c r="BP79" i="21"/>
  <c r="S79" i="21"/>
  <c r="BF79" i="21"/>
  <c r="AK79" i="21"/>
  <c r="AM79" i="21"/>
  <c r="BY79" i="21"/>
  <c r="M79" i="21"/>
  <c r="BC79" i="21"/>
  <c r="AT79" i="21"/>
  <c r="CD79" i="21"/>
  <c r="AR79" i="21"/>
  <c r="F79" i="21"/>
  <c r="H79" i="21"/>
  <c r="CP77" i="21"/>
  <c r="CO77" i="21"/>
  <c r="G79" i="21"/>
  <c r="E79" i="21"/>
  <c r="AR104" i="21"/>
  <c r="AS138" i="21" s="1"/>
  <c r="AD104" i="21"/>
  <c r="AE138" i="21" s="1"/>
  <c r="Q104" i="21"/>
  <c r="R138" i="21" s="1"/>
  <c r="CN61" i="21"/>
  <c r="BB104" i="21"/>
  <c r="BC138" i="21" s="1"/>
  <c r="AG104" i="21"/>
  <c r="AH138" i="21" s="1"/>
  <c r="AN63" i="21"/>
  <c r="T63" i="21"/>
  <c r="AD63" i="21"/>
  <c r="AK63" i="21"/>
  <c r="BL63" i="21"/>
  <c r="AT63" i="21"/>
  <c r="Y63" i="21"/>
  <c r="Q63" i="21"/>
  <c r="AM63" i="21"/>
  <c r="CA63" i="21"/>
  <c r="U63" i="21"/>
  <c r="BU63" i="21"/>
  <c r="BA63" i="21"/>
  <c r="AC63" i="21"/>
  <c r="I63" i="21"/>
  <c r="Z63" i="21"/>
  <c r="AS63" i="21"/>
  <c r="BE63" i="21"/>
  <c r="CJ63" i="21"/>
  <c r="J63" i="21"/>
  <c r="P63" i="21"/>
  <c r="AX63" i="21"/>
  <c r="AL63" i="21"/>
  <c r="AY63" i="21"/>
  <c r="BT63" i="21"/>
  <c r="V63" i="21"/>
  <c r="O63" i="21"/>
  <c r="BC63" i="21"/>
  <c r="L63" i="21"/>
  <c r="CC63" i="21"/>
  <c r="BF63" i="21"/>
  <c r="M63" i="21"/>
  <c r="AO63" i="21"/>
  <c r="AE63" i="21"/>
  <c r="N63" i="21"/>
  <c r="CF63" i="21"/>
  <c r="AF63" i="21"/>
  <c r="BR63" i="21"/>
  <c r="AB63" i="21"/>
  <c r="CE63" i="21"/>
  <c r="BQ63" i="21"/>
  <c r="AH63" i="21"/>
  <c r="AQ63" i="21"/>
  <c r="AV63" i="21"/>
  <c r="BX63" i="21"/>
  <c r="CD63" i="21"/>
  <c r="BH63" i="21"/>
  <c r="BS63" i="21"/>
  <c r="AU63" i="21"/>
  <c r="CL63" i="21"/>
  <c r="BW63" i="21"/>
  <c r="CG63" i="21"/>
  <c r="AG63" i="21"/>
  <c r="BB63" i="21"/>
  <c r="BJ63" i="21"/>
  <c r="X63" i="21"/>
  <c r="BI63" i="21"/>
  <c r="AJ63" i="21"/>
  <c r="AW63" i="21"/>
  <c r="AP63" i="21"/>
  <c r="BG63" i="21"/>
  <c r="CB63" i="21"/>
  <c r="BD63" i="21"/>
  <c r="CK63" i="21"/>
  <c r="BN63" i="21"/>
  <c r="AZ63" i="21"/>
  <c r="BM63" i="21"/>
  <c r="W63" i="21"/>
  <c r="BV63" i="21"/>
  <c r="BP63" i="21"/>
  <c r="CH63" i="21"/>
  <c r="AA63" i="21"/>
  <c r="BK63" i="21"/>
  <c r="BZ63" i="21"/>
  <c r="S63" i="21"/>
  <c r="R63" i="21"/>
  <c r="BY63" i="21"/>
  <c r="AR63" i="21"/>
  <c r="BO63" i="21"/>
  <c r="K63" i="21"/>
  <c r="AI63" i="21"/>
  <c r="CI63" i="21"/>
  <c r="CP61" i="21"/>
  <c r="E63" i="21"/>
  <c r="CO61" i="21"/>
  <c r="H63" i="21"/>
  <c r="G63" i="21"/>
  <c r="F63" i="21"/>
  <c r="CN77" i="21"/>
  <c r="AN47" i="21"/>
  <c r="BD47" i="21"/>
  <c r="BQ47" i="21"/>
  <c r="BX47" i="21"/>
  <c r="AS47" i="21"/>
  <c r="BT47" i="21"/>
  <c r="BE47" i="21"/>
  <c r="BJ47" i="21"/>
  <c r="CG47" i="21"/>
  <c r="AY47" i="21"/>
  <c r="BH47" i="21"/>
  <c r="CF47" i="21"/>
  <c r="BY47" i="21"/>
  <c r="S47" i="21"/>
  <c r="U47" i="21"/>
  <c r="BI47" i="21"/>
  <c r="I47" i="21"/>
  <c r="AK47" i="21"/>
  <c r="BS47" i="21"/>
  <c r="BK47" i="21"/>
  <c r="BN47" i="21"/>
  <c r="J47" i="21"/>
  <c r="CK47" i="21"/>
  <c r="BZ47" i="21"/>
  <c r="K47" i="21"/>
  <c r="BB47" i="21"/>
  <c r="W47" i="21"/>
  <c r="Z47" i="21"/>
  <c r="AB47" i="21"/>
  <c r="AX47" i="21"/>
  <c r="Q47" i="21"/>
  <c r="AM47" i="21"/>
  <c r="Y47" i="21"/>
  <c r="BP47" i="21"/>
  <c r="CE47" i="21"/>
  <c r="V47" i="21"/>
  <c r="AC47" i="21"/>
  <c r="L47" i="21"/>
  <c r="AZ47" i="21"/>
  <c r="AL47" i="21"/>
  <c r="AV47" i="21"/>
  <c r="BF47" i="21"/>
  <c r="AI47" i="21"/>
  <c r="AF47" i="21"/>
  <c r="AQ47" i="21"/>
  <c r="CB47" i="21"/>
  <c r="CA47" i="21"/>
  <c r="AT47" i="21"/>
  <c r="CH47" i="21"/>
  <c r="BW47" i="21"/>
  <c r="BV47" i="21"/>
  <c r="AA47" i="21"/>
  <c r="AD47" i="21"/>
  <c r="BA47" i="21"/>
  <c r="CC47" i="21"/>
  <c r="CJ47" i="21"/>
  <c r="BL47" i="21"/>
  <c r="X47" i="21"/>
  <c r="BU47" i="21"/>
  <c r="BC47" i="21"/>
  <c r="AO47" i="21"/>
  <c r="BO47" i="21"/>
  <c r="P47" i="21"/>
  <c r="CD47" i="21"/>
  <c r="O47" i="21"/>
  <c r="AW47" i="21"/>
  <c r="BM47" i="21"/>
  <c r="CI47" i="21"/>
  <c r="N47" i="21"/>
  <c r="AJ47" i="21"/>
  <c r="T47" i="21"/>
  <c r="AH47" i="21"/>
  <c r="M47" i="21"/>
  <c r="BR47" i="21"/>
  <c r="AP47" i="21"/>
  <c r="AE47" i="21"/>
  <c r="BG47" i="21"/>
  <c r="AR47" i="21"/>
  <c r="AU47" i="21"/>
  <c r="CL47" i="21"/>
  <c r="AG47" i="21"/>
  <c r="R47" i="21"/>
  <c r="G47" i="21"/>
  <c r="CL46" i="21"/>
  <c r="CP45" i="21"/>
  <c r="BJ46" i="21"/>
  <c r="H46" i="21"/>
  <c r="BM46" i="21"/>
  <c r="BW46" i="21"/>
  <c r="E47" i="21"/>
  <c r="CO45" i="21"/>
  <c r="BT46" i="21"/>
  <c r="CJ46" i="21"/>
  <c r="CD46" i="21"/>
  <c r="H47" i="21"/>
  <c r="I46" i="21"/>
  <c r="AN46" i="21"/>
  <c r="J46" i="21"/>
  <c r="F47" i="21"/>
  <c r="BO46" i="21"/>
  <c r="AC46" i="21"/>
  <c r="BI46" i="21"/>
  <c r="W106" i="21"/>
  <c r="W138" i="21"/>
  <c r="AN106" i="21"/>
  <c r="CP104" i="21"/>
  <c r="CO104" i="21"/>
  <c r="AN138" i="21"/>
  <c r="V138" i="21"/>
  <c r="V106" i="21"/>
  <c r="AI106" i="21"/>
  <c r="AI138" i="21"/>
  <c r="BJ138" i="21"/>
  <c r="BI106" i="21"/>
  <c r="BI138" i="21"/>
  <c r="Z138" i="21"/>
  <c r="Z106" i="21"/>
  <c r="AE106" i="21"/>
  <c r="AP138" i="21"/>
  <c r="AP106" i="21"/>
  <c r="AO138" i="21"/>
  <c r="AO106" i="21"/>
  <c r="BH106" i="21"/>
  <c r="BH138" i="21"/>
  <c r="Y106" i="21"/>
  <c r="CN106" i="21" s="1"/>
  <c r="Y138" i="21"/>
  <c r="CN104" i="21"/>
  <c r="AA106" i="21"/>
  <c r="AA138" i="21"/>
  <c r="AM138" i="21"/>
  <c r="AM106" i="21"/>
  <c r="AX138" i="21"/>
  <c r="AX106" i="21"/>
  <c r="AH106" i="21"/>
  <c r="BA106" i="21"/>
  <c r="AV106" i="21"/>
  <c r="AV138" i="21"/>
  <c r="T106" i="21"/>
  <c r="T138" i="21"/>
  <c r="AC138" i="21"/>
  <c r="AC106" i="21"/>
  <c r="AS106" i="21"/>
  <c r="BF106" i="21"/>
  <c r="BF138" i="21"/>
  <c r="AT106" i="21"/>
  <c r="AT138" i="21"/>
  <c r="BD106" i="21"/>
  <c r="BD138" i="21"/>
  <c r="L106" i="21"/>
  <c r="AJ138" i="21"/>
  <c r="AJ106" i="21"/>
  <c r="AU106" i="21"/>
  <c r="AU138" i="21"/>
  <c r="S138" i="21"/>
  <c r="S106" i="21"/>
  <c r="U106" i="21"/>
  <c r="U138" i="21"/>
  <c r="BC106" i="21"/>
  <c r="BE138" i="21"/>
  <c r="BE106" i="21"/>
  <c r="R106" i="21"/>
  <c r="P138" i="21"/>
  <c r="P106" i="21"/>
  <c r="AK106" i="21"/>
  <c r="AK138" i="21"/>
  <c r="AL106" i="21"/>
  <c r="AL138" i="21"/>
  <c r="O138" i="21"/>
  <c r="O106" i="21"/>
  <c r="AQ106" i="21"/>
  <c r="AQ138" i="21"/>
  <c r="AW106" i="21"/>
  <c r="AW138" i="21"/>
  <c r="X138" i="21"/>
  <c r="X106" i="21"/>
  <c r="N138" i="21"/>
  <c r="N106" i="21"/>
  <c r="M138" i="21"/>
  <c r="M106" i="21"/>
  <c r="AB106" i="21"/>
  <c r="AB138" i="21"/>
  <c r="BG138" i="21"/>
  <c r="BG106" i="21"/>
  <c r="AF138" i="21"/>
  <c r="AF106" i="21"/>
  <c r="K107" i="21"/>
  <c r="L113" i="21"/>
  <c r="K111" i="21"/>
  <c r="Q111" i="21"/>
  <c r="N113" i="21"/>
  <c r="AJ113" i="21"/>
  <c r="AE113" i="21"/>
  <c r="AG61" i="21"/>
  <c r="BI113" i="21"/>
  <c r="AO113" i="21"/>
  <c r="BD113" i="21"/>
  <c r="AV113" i="21"/>
  <c r="BB61" i="21"/>
  <c r="BH113" i="21"/>
  <c r="P113" i="21"/>
  <c r="AG45" i="21"/>
  <c r="BJ113" i="21"/>
  <c r="AZ107" i="21"/>
  <c r="BL113" i="21"/>
  <c r="AD61" i="21"/>
  <c r="T113" i="21"/>
  <c r="BE113" i="21"/>
  <c r="O113" i="21"/>
  <c r="AR61" i="21"/>
  <c r="AZ111" i="21"/>
  <c r="AU113" i="21"/>
  <c r="BB45" i="21"/>
  <c r="AR111" i="21"/>
  <c r="AF113" i="21"/>
  <c r="AZ61" i="21"/>
  <c r="AX113" i="21"/>
  <c r="R113" i="21"/>
  <c r="AQ113" i="21"/>
  <c r="M113" i="21"/>
  <c r="AI113" i="21"/>
  <c r="BF113" i="21"/>
  <c r="Z113" i="21"/>
  <c r="AY45" i="21"/>
  <c r="AY107" i="21"/>
  <c r="AS113" i="21"/>
  <c r="BG113" i="21"/>
  <c r="Y113" i="21"/>
  <c r="AH113" i="21"/>
  <c r="AM113" i="21"/>
  <c r="AR77" i="21"/>
  <c r="AL113" i="21"/>
  <c r="AT113" i="21"/>
  <c r="BC113" i="21"/>
  <c r="AD45" i="21"/>
  <c r="BB111" i="21"/>
  <c r="AP113" i="21"/>
  <c r="BK113" i="21"/>
  <c r="BA113" i="21"/>
  <c r="AY77" i="21"/>
  <c r="AB113" i="21"/>
  <c r="W113" i="21"/>
  <c r="AZ45" i="21"/>
  <c r="AN113" i="21"/>
  <c r="AD107" i="21"/>
  <c r="AA113" i="21"/>
  <c r="AG107" i="21"/>
  <c r="U113" i="21"/>
  <c r="AR45" i="21"/>
  <c r="AD77" i="21"/>
  <c r="AY61" i="21"/>
  <c r="AG111" i="21"/>
  <c r="BB107" i="21"/>
  <c r="AC113" i="21"/>
  <c r="AD111" i="21"/>
  <c r="AG77" i="21"/>
  <c r="AY111" i="21"/>
  <c r="S113" i="21"/>
  <c r="AW113" i="21"/>
  <c r="Q107" i="21"/>
  <c r="AZ77" i="21"/>
  <c r="X113" i="21"/>
  <c r="AR107" i="21"/>
  <c r="BB77" i="21"/>
  <c r="V113" i="21"/>
  <c r="E65" i="40" l="1"/>
  <c r="T148" i="21"/>
  <c r="T149" i="21" s="1"/>
  <c r="T145" i="21"/>
  <c r="AB62" i="21"/>
  <c r="Z46" i="21"/>
  <c r="AL78" i="21"/>
  <c r="O62" i="21"/>
  <c r="BP46" i="21"/>
  <c r="BL46" i="21"/>
  <c r="CH46" i="21"/>
  <c r="U62" i="21"/>
  <c r="O46" i="21"/>
  <c r="N46" i="21"/>
  <c r="BE62" i="21"/>
  <c r="BN62" i="21"/>
  <c r="BW62" i="21"/>
  <c r="BX62" i="21"/>
  <c r="BC78" i="21"/>
  <c r="AI62" i="21"/>
  <c r="AK62" i="21"/>
  <c r="AM62" i="21"/>
  <c r="AB78" i="21"/>
  <c r="AO78" i="21"/>
  <c r="T62" i="21"/>
  <c r="BF78" i="21"/>
  <c r="BS78" i="21"/>
  <c r="CE78" i="21"/>
  <c r="BL78" i="21"/>
  <c r="AN78" i="21"/>
  <c r="W46" i="21"/>
  <c r="Z62" i="21"/>
  <c r="AK46" i="21"/>
  <c r="L46" i="21"/>
  <c r="AW78" i="21"/>
  <c r="BC46" i="21"/>
  <c r="CG46" i="21"/>
  <c r="BS46" i="21"/>
  <c r="BU46" i="21"/>
  <c r="CE46" i="21"/>
  <c r="F46" i="21"/>
  <c r="N62" i="21"/>
  <c r="X78" i="21"/>
  <c r="AC78" i="21"/>
  <c r="S62" i="21"/>
  <c r="BG62" i="21"/>
  <c r="F62" i="21"/>
  <c r="I62" i="21"/>
  <c r="AN62" i="21"/>
  <c r="BR62" i="21"/>
  <c r="AJ62" i="21"/>
  <c r="P78" i="21"/>
  <c r="BA62" i="21"/>
  <c r="BG46" i="21"/>
  <c r="AI46" i="21"/>
  <c r="BR78" i="21"/>
  <c r="CF78" i="21"/>
  <c r="BV78" i="21"/>
  <c r="BJ78" i="21"/>
  <c r="AB46" i="21"/>
  <c r="AO62" i="21"/>
  <c r="AV46" i="21"/>
  <c r="AM46" i="21"/>
  <c r="CK46" i="21"/>
  <c r="BY46" i="21"/>
  <c r="CA46" i="21"/>
  <c r="CB46" i="21"/>
  <c r="Y78" i="21"/>
  <c r="AJ78" i="21"/>
  <c r="BF46" i="21"/>
  <c r="AF62" i="21"/>
  <c r="M62" i="21"/>
  <c r="BJ62" i="21"/>
  <c r="E62" i="21"/>
  <c r="CA62" i="21"/>
  <c r="CG62" i="21"/>
  <c r="AA62" i="21"/>
  <c r="L62" i="21"/>
  <c r="Y62" i="21"/>
  <c r="BI78" i="21"/>
  <c r="U46" i="21"/>
  <c r="M46" i="21"/>
  <c r="AJ46" i="21"/>
  <c r="BX78" i="21"/>
  <c r="BN78" i="21"/>
  <c r="BZ78" i="21"/>
  <c r="BU78" i="21"/>
  <c r="AX78" i="21"/>
  <c r="N78" i="21"/>
  <c r="AU46" i="21"/>
  <c r="AA46" i="21"/>
  <c r="AT46" i="21"/>
  <c r="AQ46" i="21"/>
  <c r="BZ46" i="21"/>
  <c r="BQ46" i="21"/>
  <c r="G46" i="21"/>
  <c r="CF46" i="21"/>
  <c r="S78" i="21"/>
  <c r="V78" i="21"/>
  <c r="AF78" i="21"/>
  <c r="BL62" i="21"/>
  <c r="H62" i="21"/>
  <c r="CC62" i="21"/>
  <c r="CF62" i="21"/>
  <c r="CE62" i="21"/>
  <c r="BP62" i="21"/>
  <c r="AE62" i="21"/>
  <c r="AC62" i="21"/>
  <c r="AX46" i="21"/>
  <c r="X62" i="21"/>
  <c r="R46" i="21"/>
  <c r="AM78" i="21"/>
  <c r="AU62" i="21"/>
  <c r="AK78" i="21"/>
  <c r="BK78" i="21"/>
  <c r="H78" i="21"/>
  <c r="BM78" i="21"/>
  <c r="R78" i="21"/>
  <c r="U78" i="21"/>
  <c r="P62" i="21"/>
  <c r="BC62" i="21"/>
  <c r="AQ62" i="21"/>
  <c r="AL62" i="21"/>
  <c r="AS62" i="21"/>
  <c r="W62" i="21"/>
  <c r="CJ62" i="21"/>
  <c r="BO62" i="21"/>
  <c r="G62" i="21"/>
  <c r="BT62" i="21"/>
  <c r="BZ62" i="21"/>
  <c r="BQ62" i="21"/>
  <c r="V62" i="21"/>
  <c r="Z78" i="21"/>
  <c r="AU78" i="21"/>
  <c r="BI62" i="21"/>
  <c r="X46" i="21"/>
  <c r="AS46" i="21"/>
  <c r="BP78" i="21"/>
  <c r="BQ78" i="21"/>
  <c r="F78" i="21"/>
  <c r="CD78" i="21"/>
  <c r="CK78" i="21"/>
  <c r="BE46" i="21"/>
  <c r="AX62" i="21"/>
  <c r="BF62" i="21"/>
  <c r="BV46" i="21"/>
  <c r="CC46" i="21"/>
  <c r="E46" i="21"/>
  <c r="BX46" i="21"/>
  <c r="BR46" i="21"/>
  <c r="AV62" i="21"/>
  <c r="R62" i="21"/>
  <c r="BG78" i="21"/>
  <c r="AH62" i="21"/>
  <c r="CK62" i="21"/>
  <c r="CL62" i="21"/>
  <c r="CB62" i="21"/>
  <c r="BK62" i="21"/>
  <c r="BV62" i="21"/>
  <c r="BH46" i="21"/>
  <c r="S46" i="21"/>
  <c r="L78" i="21"/>
  <c r="BA46" i="21"/>
  <c r="BH78" i="21"/>
  <c r="BA78" i="21"/>
  <c r="O78" i="21"/>
  <c r="BT78" i="21"/>
  <c r="CC78" i="21"/>
  <c r="G78" i="21"/>
  <c r="BW78" i="21"/>
  <c r="BO78" i="21"/>
  <c r="CA78" i="21"/>
  <c r="AP46" i="21"/>
  <c r="Y46" i="21"/>
  <c r="AE46" i="21"/>
  <c r="AI78" i="21"/>
  <c r="BN46" i="21"/>
  <c r="T78" i="21"/>
  <c r="AH78" i="21"/>
  <c r="BD46" i="21"/>
  <c r="BD62" i="21"/>
  <c r="BY62" i="21"/>
  <c r="J62" i="21"/>
  <c r="BM62" i="21"/>
  <c r="BD78" i="21"/>
  <c r="BE78" i="21"/>
  <c r="AH46" i="21"/>
  <c r="AL46" i="21"/>
  <c r="AA78" i="21"/>
  <c r="AP62" i="21"/>
  <c r="I78" i="21"/>
  <c r="E78" i="21"/>
  <c r="CL78" i="21"/>
  <c r="CH78" i="21"/>
  <c r="J78" i="21"/>
  <c r="T46" i="21"/>
  <c r="AP78" i="21"/>
  <c r="AT62" i="21"/>
  <c r="BH62" i="21"/>
  <c r="CI46" i="21"/>
  <c r="BK46" i="21"/>
  <c r="P46" i="21"/>
  <c r="AO46" i="21"/>
  <c r="W78" i="21"/>
  <c r="AQ78" i="21"/>
  <c r="BU62" i="21"/>
  <c r="CI62" i="21"/>
  <c r="CD62" i="21"/>
  <c r="BS62" i="21"/>
  <c r="CH62" i="21"/>
  <c r="V46" i="21"/>
  <c r="AW62" i="21"/>
  <c r="AT78" i="21"/>
  <c r="AS78" i="21"/>
  <c r="AV78" i="21"/>
  <c r="M78" i="21"/>
  <c r="AW46" i="21"/>
  <c r="CJ78" i="21"/>
  <c r="BY78" i="21"/>
  <c r="CB78" i="21"/>
  <c r="CG78" i="21"/>
  <c r="CI78" i="21"/>
  <c r="AE78" i="21"/>
  <c r="AF46" i="21"/>
  <c r="AB148" i="21"/>
  <c r="AB149" i="21" s="1"/>
  <c r="AB145" i="21"/>
  <c r="X148" i="21"/>
  <c r="X149" i="21" s="1"/>
  <c r="X145" i="21"/>
  <c r="AD148" i="21"/>
  <c r="AD149" i="21" s="1"/>
  <c r="AD145" i="21"/>
  <c r="Z148" i="21"/>
  <c r="Z149" i="21" s="1"/>
  <c r="Z145" i="21"/>
  <c r="E52" i="21"/>
  <c r="E53" i="21" s="1"/>
  <c r="E55" i="21" s="1"/>
  <c r="E84" i="21"/>
  <c r="G52" i="21"/>
  <c r="G84" i="21"/>
  <c r="H84" i="21"/>
  <c r="F84" i="21"/>
  <c r="F85" i="21" s="1"/>
  <c r="F52" i="21"/>
  <c r="H52" i="21"/>
  <c r="H53" i="21" s="1"/>
  <c r="Y148" i="21"/>
  <c r="F65" i="40" s="1"/>
  <c r="Y145" i="21"/>
  <c r="O124" i="21"/>
  <c r="J124" i="21"/>
  <c r="K124" i="21" s="1"/>
  <c r="L124" i="21" s="1"/>
  <c r="M124" i="21" s="1"/>
  <c r="N124" i="21" s="1"/>
  <c r="BL132" i="21"/>
  <c r="BM132" i="21"/>
  <c r="BK132" i="21"/>
  <c r="AI132" i="21"/>
  <c r="P132" i="21"/>
  <c r="AG78" i="21"/>
  <c r="AF132" i="21"/>
  <c r="Q62" i="21"/>
  <c r="O132" i="21"/>
  <c r="AZ62" i="21"/>
  <c r="AA132" i="21"/>
  <c r="K78" i="21"/>
  <c r="BD132" i="21"/>
  <c r="AR62" i="21"/>
  <c r="AU132" i="21"/>
  <c r="M132" i="21"/>
  <c r="N132" i="21"/>
  <c r="V132" i="21"/>
  <c r="Q46" i="21"/>
  <c r="BB62" i="21"/>
  <c r="AL132" i="21"/>
  <c r="Q78" i="21"/>
  <c r="BB78" i="21"/>
  <c r="BE132" i="21"/>
  <c r="Y132" i="21"/>
  <c r="CN113" i="21"/>
  <c r="BF132" i="21"/>
  <c r="AT132" i="21"/>
  <c r="AZ78" i="21"/>
  <c r="AC132" i="21"/>
  <c r="AP132" i="21"/>
  <c r="W132" i="21"/>
  <c r="AG46" i="21"/>
  <c r="AQ132" i="21"/>
  <c r="K62" i="21"/>
  <c r="AY46" i="21"/>
  <c r="AG62" i="21"/>
  <c r="AV132" i="21"/>
  <c r="AY62" i="21"/>
  <c r="BG132" i="21"/>
  <c r="T132" i="21"/>
  <c r="AZ46" i="21"/>
  <c r="AB132" i="21"/>
  <c r="AX132" i="21"/>
  <c r="AR46" i="21"/>
  <c r="AW132" i="21"/>
  <c r="X132" i="21"/>
  <c r="AD46" i="21"/>
  <c r="AO132" i="21"/>
  <c r="K46" i="21"/>
  <c r="AJ132" i="21"/>
  <c r="AK132" i="21"/>
  <c r="AD62" i="21"/>
  <c r="AD78" i="21"/>
  <c r="AM132" i="21"/>
  <c r="S132" i="21"/>
  <c r="U132" i="21"/>
  <c r="BB46" i="21"/>
  <c r="BH132" i="21"/>
  <c r="AY78" i="21"/>
  <c r="Z132" i="21"/>
  <c r="AR78" i="21"/>
  <c r="BI132" i="21"/>
  <c r="BJ132" i="21"/>
  <c r="AN132" i="21"/>
  <c r="U115" i="21"/>
  <c r="BJ115" i="21"/>
  <c r="Y115" i="21"/>
  <c r="BT115" i="21"/>
  <c r="S115" i="21"/>
  <c r="M115" i="21"/>
  <c r="BU115" i="21"/>
  <c r="BE115" i="21"/>
  <c r="CA115" i="21"/>
  <c r="AL115" i="21"/>
  <c r="BP115" i="21"/>
  <c r="BH115" i="21"/>
  <c r="AO115" i="21"/>
  <c r="AC115" i="21"/>
  <c r="Q115" i="21"/>
  <c r="AW115" i="21"/>
  <c r="BO115" i="21"/>
  <c r="AH115" i="21"/>
  <c r="CE115" i="21"/>
  <c r="BF115" i="21"/>
  <c r="BD115" i="21"/>
  <c r="BI115" i="21"/>
  <c r="AS115" i="21"/>
  <c r="O115" i="21"/>
  <c r="R115" i="21"/>
  <c r="CI115" i="21"/>
  <c r="Z115" i="21"/>
  <c r="BZ115" i="21"/>
  <c r="K115" i="21"/>
  <c r="BN115" i="21"/>
  <c r="BY115" i="21"/>
  <c r="CG115" i="21"/>
  <c r="BL115" i="21"/>
  <c r="BS115" i="21"/>
  <c r="AU115" i="21"/>
  <c r="AN115" i="21"/>
  <c r="CH115" i="21"/>
  <c r="AE115" i="21"/>
  <c r="BM115" i="21"/>
  <c r="AI115" i="21"/>
  <c r="J115" i="21"/>
  <c r="AB115" i="21"/>
  <c r="CJ115" i="21"/>
  <c r="AK115" i="21"/>
  <c r="AX115" i="21"/>
  <c r="AZ115" i="21"/>
  <c r="AV115" i="21"/>
  <c r="BV115" i="21"/>
  <c r="CB115" i="21"/>
  <c r="CC115" i="21"/>
  <c r="T115" i="21"/>
  <c r="AR115" i="21"/>
  <c r="CF115" i="21"/>
  <c r="AD115" i="21"/>
  <c r="AF115" i="21"/>
  <c r="AT115" i="21"/>
  <c r="BQ115" i="21"/>
  <c r="BX115" i="21"/>
  <c r="BB115" i="21"/>
  <c r="BR115" i="21"/>
  <c r="AJ115" i="21"/>
  <c r="BA115" i="21"/>
  <c r="P115" i="21"/>
  <c r="BK115" i="21"/>
  <c r="CD115" i="21"/>
  <c r="BG115" i="21"/>
  <c r="I115" i="21"/>
  <c r="N115" i="21"/>
  <c r="CL115" i="21"/>
  <c r="AM115" i="21"/>
  <c r="AG115" i="21"/>
  <c r="BW115" i="21"/>
  <c r="BC115" i="21"/>
  <c r="V115" i="21"/>
  <c r="AA115" i="21"/>
  <c r="L115" i="21"/>
  <c r="AY115" i="21"/>
  <c r="W115" i="21"/>
  <c r="X115" i="21"/>
  <c r="AP115" i="21"/>
  <c r="AQ115" i="21"/>
  <c r="CK115" i="21"/>
  <c r="E115" i="21"/>
  <c r="CO113" i="21"/>
  <c r="CP113" i="21"/>
  <c r="H115" i="21"/>
  <c r="G115" i="21"/>
  <c r="F115" i="21"/>
  <c r="BC52" i="21"/>
  <c r="CF52" i="21"/>
  <c r="AG52" i="21"/>
  <c r="N52" i="21"/>
  <c r="BL52" i="21"/>
  <c r="AQ52" i="21"/>
  <c r="Y52" i="21"/>
  <c r="BN52" i="21"/>
  <c r="CG52" i="21"/>
  <c r="AT84" i="21"/>
  <c r="Y84" i="21"/>
  <c r="AE84" i="21"/>
  <c r="AI84" i="21"/>
  <c r="X84" i="21"/>
  <c r="BZ84" i="21"/>
  <c r="BM84" i="21"/>
  <c r="CP106" i="21"/>
  <c r="CO106" i="21"/>
  <c r="CL52" i="21"/>
  <c r="CL53" i="21" s="1"/>
  <c r="CI52" i="21"/>
  <c r="CJ52" i="21"/>
  <c r="CJ53" i="21" s="1"/>
  <c r="AF52" i="21"/>
  <c r="AM52" i="21"/>
  <c r="BK52" i="21"/>
  <c r="BJ52" i="21"/>
  <c r="BJ53" i="21" s="1"/>
  <c r="Q138" i="21"/>
  <c r="Q106" i="21"/>
  <c r="BC84" i="21"/>
  <c r="AU84" i="21"/>
  <c r="BI84" i="21"/>
  <c r="J84" i="21"/>
  <c r="K84" i="21"/>
  <c r="AL84" i="21"/>
  <c r="BE84" i="21"/>
  <c r="AU52" i="21"/>
  <c r="BM52" i="21"/>
  <c r="BM53" i="21" s="1"/>
  <c r="CC52" i="21"/>
  <c r="AI52" i="21"/>
  <c r="Q52" i="21"/>
  <c r="BS52" i="21"/>
  <c r="BE52" i="21"/>
  <c r="AG106" i="21"/>
  <c r="AG138" i="21"/>
  <c r="M84" i="21"/>
  <c r="CE84" i="21"/>
  <c r="BQ84" i="21"/>
  <c r="CK84" i="21"/>
  <c r="AP84" i="21"/>
  <c r="BS84" i="21"/>
  <c r="U84" i="21"/>
  <c r="AR52" i="21"/>
  <c r="BF52" i="21"/>
  <c r="AX52" i="21"/>
  <c r="AR106" i="21"/>
  <c r="AR138" i="21"/>
  <c r="BY84" i="21"/>
  <c r="AV84" i="21"/>
  <c r="BU84" i="21"/>
  <c r="CB84" i="21"/>
  <c r="BK84" i="21"/>
  <c r="BH84" i="21"/>
  <c r="R84" i="21"/>
  <c r="AZ138" i="21"/>
  <c r="AZ106" i="21"/>
  <c r="AW52" i="21"/>
  <c r="AK52" i="21"/>
  <c r="BG52" i="21"/>
  <c r="O52" i="21"/>
  <c r="AD52" i="21"/>
  <c r="AV52" i="21"/>
  <c r="AB52" i="21"/>
  <c r="I52" i="21"/>
  <c r="I53" i="21" s="1"/>
  <c r="I57" i="21" s="1"/>
  <c r="AS52" i="21"/>
  <c r="AM84" i="21"/>
  <c r="CJ84" i="21"/>
  <c r="BB84" i="21"/>
  <c r="AO84" i="21"/>
  <c r="BT84" i="21"/>
  <c r="AY84" i="21"/>
  <c r="T84" i="21"/>
  <c r="BA52" i="21"/>
  <c r="BT52" i="21"/>
  <c r="BT53" i="21" s="1"/>
  <c r="AE52" i="21"/>
  <c r="CD52" i="21"/>
  <c r="CD53" i="21" s="1"/>
  <c r="AA52" i="21"/>
  <c r="AL52" i="21"/>
  <c r="Z52" i="21"/>
  <c r="BI52" i="21"/>
  <c r="BI53" i="21" s="1"/>
  <c r="BX52" i="21"/>
  <c r="BB138" i="21"/>
  <c r="BB106" i="21"/>
  <c r="AK84" i="21"/>
  <c r="BX84" i="21"/>
  <c r="AD84" i="21"/>
  <c r="BJ84" i="21"/>
  <c r="CC84" i="21"/>
  <c r="CI84" i="21"/>
  <c r="CF84" i="21"/>
  <c r="AP52" i="21"/>
  <c r="P52" i="21"/>
  <c r="BV52" i="21"/>
  <c r="AZ52" i="21"/>
  <c r="W52" i="21"/>
  <c r="U52" i="21"/>
  <c r="BQ52" i="21"/>
  <c r="BF84" i="21"/>
  <c r="AJ84" i="21"/>
  <c r="BW84" i="21"/>
  <c r="AF84" i="21"/>
  <c r="AW84" i="21"/>
  <c r="CL84" i="21"/>
  <c r="N84" i="21"/>
  <c r="BR52" i="21"/>
  <c r="BO52" i="21"/>
  <c r="BO53" i="21" s="1"/>
  <c r="BW52" i="21"/>
  <c r="BW53" i="21" s="1"/>
  <c r="L52" i="21"/>
  <c r="L53" i="21" s="1"/>
  <c r="L55" i="21" s="1"/>
  <c r="BB52" i="21"/>
  <c r="S52" i="21"/>
  <c r="BD52" i="21"/>
  <c r="S84" i="21"/>
  <c r="W84" i="21"/>
  <c r="P84" i="21"/>
  <c r="AX84" i="21"/>
  <c r="BO84" i="21"/>
  <c r="BL84" i="21"/>
  <c r="BL85" i="21" s="1"/>
  <c r="AN84" i="21"/>
  <c r="AY106" i="21"/>
  <c r="AY138" i="21"/>
  <c r="M52" i="21"/>
  <c r="AO52" i="21"/>
  <c r="CH52" i="21"/>
  <c r="AC52" i="21"/>
  <c r="AC53" i="21" s="1"/>
  <c r="AC55" i="21" s="1"/>
  <c r="K52" i="21"/>
  <c r="BY52" i="21"/>
  <c r="AN52" i="21"/>
  <c r="AN53" i="21" s="1"/>
  <c r="AN54" i="21" s="1"/>
  <c r="BP84" i="21"/>
  <c r="BG84" i="21"/>
  <c r="AQ84" i="21"/>
  <c r="O84" i="21"/>
  <c r="Q84" i="21"/>
  <c r="CH84" i="21"/>
  <c r="Z84" i="21"/>
  <c r="AT52" i="21"/>
  <c r="AS84" i="21"/>
  <c r="AA84" i="21"/>
  <c r="BA84" i="21"/>
  <c r="CG84" i="21"/>
  <c r="AC84" i="21"/>
  <c r="BN84" i="21"/>
  <c r="V52" i="21"/>
  <c r="T52" i="21"/>
  <c r="BU52" i="21"/>
  <c r="CA52" i="21"/>
  <c r="CE52" i="21"/>
  <c r="CK52" i="21"/>
  <c r="BH52" i="21"/>
  <c r="AR84" i="21"/>
  <c r="AZ84" i="21"/>
  <c r="BD84" i="21"/>
  <c r="BR84" i="21"/>
  <c r="AH84" i="21"/>
  <c r="CA84" i="21"/>
  <c r="AG84" i="21"/>
  <c r="K106" i="21"/>
  <c r="K138" i="21"/>
  <c r="AH52" i="21"/>
  <c r="BZ52" i="21"/>
  <c r="R52" i="21"/>
  <c r="AJ52" i="21"/>
  <c r="X52" i="21"/>
  <c r="CB52" i="21"/>
  <c r="BP52" i="21"/>
  <c r="J52" i="21"/>
  <c r="J53" i="21" s="1"/>
  <c r="AY52" i="21"/>
  <c r="AD138" i="21"/>
  <c r="AD106" i="21"/>
  <c r="CD84" i="21"/>
  <c r="L84" i="21"/>
  <c r="BV84" i="21"/>
  <c r="I84" i="21"/>
  <c r="V84" i="21"/>
  <c r="AB84" i="21"/>
  <c r="K113" i="21"/>
  <c r="AY113" i="21"/>
  <c r="BB113" i="21"/>
  <c r="Q113" i="21"/>
  <c r="AG113" i="21"/>
  <c r="AR113" i="21"/>
  <c r="AZ113" i="21"/>
  <c r="AD113" i="21"/>
  <c r="V85" i="21" l="1"/>
  <c r="CC53" i="21"/>
  <c r="G53" i="21"/>
  <c r="E85" i="21"/>
  <c r="E87" i="21" s="1"/>
  <c r="F53" i="21"/>
  <c r="G85" i="21"/>
  <c r="N53" i="21"/>
  <c r="N55" i="21" s="1"/>
  <c r="Z53" i="21"/>
  <c r="Z55" i="21" s="1"/>
  <c r="CE53" i="21"/>
  <c r="CE55" i="21" s="1"/>
  <c r="X53" i="21"/>
  <c r="X55" i="21" s="1"/>
  <c r="AM85" i="21"/>
  <c r="AM87" i="21" s="1"/>
  <c r="AK85" i="21"/>
  <c r="AK87" i="21" s="1"/>
  <c r="BW85" i="21"/>
  <c r="BW87" i="21" s="1"/>
  <c r="P53" i="21"/>
  <c r="P55" i="21" s="1"/>
  <c r="X54" i="21"/>
  <c r="AL85" i="21"/>
  <c r="AL87" i="21" s="1"/>
  <c r="X85" i="21"/>
  <c r="AA53" i="21"/>
  <c r="AA55" i="21" s="1"/>
  <c r="BQ53" i="21"/>
  <c r="BQ55" i="21" s="1"/>
  <c r="BE53" i="21"/>
  <c r="BE55" i="21" s="1"/>
  <c r="AW85" i="21"/>
  <c r="AW87" i="21" s="1"/>
  <c r="BR53" i="21"/>
  <c r="BR55" i="21" s="1"/>
  <c r="CI85" i="21"/>
  <c r="CI87" i="21" s="1"/>
  <c r="CG53" i="21"/>
  <c r="CG55" i="21" s="1"/>
  <c r="O53" i="21"/>
  <c r="AV85" i="21"/>
  <c r="AV87" i="21" s="1"/>
  <c r="AS85" i="21"/>
  <c r="AS87" i="21" s="1"/>
  <c r="BS53" i="21"/>
  <c r="BS55" i="21" s="1"/>
  <c r="AL53" i="21"/>
  <c r="AL55" i="21" s="1"/>
  <c r="AH53" i="21"/>
  <c r="AH55" i="21" s="1"/>
  <c r="V53" i="21"/>
  <c r="V55" i="21" s="1"/>
  <c r="BQ85" i="21"/>
  <c r="BQ87" i="21" s="1"/>
  <c r="BH53" i="21"/>
  <c r="BH55" i="21" s="1"/>
  <c r="M85" i="21"/>
  <c r="CI53" i="21"/>
  <c r="CI55" i="21" s="1"/>
  <c r="CK53" i="21"/>
  <c r="CK55" i="21" s="1"/>
  <c r="AX85" i="21"/>
  <c r="AX87" i="21" s="1"/>
  <c r="BR85" i="21"/>
  <c r="BR87" i="21" s="1"/>
  <c r="CC85" i="21"/>
  <c r="CC87" i="21" s="1"/>
  <c r="BI85" i="21"/>
  <c r="BI87" i="21" s="1"/>
  <c r="AF53" i="21"/>
  <c r="AF55" i="21" s="1"/>
  <c r="AO85" i="21"/>
  <c r="AO87" i="21" s="1"/>
  <c r="AI85" i="21"/>
  <c r="AI87" i="21" s="1"/>
  <c r="BV85" i="21"/>
  <c r="BV87" i="21" s="1"/>
  <c r="CA53" i="21"/>
  <c r="CA55" i="21" s="1"/>
  <c r="M53" i="21"/>
  <c r="CH85" i="21"/>
  <c r="CH87" i="21" s="1"/>
  <c r="BV53" i="21"/>
  <c r="BV55" i="21" s="1"/>
  <c r="BL53" i="21"/>
  <c r="BL55" i="21" s="1"/>
  <c r="CJ85" i="21"/>
  <c r="CJ87" i="21" s="1"/>
  <c r="AU53" i="21"/>
  <c r="AU55" i="21" s="1"/>
  <c r="L85" i="21"/>
  <c r="L87" i="21" s="1"/>
  <c r="BF85" i="21"/>
  <c r="BF87" i="21" s="1"/>
  <c r="BE85" i="21"/>
  <c r="BE87" i="21" s="1"/>
  <c r="BP85" i="21"/>
  <c r="BP87" i="21" s="1"/>
  <c r="S85" i="21"/>
  <c r="S87" i="21" s="1"/>
  <c r="T85" i="21"/>
  <c r="T87" i="21" s="1"/>
  <c r="H85" i="21"/>
  <c r="H87" i="21" s="1"/>
  <c r="AX53" i="21"/>
  <c r="AX55" i="21" s="1"/>
  <c r="AJ85" i="21"/>
  <c r="AJ87" i="21" s="1"/>
  <c r="AP53" i="21"/>
  <c r="AP55" i="21" s="1"/>
  <c r="CG85" i="21"/>
  <c r="CG87" i="21" s="1"/>
  <c r="BA85" i="21"/>
  <c r="BA87" i="21" s="1"/>
  <c r="AQ85" i="21"/>
  <c r="AQ87" i="21" s="1"/>
  <c r="AT85" i="21"/>
  <c r="AT87" i="21" s="1"/>
  <c r="Z85" i="21"/>
  <c r="Z87" i="21" s="1"/>
  <c r="AQ53" i="21"/>
  <c r="AQ55" i="21" s="1"/>
  <c r="BN85" i="21"/>
  <c r="BN87" i="21" s="1"/>
  <c r="CD85" i="21"/>
  <c r="CD87" i="21" s="1"/>
  <c r="AA85" i="21"/>
  <c r="AA87" i="21" s="1"/>
  <c r="BX53" i="21"/>
  <c r="BX55" i="21" s="1"/>
  <c r="AP85" i="21"/>
  <c r="AP87" i="21" s="1"/>
  <c r="BM85" i="21"/>
  <c r="BM87" i="21" s="1"/>
  <c r="BD85" i="21"/>
  <c r="BD87" i="21" s="1"/>
  <c r="BY53" i="21"/>
  <c r="BY55" i="21" s="1"/>
  <c r="S53" i="21"/>
  <c r="S55" i="21" s="1"/>
  <c r="BP53" i="21"/>
  <c r="BP55" i="21" s="1"/>
  <c r="CF85" i="21"/>
  <c r="CF87" i="21" s="1"/>
  <c r="AK53" i="21"/>
  <c r="AK55" i="21" s="1"/>
  <c r="CF53" i="21"/>
  <c r="CF55" i="21" s="1"/>
  <c r="AS53" i="21"/>
  <c r="AS55" i="21" s="1"/>
  <c r="BG85" i="21"/>
  <c r="BG87" i="21" s="1"/>
  <c r="N85" i="21"/>
  <c r="N87" i="21" s="1"/>
  <c r="U53" i="21"/>
  <c r="AW53" i="21"/>
  <c r="AW55" i="21" s="1"/>
  <c r="BK53" i="21"/>
  <c r="BK55" i="21" s="1"/>
  <c r="BN53" i="21"/>
  <c r="BN55" i="21" s="1"/>
  <c r="CL85" i="21"/>
  <c r="CL87" i="21" s="1"/>
  <c r="AC85" i="21"/>
  <c r="AC87" i="21" s="1"/>
  <c r="BO85" i="21"/>
  <c r="BO87" i="21" s="1"/>
  <c r="BK85" i="21"/>
  <c r="BK87" i="21" s="1"/>
  <c r="BC85" i="21"/>
  <c r="BC87" i="21" s="1"/>
  <c r="CH53" i="21"/>
  <c r="CH55" i="21" s="1"/>
  <c r="CB85" i="21"/>
  <c r="CB87" i="21" s="1"/>
  <c r="CA85" i="21"/>
  <c r="CA87" i="21" s="1"/>
  <c r="AO53" i="21"/>
  <c r="AO55" i="21" s="1"/>
  <c r="P85" i="21"/>
  <c r="P87" i="21" s="1"/>
  <c r="AF85" i="21"/>
  <c r="AF87" i="21" s="1"/>
  <c r="BH85" i="21"/>
  <c r="BH87" i="21" s="1"/>
  <c r="AH85" i="21"/>
  <c r="AH87" i="21" s="1"/>
  <c r="W85" i="21"/>
  <c r="BA53" i="21"/>
  <c r="BA55" i="21" s="1"/>
  <c r="BS85" i="21"/>
  <c r="BS87" i="21" s="1"/>
  <c r="BC53" i="21"/>
  <c r="BC55" i="21" s="1"/>
  <c r="CB53" i="21"/>
  <c r="CB55" i="21" s="1"/>
  <c r="BY85" i="21"/>
  <c r="BY87" i="21" s="1"/>
  <c r="BX85" i="21"/>
  <c r="BX87" i="21" s="1"/>
  <c r="CE85" i="21"/>
  <c r="CE87" i="21" s="1"/>
  <c r="AJ53" i="21"/>
  <c r="AJ55" i="21" s="1"/>
  <c r="T53" i="21"/>
  <c r="T55" i="21" s="1"/>
  <c r="AT53" i="21"/>
  <c r="AT55" i="21" s="1"/>
  <c r="BD53" i="21"/>
  <c r="BD55" i="21" s="1"/>
  <c r="BJ85" i="21"/>
  <c r="BJ87" i="21" s="1"/>
  <c r="AB53" i="21"/>
  <c r="AB55" i="21" s="1"/>
  <c r="AF114" i="21"/>
  <c r="BZ53" i="21"/>
  <c r="BZ55" i="21" s="1"/>
  <c r="W53" i="21"/>
  <c r="CK85" i="21"/>
  <c r="CK87" i="21" s="1"/>
  <c r="AM53" i="21"/>
  <c r="AM55" i="21" s="1"/>
  <c r="BZ85" i="21"/>
  <c r="BZ87" i="21" s="1"/>
  <c r="AB85" i="21"/>
  <c r="AB87" i="21" s="1"/>
  <c r="AN85" i="21"/>
  <c r="AN86" i="21" s="1"/>
  <c r="BT85" i="21"/>
  <c r="BT87" i="21" s="1"/>
  <c r="AV53" i="21"/>
  <c r="AV55" i="21" s="1"/>
  <c r="R85" i="21"/>
  <c r="AI53" i="21"/>
  <c r="AI55" i="21" s="1"/>
  <c r="R53" i="21"/>
  <c r="AU85" i="21"/>
  <c r="AU87" i="21" s="1"/>
  <c r="BU53" i="21"/>
  <c r="BU55" i="21" s="1"/>
  <c r="I85" i="21"/>
  <c r="I89" i="21" s="1"/>
  <c r="BF53" i="21"/>
  <c r="BF55" i="21" s="1"/>
  <c r="AE85" i="21"/>
  <c r="AE87" i="21" s="1"/>
  <c r="O85" i="21"/>
  <c r="O87" i="21" s="1"/>
  <c r="AE53" i="21"/>
  <c r="AE55" i="21" s="1"/>
  <c r="BG53" i="21"/>
  <c r="BG55" i="21" s="1"/>
  <c r="BU85" i="21"/>
  <c r="BU87" i="21" s="1"/>
  <c r="U85" i="21"/>
  <c r="BR114" i="21"/>
  <c r="BP114" i="21"/>
  <c r="BN114" i="21"/>
  <c r="CK114" i="21"/>
  <c r="BH114" i="21"/>
  <c r="AM114" i="21"/>
  <c r="R114" i="21"/>
  <c r="AH114" i="21"/>
  <c r="AP114" i="21"/>
  <c r="AL114" i="21"/>
  <c r="M114" i="21"/>
  <c r="E114" i="21"/>
  <c r="BO114" i="21"/>
  <c r="BS114" i="21"/>
  <c r="BI114" i="21"/>
  <c r="AO114" i="21"/>
  <c r="BG114" i="21"/>
  <c r="AA114" i="21"/>
  <c r="BU114" i="21"/>
  <c r="BW114" i="21"/>
  <c r="BY114" i="21"/>
  <c r="AX114" i="21"/>
  <c r="AC114" i="21"/>
  <c r="Y114" i="21"/>
  <c r="AU114" i="21"/>
  <c r="BA114" i="21"/>
  <c r="AK114" i="21"/>
  <c r="BZ114" i="21"/>
  <c r="BQ114" i="21"/>
  <c r="BK114" i="21"/>
  <c r="BT114" i="21"/>
  <c r="CE114" i="21"/>
  <c r="U114" i="21"/>
  <c r="BC114" i="21"/>
  <c r="AQ114" i="21"/>
  <c r="P114" i="21"/>
  <c r="BJ114" i="21"/>
  <c r="CA114" i="21"/>
  <c r="CH114" i="21"/>
  <c r="AN114" i="21"/>
  <c r="I114" i="21"/>
  <c r="CL114" i="21"/>
  <c r="AB114" i="21"/>
  <c r="AV114" i="21"/>
  <c r="BE114" i="21"/>
  <c r="V114" i="21"/>
  <c r="O114" i="21"/>
  <c r="BM114" i="21"/>
  <c r="F114" i="21"/>
  <c r="CD114" i="21"/>
  <c r="CJ114" i="21"/>
  <c r="CC114" i="21"/>
  <c r="Z114" i="21"/>
  <c r="S114" i="21"/>
  <c r="AJ114" i="21"/>
  <c r="X114" i="21"/>
  <c r="AT114" i="21"/>
  <c r="AS114" i="21"/>
  <c r="AI114" i="21"/>
  <c r="CG114" i="21"/>
  <c r="G114" i="21"/>
  <c r="BL114" i="21"/>
  <c r="CB114" i="21"/>
  <c r="CI114" i="21"/>
  <c r="L114" i="21"/>
  <c r="W114" i="21"/>
  <c r="N114" i="21"/>
  <c r="BD114" i="21"/>
  <c r="CF114" i="21"/>
  <c r="J114" i="21"/>
  <c r="BX114" i="21"/>
  <c r="BV114" i="21"/>
  <c r="H114" i="21"/>
  <c r="AE114" i="21"/>
  <c r="AW114" i="21"/>
  <c r="T114" i="21"/>
  <c r="BF114" i="21"/>
  <c r="T86" i="21"/>
  <c r="F67" i="40"/>
  <c r="G67" i="40" s="1"/>
  <c r="AE86" i="21"/>
  <c r="AE54" i="21"/>
  <c r="F55" i="21"/>
  <c r="F54" i="21"/>
  <c r="F87" i="21"/>
  <c r="F86" i="21"/>
  <c r="G87" i="21"/>
  <c r="G86" i="21"/>
  <c r="G55" i="21"/>
  <c r="G54" i="21"/>
  <c r="AK86" i="21"/>
  <c r="AK54" i="21"/>
  <c r="AA54" i="21"/>
  <c r="AA86" i="21"/>
  <c r="G65" i="40"/>
  <c r="Z86" i="21"/>
  <c r="Z54" i="21"/>
  <c r="AB86" i="21"/>
  <c r="AB54" i="21"/>
  <c r="CN52" i="21"/>
  <c r="E120" i="21"/>
  <c r="E121" i="21" s="1"/>
  <c r="E123" i="21" s="1"/>
  <c r="H55" i="21"/>
  <c r="H54" i="21"/>
  <c r="CP54" i="21" s="1"/>
  <c r="H86" i="21"/>
  <c r="J55" i="21"/>
  <c r="J54" i="21"/>
  <c r="CN84" i="21"/>
  <c r="F120" i="21"/>
  <c r="H120" i="21"/>
  <c r="G120" i="21"/>
  <c r="J85" i="21"/>
  <c r="Y149" i="21"/>
  <c r="V87" i="21"/>
  <c r="V86" i="21"/>
  <c r="BW55" i="21"/>
  <c r="BW54" i="21"/>
  <c r="CD55" i="21"/>
  <c r="CD54" i="21"/>
  <c r="BP54" i="21"/>
  <c r="BJ55" i="21"/>
  <c r="BJ54" i="21"/>
  <c r="BO55" i="21"/>
  <c r="BO54" i="21"/>
  <c r="BL87" i="21"/>
  <c r="BL86" i="21"/>
  <c r="BX86" i="21"/>
  <c r="AW54" i="21"/>
  <c r="CD86" i="21"/>
  <c r="AX86" i="21"/>
  <c r="AX54" i="21"/>
  <c r="BE54" i="21"/>
  <c r="AP54" i="21"/>
  <c r="BS54" i="21"/>
  <c r="CJ55" i="21"/>
  <c r="CJ54" i="21"/>
  <c r="BH54" i="21"/>
  <c r="AW86" i="21"/>
  <c r="BT55" i="21"/>
  <c r="BT54" i="21"/>
  <c r="CI54" i="21"/>
  <c r="AS86" i="21"/>
  <c r="CL55" i="21"/>
  <c r="CL54" i="21"/>
  <c r="BQ54" i="21"/>
  <c r="CH54" i="21"/>
  <c r="BW86" i="21"/>
  <c r="BI55" i="21"/>
  <c r="BI54" i="21"/>
  <c r="BS86" i="21"/>
  <c r="CC55" i="21"/>
  <c r="CC54" i="21"/>
  <c r="AQ54" i="21"/>
  <c r="CA54" i="21"/>
  <c r="BM55" i="21"/>
  <c r="BM54" i="21"/>
  <c r="BF86" i="21"/>
  <c r="CF86" i="21"/>
  <c r="AU54" i="21"/>
  <c r="BB85" i="21"/>
  <c r="AD85" i="21"/>
  <c r="AG85" i="21"/>
  <c r="AG87" i="21" s="1"/>
  <c r="BB53" i="21"/>
  <c r="AY85" i="21"/>
  <c r="AY53" i="21"/>
  <c r="AZ85" i="21"/>
  <c r="Q53" i="21"/>
  <c r="Q55" i="21" s="1"/>
  <c r="AZ53" i="21"/>
  <c r="K53" i="21"/>
  <c r="AR85" i="21"/>
  <c r="Q85" i="21"/>
  <c r="Q87" i="21" s="1"/>
  <c r="AD53" i="21"/>
  <c r="AR53" i="21"/>
  <c r="K85" i="21"/>
  <c r="Y85" i="21"/>
  <c r="Y87" i="21" s="1"/>
  <c r="AG53" i="21"/>
  <c r="AG55" i="21" s="1"/>
  <c r="AG132" i="21"/>
  <c r="AG114" i="21"/>
  <c r="AH132" i="21"/>
  <c r="AR132" i="21"/>
  <c r="AR114" i="21"/>
  <c r="AS132" i="21"/>
  <c r="Q132" i="21"/>
  <c r="Q114" i="21"/>
  <c r="R132" i="21"/>
  <c r="AZ132" i="21"/>
  <c r="AZ114" i="21"/>
  <c r="BA132" i="21"/>
  <c r="BB132" i="21"/>
  <c r="BB114" i="21"/>
  <c r="BC132" i="21"/>
  <c r="AY132" i="21"/>
  <c r="AY114" i="21"/>
  <c r="K132" i="21"/>
  <c r="K133" i="21" s="1"/>
  <c r="K114" i="21"/>
  <c r="L132" i="21"/>
  <c r="AD132" i="21"/>
  <c r="AD114" i="21"/>
  <c r="AE132" i="21"/>
  <c r="I55" i="21"/>
  <c r="I54" i="21"/>
  <c r="AG120" i="21"/>
  <c r="BB120" i="21"/>
  <c r="AV120" i="21"/>
  <c r="AU120" i="21"/>
  <c r="AS120" i="21"/>
  <c r="BP120" i="21"/>
  <c r="CK120" i="21"/>
  <c r="AM120" i="21"/>
  <c r="BX120" i="21"/>
  <c r="AZ120" i="21"/>
  <c r="BS120" i="21"/>
  <c r="BI120" i="21"/>
  <c r="AL120" i="21"/>
  <c r="AQ120" i="21"/>
  <c r="CL120" i="21"/>
  <c r="BQ120" i="21"/>
  <c r="AX120" i="21"/>
  <c r="BL120" i="21"/>
  <c r="BD120" i="21"/>
  <c r="CA120" i="21"/>
  <c r="AN55" i="21"/>
  <c r="CP53" i="21"/>
  <c r="CO52" i="21"/>
  <c r="CP52" i="21"/>
  <c r="AP120" i="21"/>
  <c r="N120" i="21"/>
  <c r="AT120" i="21"/>
  <c r="AK120" i="21"/>
  <c r="CG120" i="21"/>
  <c r="BF120" i="21"/>
  <c r="BE120" i="21"/>
  <c r="X120" i="21"/>
  <c r="I120" i="21"/>
  <c r="AF120" i="21"/>
  <c r="CJ120" i="21"/>
  <c r="BY120" i="21"/>
  <c r="CE120" i="21"/>
  <c r="BU120" i="21"/>
  <c r="Y53" i="21"/>
  <c r="CO53" i="21" s="1"/>
  <c r="W120" i="21"/>
  <c r="BG120" i="21"/>
  <c r="AD120" i="21"/>
  <c r="AB120" i="21"/>
  <c r="BN120" i="21"/>
  <c r="AH120" i="21"/>
  <c r="M120" i="21"/>
  <c r="CO84" i="21"/>
  <c r="CP84" i="21"/>
  <c r="AY120" i="21"/>
  <c r="CD120" i="21"/>
  <c r="CF120" i="21"/>
  <c r="J120" i="21"/>
  <c r="K120" i="21"/>
  <c r="BO120" i="21"/>
  <c r="S120" i="21"/>
  <c r="L120" i="21"/>
  <c r="BK120" i="21"/>
  <c r="AR120" i="21"/>
  <c r="AI120" i="21"/>
  <c r="BZ120" i="21"/>
  <c r="AW120" i="21"/>
  <c r="BT120" i="21"/>
  <c r="AA120" i="21"/>
  <c r="P120" i="21"/>
  <c r="T120" i="21"/>
  <c r="BM120" i="21"/>
  <c r="Z120" i="21"/>
  <c r="Q120" i="21"/>
  <c r="Y120" i="21"/>
  <c r="V120" i="21"/>
  <c r="BA120" i="21"/>
  <c r="CC120" i="21"/>
  <c r="AE120" i="21"/>
  <c r="CI120" i="21"/>
  <c r="AC120" i="21"/>
  <c r="BJ120" i="21"/>
  <c r="BC120" i="21"/>
  <c r="AJ120" i="21"/>
  <c r="CB120" i="21"/>
  <c r="CH120" i="21"/>
  <c r="R120" i="21"/>
  <c r="AO120" i="21"/>
  <c r="U120" i="21"/>
  <c r="BW120" i="21"/>
  <c r="BR120" i="21"/>
  <c r="BV120" i="21"/>
  <c r="AN120" i="21"/>
  <c r="O120" i="21"/>
  <c r="BH120" i="21"/>
  <c r="BE86" i="21" l="1"/>
  <c r="CH86" i="21"/>
  <c r="BX54" i="21"/>
  <c r="CI86" i="21"/>
  <c r="BA86" i="21"/>
  <c r="BP86" i="21"/>
  <c r="CA86" i="21"/>
  <c r="CC86" i="21"/>
  <c r="BK54" i="21"/>
  <c r="BN54" i="21"/>
  <c r="CE86" i="21"/>
  <c r="AT86" i="21"/>
  <c r="CB54" i="21"/>
  <c r="CE54" i="21"/>
  <c r="AS54" i="21"/>
  <c r="BG54" i="21"/>
  <c r="AT54" i="21"/>
  <c r="BM86" i="21"/>
  <c r="BU54" i="21"/>
  <c r="BL54" i="21"/>
  <c r="BJ86" i="21"/>
  <c r="CF54" i="21"/>
  <c r="AP86" i="21"/>
  <c r="BD54" i="21"/>
  <c r="AU86" i="21"/>
  <c r="BV54" i="21"/>
  <c r="BI86" i="21"/>
  <c r="BC54" i="21"/>
  <c r="CL86" i="21"/>
  <c r="AO54" i="21"/>
  <c r="AQ86" i="21"/>
  <c r="CG54" i="21"/>
  <c r="BU86" i="21"/>
  <c r="BZ86" i="21"/>
  <c r="BQ86" i="21"/>
  <c r="CP86" i="21"/>
  <c r="AV86" i="21"/>
  <c r="BF54" i="21"/>
  <c r="BO86" i="21"/>
  <c r="BG86" i="21"/>
  <c r="BY86" i="21"/>
  <c r="BD86" i="21"/>
  <c r="BT86" i="21"/>
  <c r="BK86" i="21"/>
  <c r="BH86" i="21"/>
  <c r="BY54" i="21"/>
  <c r="CJ86" i="21"/>
  <c r="F121" i="21"/>
  <c r="AO86" i="21"/>
  <c r="CK54" i="21"/>
  <c r="BN86" i="21"/>
  <c r="BV86" i="21"/>
  <c r="BC86" i="21"/>
  <c r="AV54" i="21"/>
  <c r="BZ54" i="21"/>
  <c r="BR54" i="21"/>
  <c r="CG86" i="21"/>
  <c r="CK86" i="21"/>
  <c r="BA54" i="21"/>
  <c r="CB86" i="21"/>
  <c r="BR86" i="21"/>
  <c r="G121" i="21"/>
  <c r="G123" i="21" s="1"/>
  <c r="R87" i="21"/>
  <c r="R86" i="21"/>
  <c r="R55" i="21"/>
  <c r="R54" i="21"/>
  <c r="AD87" i="21"/>
  <c r="AD86" i="21"/>
  <c r="AD55" i="21"/>
  <c r="AD54" i="21"/>
  <c r="V54" i="21"/>
  <c r="M127" i="21"/>
  <c r="M128" i="21" s="1"/>
  <c r="M87" i="21"/>
  <c r="M86" i="21"/>
  <c r="M55" i="21"/>
  <c r="M54" i="21"/>
  <c r="J57" i="21"/>
  <c r="K57" i="21" s="1"/>
  <c r="L57" i="21" s="1"/>
  <c r="M57" i="21" s="1"/>
  <c r="N57" i="21" s="1"/>
  <c r="W55" i="21"/>
  <c r="W54" i="21"/>
  <c r="W87" i="21"/>
  <c r="W86" i="21"/>
  <c r="U55" i="21"/>
  <c r="U54" i="21"/>
  <c r="U87" i="21"/>
  <c r="U86" i="21"/>
  <c r="O57" i="21"/>
  <c r="O55" i="21"/>
  <c r="X87" i="21"/>
  <c r="X86" i="21"/>
  <c r="BS127" i="21"/>
  <c r="BS128" i="21" s="1"/>
  <c r="I86" i="21"/>
  <c r="S127" i="21"/>
  <c r="S128" i="21" s="1"/>
  <c r="BU121" i="21"/>
  <c r="BU123" i="21" s="1"/>
  <c r="BN121" i="21"/>
  <c r="BN123" i="21" s="1"/>
  <c r="AK121" i="21"/>
  <c r="AK123" i="21" s="1"/>
  <c r="O89" i="21"/>
  <c r="BD127" i="21"/>
  <c r="BD128" i="21" s="1"/>
  <c r="J89" i="21"/>
  <c r="K89" i="21" s="1"/>
  <c r="L89" i="21" s="1"/>
  <c r="M89" i="21" s="1"/>
  <c r="N89" i="21" s="1"/>
  <c r="CG127" i="21"/>
  <c r="CG128" i="21" s="1"/>
  <c r="BW121" i="21"/>
  <c r="BW123" i="21" s="1"/>
  <c r="BZ127" i="21"/>
  <c r="BZ128" i="21" s="1"/>
  <c r="T121" i="21"/>
  <c r="T122" i="21" s="1"/>
  <c r="CC127" i="21"/>
  <c r="CC128" i="21" s="1"/>
  <c r="P121" i="21"/>
  <c r="P123" i="21" s="1"/>
  <c r="CK121" i="21"/>
  <c r="CK123" i="21" s="1"/>
  <c r="BL121" i="21"/>
  <c r="BL123" i="21" s="1"/>
  <c r="AV127" i="21"/>
  <c r="AV128" i="21" s="1"/>
  <c r="BI121" i="21"/>
  <c r="BI123" i="21" s="1"/>
  <c r="BJ121" i="21"/>
  <c r="BJ123" i="21" s="1"/>
  <c r="BY127" i="21"/>
  <c r="BY128" i="21" s="1"/>
  <c r="AX121" i="21"/>
  <c r="AX123" i="21" s="1"/>
  <c r="BK127" i="21"/>
  <c r="BK128" i="21" s="1"/>
  <c r="AM127" i="21"/>
  <c r="AM128" i="21" s="1"/>
  <c r="V121" i="21"/>
  <c r="V122" i="21" s="1"/>
  <c r="J121" i="21"/>
  <c r="J122" i="21" s="1"/>
  <c r="CA121" i="21"/>
  <c r="CA123" i="21" s="1"/>
  <c r="BC127" i="21"/>
  <c r="BC128" i="21" s="1"/>
  <c r="AL121" i="21"/>
  <c r="AL123" i="21" s="1"/>
  <c r="AF127" i="21"/>
  <c r="AF128" i="21" s="1"/>
  <c r="I87" i="21"/>
  <c r="AS121" i="21"/>
  <c r="AS123" i="21" s="1"/>
  <c r="H121" i="21"/>
  <c r="H123" i="21" s="1"/>
  <c r="BR127" i="21"/>
  <c r="BR128" i="21" s="1"/>
  <c r="AU127" i="21"/>
  <c r="AU128" i="21" s="1"/>
  <c r="CP85" i="21"/>
  <c r="L127" i="21"/>
  <c r="L128" i="21" s="1"/>
  <c r="X121" i="21"/>
  <c r="AN121" i="21"/>
  <c r="AN122" i="21" s="1"/>
  <c r="BV121" i="21"/>
  <c r="BV123" i="21" s="1"/>
  <c r="AH121" i="21"/>
  <c r="AH123" i="21" s="1"/>
  <c r="AO127" i="21"/>
  <c r="AO128" i="21" s="1"/>
  <c r="CI121" i="21"/>
  <c r="CI123" i="21" s="1"/>
  <c r="BM121" i="21"/>
  <c r="BM123" i="21" s="1"/>
  <c r="CE127" i="21"/>
  <c r="CE128" i="21" s="1"/>
  <c r="AC127" i="21"/>
  <c r="AC128" i="21" s="1"/>
  <c r="Z121" i="21"/>
  <c r="Z123" i="21" s="1"/>
  <c r="CF121" i="21"/>
  <c r="CF123" i="21" s="1"/>
  <c r="BH121" i="21"/>
  <c r="BH123" i="21" s="1"/>
  <c r="BX127" i="21"/>
  <c r="BX128" i="21" s="1"/>
  <c r="R127" i="21"/>
  <c r="R128" i="21" s="1"/>
  <c r="O121" i="21"/>
  <c r="O125" i="21" s="1"/>
  <c r="CH121" i="21"/>
  <c r="CH123" i="21" s="1"/>
  <c r="BQ127" i="21"/>
  <c r="BQ128" i="21" s="1"/>
  <c r="CB127" i="21"/>
  <c r="CB128" i="21" s="1"/>
  <c r="BE121" i="21"/>
  <c r="BE123" i="21" s="1"/>
  <c r="AJ127" i="21"/>
  <c r="AJ128" i="21" s="1"/>
  <c r="BT127" i="21"/>
  <c r="BT128" i="21" s="1"/>
  <c r="BO121" i="21"/>
  <c r="BO123" i="21" s="1"/>
  <c r="BF121" i="21"/>
  <c r="BF123" i="21" s="1"/>
  <c r="T54" i="21"/>
  <c r="AQ121" i="21"/>
  <c r="AQ123" i="21" s="1"/>
  <c r="AW127" i="21"/>
  <c r="AW128" i="21" s="1"/>
  <c r="AB127" i="21"/>
  <c r="AB128" i="21" s="1"/>
  <c r="CJ121" i="21"/>
  <c r="CJ123" i="21" s="1"/>
  <c r="AI127" i="21"/>
  <c r="AI128" i="21" s="1"/>
  <c r="N127" i="21"/>
  <c r="N128" i="21" s="1"/>
  <c r="AT127" i="21"/>
  <c r="AT128" i="21" s="1"/>
  <c r="AN87" i="21"/>
  <c r="CO87" i="21" s="1"/>
  <c r="CD127" i="21"/>
  <c r="CD128" i="21" s="1"/>
  <c r="U127" i="21"/>
  <c r="U128" i="21" s="1"/>
  <c r="AE121" i="21"/>
  <c r="AE123" i="21" s="1"/>
  <c r="BG127" i="21"/>
  <c r="BG128" i="21" s="1"/>
  <c r="I127" i="21"/>
  <c r="I129" i="21" s="1"/>
  <c r="AP121" i="21"/>
  <c r="AP123" i="21" s="1"/>
  <c r="W127" i="21"/>
  <c r="W128" i="21" s="1"/>
  <c r="BA127" i="21"/>
  <c r="BA128" i="21" s="1"/>
  <c r="AA121" i="21"/>
  <c r="AA123" i="21" s="1"/>
  <c r="CL127" i="21"/>
  <c r="CL128" i="21" s="1"/>
  <c r="BP121" i="21"/>
  <c r="BP123" i="21" s="1"/>
  <c r="K87" i="21"/>
  <c r="K86" i="21"/>
  <c r="K55" i="21"/>
  <c r="K54" i="21"/>
  <c r="AE122" i="21"/>
  <c r="F123" i="21"/>
  <c r="F122" i="21"/>
  <c r="AK122" i="21"/>
  <c r="AA122" i="21"/>
  <c r="Z122" i="21"/>
  <c r="CN120" i="21"/>
  <c r="J87" i="21"/>
  <c r="J86" i="21"/>
  <c r="AR55" i="21"/>
  <c r="AR54" i="21"/>
  <c r="BB87" i="21"/>
  <c r="BB86" i="21"/>
  <c r="AR87" i="21"/>
  <c r="AR86" i="21"/>
  <c r="AZ55" i="21"/>
  <c r="AZ54" i="21"/>
  <c r="AZ87" i="21"/>
  <c r="AZ86" i="21"/>
  <c r="AY55" i="21"/>
  <c r="AY54" i="21"/>
  <c r="AY87" i="21"/>
  <c r="AY86" i="21"/>
  <c r="BB55" i="21"/>
  <c r="BB54" i="21"/>
  <c r="CN85" i="21"/>
  <c r="Q127" i="21"/>
  <c r="CH127" i="21"/>
  <c r="CH128" i="21" s="1"/>
  <c r="O127" i="21"/>
  <c r="O128" i="21" s="1"/>
  <c r="K121" i="21"/>
  <c r="K122" i="21" s="1"/>
  <c r="CG121" i="21"/>
  <c r="CO85" i="21"/>
  <c r="I121" i="21"/>
  <c r="AC121" i="21"/>
  <c r="AC123" i="21" s="1"/>
  <c r="AJ121" i="21"/>
  <c r="AJ123" i="21" s="1"/>
  <c r="BC121" i="21"/>
  <c r="BM127" i="21"/>
  <c r="BM128" i="21" s="1"/>
  <c r="L121" i="21"/>
  <c r="BG121" i="21"/>
  <c r="BO127" i="21"/>
  <c r="BO128" i="21" s="1"/>
  <c r="BJ127" i="21"/>
  <c r="BJ128" i="21" s="1"/>
  <c r="BD121" i="21"/>
  <c r="Y86" i="21"/>
  <c r="CN86" i="21" s="1"/>
  <c r="P127" i="21"/>
  <c r="P128" i="21" s="1"/>
  <c r="S121" i="21"/>
  <c r="S123" i="21" s="1"/>
  <c r="AD127" i="21"/>
  <c r="AD128" i="21" s="1"/>
  <c r="Y121" i="21"/>
  <c r="Y123" i="21" s="1"/>
  <c r="CJ127" i="21"/>
  <c r="CJ128" i="21" s="1"/>
  <c r="AQ127" i="21"/>
  <c r="AQ128" i="21" s="1"/>
  <c r="AO121" i="21"/>
  <c r="Z127" i="21"/>
  <c r="Z128" i="21" s="1"/>
  <c r="CD121" i="21"/>
  <c r="N121" i="21"/>
  <c r="L133" i="21"/>
  <c r="M133" i="21" s="1"/>
  <c r="BP127" i="21"/>
  <c r="BP128" i="21" s="1"/>
  <c r="X127" i="21"/>
  <c r="AZ127" i="21"/>
  <c r="AZ128" i="21" s="1"/>
  <c r="AZ121" i="21"/>
  <c r="CA127" i="21"/>
  <c r="CA128" i="21" s="1"/>
  <c r="AM121" i="21"/>
  <c r="AM123" i="21" s="1"/>
  <c r="AU121" i="21"/>
  <c r="BE127" i="21"/>
  <c r="BE128" i="21" s="1"/>
  <c r="BH127" i="21"/>
  <c r="BH128" i="21" s="1"/>
  <c r="AY121" i="21"/>
  <c r="BF127" i="21"/>
  <c r="BF128" i="21" s="1"/>
  <c r="U121" i="21"/>
  <c r="BB127" i="21"/>
  <c r="BB128" i="21" s="1"/>
  <c r="BW127" i="21"/>
  <c r="BW128" i="21" s="1"/>
  <c r="AP127" i="21"/>
  <c r="AP128" i="21" s="1"/>
  <c r="BS121" i="21"/>
  <c r="AY127" i="21"/>
  <c r="AY128" i="21" s="1"/>
  <c r="M121" i="21"/>
  <c r="AR121" i="21"/>
  <c r="BZ121" i="21"/>
  <c r="BY121" i="21"/>
  <c r="AN127" i="21"/>
  <c r="AN128" i="21" s="1"/>
  <c r="W121" i="21"/>
  <c r="AD121" i="21"/>
  <c r="BA121" i="21"/>
  <c r="AH127" i="21"/>
  <c r="AH128" i="21" s="1"/>
  <c r="AS127" i="21"/>
  <c r="AS128" i="21" s="1"/>
  <c r="AG127" i="21"/>
  <c r="AG128" i="21" s="1"/>
  <c r="BR121" i="21"/>
  <c r="BK121" i="21"/>
  <c r="AT121" i="21"/>
  <c r="CK127" i="21"/>
  <c r="CK128" i="21" s="1"/>
  <c r="CL121" i="21"/>
  <c r="AL127" i="21"/>
  <c r="AL128" i="21" s="1"/>
  <c r="CF127" i="21"/>
  <c r="CF128" i="21" s="1"/>
  <c r="R121" i="21"/>
  <c r="AA127" i="21"/>
  <c r="AA128" i="21" s="1"/>
  <c r="Q121" i="21"/>
  <c r="CI127" i="21"/>
  <c r="CI128" i="21" s="1"/>
  <c r="J127" i="21"/>
  <c r="AB121" i="21"/>
  <c r="BV127" i="21"/>
  <c r="BV128" i="21" s="1"/>
  <c r="CE121" i="21"/>
  <c r="AK127" i="21"/>
  <c r="AK128" i="21" s="1"/>
  <c r="BQ121" i="21"/>
  <c r="BT121" i="21"/>
  <c r="CB121" i="21"/>
  <c r="AE127" i="21"/>
  <c r="AE128" i="21" s="1"/>
  <c r="Y127" i="21"/>
  <c r="T127" i="21"/>
  <c r="AR127" i="21"/>
  <c r="AR128" i="21" s="1"/>
  <c r="BU127" i="21"/>
  <c r="BU128" i="21" s="1"/>
  <c r="CC121" i="21"/>
  <c r="K127" i="21"/>
  <c r="AF121" i="21"/>
  <c r="AF123" i="21" s="1"/>
  <c r="AI121" i="21"/>
  <c r="AI123" i="21" s="1"/>
  <c r="AW121" i="21"/>
  <c r="AG121" i="21"/>
  <c r="AG123" i="21" s="1"/>
  <c r="CP55" i="21"/>
  <c r="BL127" i="21"/>
  <c r="BL128" i="21" s="1"/>
  <c r="K134" i="21"/>
  <c r="CO120" i="21"/>
  <c r="CP120" i="21"/>
  <c r="BN127" i="21"/>
  <c r="BN128" i="21" s="1"/>
  <c r="AX127" i="21"/>
  <c r="AX128" i="21" s="1"/>
  <c r="BX121" i="21"/>
  <c r="V127" i="21"/>
  <c r="Y54" i="21"/>
  <c r="CN53" i="21"/>
  <c r="Y55" i="21"/>
  <c r="CN55" i="21" s="1"/>
  <c r="AV121" i="21"/>
  <c r="BI127" i="21"/>
  <c r="BI128" i="21" s="1"/>
  <c r="CN87" i="21"/>
  <c r="BB121" i="21"/>
  <c r="BI122" i="21" l="1"/>
  <c r="BW122" i="21"/>
  <c r="AQ122" i="21"/>
  <c r="CK122" i="21"/>
  <c r="BL122" i="21"/>
  <c r="BN122" i="21"/>
  <c r="CH122" i="21"/>
  <c r="G122" i="21"/>
  <c r="BE122" i="21"/>
  <c r="AS122" i="21"/>
  <c r="BV122" i="21"/>
  <c r="CF122" i="21"/>
  <c r="BP122" i="21"/>
  <c r="CA122" i="21"/>
  <c r="BO122" i="21"/>
  <c r="CI122" i="21"/>
  <c r="AX122" i="21"/>
  <c r="BU122" i="21"/>
  <c r="BF122" i="21"/>
  <c r="AP122" i="21"/>
  <c r="BM122" i="21"/>
  <c r="BJ122" i="21"/>
  <c r="BH122" i="21"/>
  <c r="CJ122" i="21"/>
  <c r="R123" i="21"/>
  <c r="R122" i="21"/>
  <c r="AD123" i="21"/>
  <c r="AD122" i="21"/>
  <c r="M123" i="21"/>
  <c r="M122" i="21"/>
  <c r="W123" i="21"/>
  <c r="W122" i="21"/>
  <c r="U123" i="21"/>
  <c r="U122" i="21"/>
  <c r="X123" i="21"/>
  <c r="X122" i="21"/>
  <c r="T123" i="21"/>
  <c r="J123" i="21"/>
  <c r="O123" i="21"/>
  <c r="V123" i="21"/>
  <c r="H122" i="21"/>
  <c r="CP122" i="21" s="1"/>
  <c r="AN123" i="21"/>
  <c r="CP123" i="21" s="1"/>
  <c r="CP121" i="21"/>
  <c r="CP87" i="21"/>
  <c r="I128" i="21"/>
  <c r="AN129" i="21" s="1"/>
  <c r="AN130" i="21" s="1"/>
  <c r="AB123" i="21"/>
  <c r="AB122" i="21"/>
  <c r="AH158" i="21"/>
  <c r="AA158" i="21"/>
  <c r="AE158" i="21"/>
  <c r="Z158" i="21"/>
  <c r="BR123" i="21"/>
  <c r="BR122" i="21"/>
  <c r="BS123" i="21"/>
  <c r="BS122" i="21"/>
  <c r="AZ123" i="21"/>
  <c r="AZ122" i="21"/>
  <c r="BZ123" i="21"/>
  <c r="BZ122" i="21"/>
  <c r="CC123" i="21"/>
  <c r="CC122" i="21"/>
  <c r="AT123" i="21"/>
  <c r="AT122" i="21"/>
  <c r="BC123" i="21"/>
  <c r="BC122" i="21"/>
  <c r="BA123" i="21"/>
  <c r="BA122" i="21"/>
  <c r="CG123" i="21"/>
  <c r="CG122" i="21"/>
  <c r="AW123" i="21"/>
  <c r="AW122" i="21"/>
  <c r="AO123" i="21"/>
  <c r="AO122" i="21"/>
  <c r="BK123" i="21"/>
  <c r="BK122" i="21"/>
  <c r="BB123" i="21"/>
  <c r="BB122" i="21"/>
  <c r="BX123" i="21"/>
  <c r="BX122" i="21"/>
  <c r="CB123" i="21"/>
  <c r="CB122" i="21"/>
  <c r="BD123" i="21"/>
  <c r="BD122" i="21"/>
  <c r="BT123" i="21"/>
  <c r="BT122" i="21"/>
  <c r="AV123" i="21"/>
  <c r="AV122" i="21"/>
  <c r="CE123" i="21"/>
  <c r="CE122" i="21"/>
  <c r="AU123" i="21"/>
  <c r="AU122" i="21"/>
  <c r="BQ123" i="21"/>
  <c r="BQ122" i="21"/>
  <c r="AY123" i="21"/>
  <c r="AY122" i="21"/>
  <c r="CD123" i="21"/>
  <c r="CD122" i="21"/>
  <c r="CL123" i="21"/>
  <c r="CL122" i="21"/>
  <c r="BY123" i="21"/>
  <c r="BY122" i="21"/>
  <c r="BG123" i="21"/>
  <c r="BG122" i="21"/>
  <c r="AR123" i="21"/>
  <c r="AR122" i="21"/>
  <c r="I123" i="21"/>
  <c r="I125" i="21"/>
  <c r="J125" i="21" s="1"/>
  <c r="K125" i="21" s="1"/>
  <c r="L125" i="21" s="1"/>
  <c r="M125" i="21" s="1"/>
  <c r="N125" i="21" s="1"/>
  <c r="L123" i="21"/>
  <c r="Q128" i="21"/>
  <c r="X128" i="21"/>
  <c r="K123" i="21"/>
  <c r="I122" i="21"/>
  <c r="CO86" i="21"/>
  <c r="N123" i="21"/>
  <c r="CN121" i="21"/>
  <c r="L134" i="21"/>
  <c r="L135" i="21" s="1"/>
  <c r="CO121" i="21"/>
  <c r="Y122" i="21"/>
  <c r="Q123" i="21"/>
  <c r="CO54" i="21"/>
  <c r="CN54" i="21"/>
  <c r="V128" i="21"/>
  <c r="I130" i="21"/>
  <c r="K135" i="21"/>
  <c r="J128" i="21"/>
  <c r="K128" i="21"/>
  <c r="CO55" i="21"/>
  <c r="T128" i="21"/>
  <c r="M134" i="21"/>
  <c r="N133" i="21"/>
  <c r="Y128" i="21"/>
  <c r="CN123" i="21"/>
  <c r="Q129" i="21" l="1"/>
  <c r="Q130" i="21" s="1"/>
  <c r="CO123" i="21"/>
  <c r="CN122" i="21"/>
  <c r="Z129" i="21"/>
  <c r="Z130" i="21" s="1"/>
  <c r="P129" i="21"/>
  <c r="P130" i="21" s="1"/>
  <c r="CA129" i="21"/>
  <c r="CA130" i="21" s="1"/>
  <c r="CC129" i="21"/>
  <c r="CC130" i="21" s="1"/>
  <c r="BX129" i="21"/>
  <c r="BX130" i="21" s="1"/>
  <c r="O129" i="21"/>
  <c r="O130" i="21" s="1"/>
  <c r="BL129" i="21"/>
  <c r="BL130" i="21" s="1"/>
  <c r="U129" i="21"/>
  <c r="U130" i="21" s="1"/>
  <c r="BW129" i="21"/>
  <c r="BW130" i="21" s="1"/>
  <c r="AB129" i="21"/>
  <c r="AB130" i="21" s="1"/>
  <c r="BR129" i="21"/>
  <c r="BR130" i="21" s="1"/>
  <c r="AS129" i="21"/>
  <c r="AS130" i="21" s="1"/>
  <c r="AR129" i="21"/>
  <c r="AR130" i="21" s="1"/>
  <c r="AF129" i="21"/>
  <c r="AF130" i="21" s="1"/>
  <c r="BB129" i="21"/>
  <c r="BB130" i="21" s="1"/>
  <c r="BC129" i="21"/>
  <c r="BC130" i="21" s="1"/>
  <c r="AE129" i="21"/>
  <c r="AE130" i="21" s="1"/>
  <c r="BH129" i="21"/>
  <c r="BH130" i="21" s="1"/>
  <c r="AY129" i="21"/>
  <c r="AY130" i="21" s="1"/>
  <c r="BN129" i="21"/>
  <c r="BN130" i="21" s="1"/>
  <c r="BZ129" i="21"/>
  <c r="BZ130" i="21" s="1"/>
  <c r="AQ129" i="21"/>
  <c r="AQ130" i="21" s="1"/>
  <c r="L129" i="21"/>
  <c r="L130" i="21" s="1"/>
  <c r="AH129" i="21"/>
  <c r="AH130" i="21" s="1"/>
  <c r="AD129" i="21"/>
  <c r="AD130" i="21" s="1"/>
  <c r="R129" i="21"/>
  <c r="R130" i="21" s="1"/>
  <c r="BJ129" i="21"/>
  <c r="BJ130" i="21" s="1"/>
  <c r="N129" i="21"/>
  <c r="N130" i="21" s="1"/>
  <c r="AW129" i="21"/>
  <c r="AW130" i="21" s="1"/>
  <c r="AI129" i="21"/>
  <c r="AI130" i="21" s="1"/>
  <c r="AX129" i="21"/>
  <c r="AX130" i="21" s="1"/>
  <c r="BP129" i="21"/>
  <c r="BP130" i="21" s="1"/>
  <c r="BI129" i="21"/>
  <c r="BI130" i="21" s="1"/>
  <c r="AZ129" i="21"/>
  <c r="AZ130" i="21" s="1"/>
  <c r="BK129" i="21"/>
  <c r="BK130" i="21" s="1"/>
  <c r="AO129" i="21"/>
  <c r="AO130" i="21" s="1"/>
  <c r="AC129" i="21"/>
  <c r="AC130" i="21" s="1"/>
  <c r="BY129" i="21"/>
  <c r="BY130" i="21" s="1"/>
  <c r="CI129" i="21"/>
  <c r="CI130" i="21" s="1"/>
  <c r="BF129" i="21"/>
  <c r="BF130" i="21" s="1"/>
  <c r="CF129" i="21"/>
  <c r="CF130" i="21" s="1"/>
  <c r="BD129" i="21"/>
  <c r="BD130" i="21" s="1"/>
  <c r="BU129" i="21"/>
  <c r="BU130" i="21" s="1"/>
  <c r="AA129" i="21"/>
  <c r="AA130" i="21" s="1"/>
  <c r="CH129" i="21"/>
  <c r="CH130" i="21" s="1"/>
  <c r="W129" i="21"/>
  <c r="W130" i="21" s="1"/>
  <c r="AK129" i="21"/>
  <c r="AK130" i="21" s="1"/>
  <c r="M129" i="21"/>
  <c r="M130" i="21" s="1"/>
  <c r="AP129" i="21"/>
  <c r="AP130" i="21" s="1"/>
  <c r="CL129" i="21"/>
  <c r="CL130" i="21" s="1"/>
  <c r="CE129" i="21"/>
  <c r="CE130" i="21" s="1"/>
  <c r="AG129" i="21"/>
  <c r="AG130" i="21" s="1"/>
  <c r="BQ129" i="21"/>
  <c r="BQ130" i="21" s="1"/>
  <c r="AU129" i="21"/>
  <c r="AU130" i="21" s="1"/>
  <c r="CG129" i="21"/>
  <c r="CG130" i="21" s="1"/>
  <c r="CD129" i="21"/>
  <c r="CD130" i="21" s="1"/>
  <c r="AL129" i="21"/>
  <c r="AL130" i="21" s="1"/>
  <c r="BA129" i="21"/>
  <c r="BA130" i="21" s="1"/>
  <c r="BG129" i="21"/>
  <c r="BG130" i="21" s="1"/>
  <c r="AM129" i="21"/>
  <c r="AM130" i="21" s="1"/>
  <c r="CK129" i="21"/>
  <c r="CK130" i="21" s="1"/>
  <c r="CB129" i="21"/>
  <c r="CB130" i="21" s="1"/>
  <c r="BE129" i="21"/>
  <c r="BE130" i="21" s="1"/>
  <c r="CJ129" i="21"/>
  <c r="CJ130" i="21" s="1"/>
  <c r="BO129" i="21"/>
  <c r="BO130" i="21" s="1"/>
  <c r="AT129" i="21"/>
  <c r="AT130" i="21" s="1"/>
  <c r="AV129" i="21"/>
  <c r="AV130" i="21" s="1"/>
  <c r="BM129" i="21"/>
  <c r="BM130" i="21" s="1"/>
  <c r="BT129" i="21"/>
  <c r="BT130" i="21" s="1"/>
  <c r="AJ129" i="21"/>
  <c r="AJ130" i="21" s="1"/>
  <c r="S129" i="21"/>
  <c r="S130" i="21" s="1"/>
  <c r="BS129" i="21"/>
  <c r="BS130" i="21" s="1"/>
  <c r="BV129" i="21"/>
  <c r="BV130" i="21" s="1"/>
  <c r="AK158" i="21"/>
  <c r="S158" i="21"/>
  <c r="AF158" i="21"/>
  <c r="AD158" i="21"/>
  <c r="AB158" i="21"/>
  <c r="T158" i="21"/>
  <c r="AI158" i="21"/>
  <c r="AG158" i="21"/>
  <c r="CN157" i="21"/>
  <c r="Y158" i="21"/>
  <c r="CN158" i="21" s="1"/>
  <c r="O158" i="21"/>
  <c r="W158" i="21"/>
  <c r="P158" i="21"/>
  <c r="M158" i="21"/>
  <c r="U158" i="21"/>
  <c r="J158" i="21"/>
  <c r="X158" i="21"/>
  <c r="R158" i="21"/>
  <c r="I139" i="21"/>
  <c r="AC158" i="21"/>
  <c r="AJ158" i="21"/>
  <c r="V158" i="21"/>
  <c r="X129" i="21"/>
  <c r="CO122" i="21"/>
  <c r="T129" i="21"/>
  <c r="N134" i="21"/>
  <c r="O133" i="21"/>
  <c r="K136" i="21"/>
  <c r="Y129" i="21"/>
  <c r="L136" i="21"/>
  <c r="M135" i="21"/>
  <c r="K129" i="21"/>
  <c r="V129" i="21"/>
  <c r="J129" i="21"/>
  <c r="AL158" i="21" l="1"/>
  <c r="I140" i="21"/>
  <c r="J139" i="21"/>
  <c r="J140" i="21" s="1"/>
  <c r="I158" i="21"/>
  <c r="Q158" i="21"/>
  <c r="N158" i="21"/>
  <c r="L158" i="21"/>
  <c r="K158" i="21"/>
  <c r="X130" i="21"/>
  <c r="V130" i="21"/>
  <c r="O134" i="21"/>
  <c r="P133" i="21"/>
  <c r="K130" i="21"/>
  <c r="N135" i="21"/>
  <c r="M136" i="21"/>
  <c r="Y130" i="21"/>
  <c r="T130" i="21"/>
  <c r="J130" i="21"/>
  <c r="J160" i="21" l="1"/>
  <c r="J161" i="21" s="1"/>
  <c r="J163" i="21" s="1"/>
  <c r="AL160" i="21"/>
  <c r="AL161" i="21" s="1"/>
  <c r="E160" i="21"/>
  <c r="BL160" i="21"/>
  <c r="BL161" i="21" s="1"/>
  <c r="K160" i="21"/>
  <c r="K161" i="21" s="1"/>
  <c r="K163" i="21" s="1"/>
  <c r="P160" i="21"/>
  <c r="P161" i="21" s="1"/>
  <c r="P163" i="21" s="1"/>
  <c r="BC160" i="21"/>
  <c r="BC161" i="21" s="1"/>
  <c r="AO160" i="21"/>
  <c r="AO161" i="21" s="1"/>
  <c r="M160" i="21"/>
  <c r="M161" i="21" s="1"/>
  <c r="CA160" i="21"/>
  <c r="CA161" i="21" s="1"/>
  <c r="CE160" i="21"/>
  <c r="CE161" i="21" s="1"/>
  <c r="CJ160" i="21"/>
  <c r="CJ161" i="21" s="1"/>
  <c r="BI160" i="21"/>
  <c r="BI161" i="21" s="1"/>
  <c r="O160" i="21"/>
  <c r="O161" i="21" s="1"/>
  <c r="CD160" i="21"/>
  <c r="CD161" i="21" s="1"/>
  <c r="H160" i="21"/>
  <c r="H161" i="21" s="1"/>
  <c r="N160" i="21"/>
  <c r="N161" i="21" s="1"/>
  <c r="N163" i="21" s="1"/>
  <c r="CB160" i="21"/>
  <c r="CB161" i="21" s="1"/>
  <c r="BF160" i="21"/>
  <c r="BF161" i="21" s="1"/>
  <c r="AK160" i="21"/>
  <c r="AK161" i="21" s="1"/>
  <c r="AK162" i="21" s="1"/>
  <c r="BU160" i="21"/>
  <c r="BU161" i="21" s="1"/>
  <c r="BD160" i="21"/>
  <c r="BD161" i="21" s="1"/>
  <c r="BH160" i="21"/>
  <c r="BH161" i="21" s="1"/>
  <c r="G160" i="21"/>
  <c r="G161" i="21" s="1"/>
  <c r="G163" i="21" s="1"/>
  <c r="AZ160" i="21"/>
  <c r="AZ161" i="21" s="1"/>
  <c r="BV160" i="21"/>
  <c r="BV161" i="21" s="1"/>
  <c r="AQ160" i="21"/>
  <c r="AQ161" i="21" s="1"/>
  <c r="AW160" i="21"/>
  <c r="AW161" i="21" s="1"/>
  <c r="BA160" i="21"/>
  <c r="BA161" i="21" s="1"/>
  <c r="CI160" i="21"/>
  <c r="CI161" i="21" s="1"/>
  <c r="AN160" i="21"/>
  <c r="AN161" i="21" s="1"/>
  <c r="AN162" i="21" s="1"/>
  <c r="X160" i="21"/>
  <c r="X161" i="21" s="1"/>
  <c r="BN160" i="21"/>
  <c r="BN161" i="21" s="1"/>
  <c r="AI160" i="21"/>
  <c r="AI161" i="21" s="1"/>
  <c r="S160" i="21"/>
  <c r="S161" i="21" s="1"/>
  <c r="S163" i="21" s="1"/>
  <c r="BB160" i="21"/>
  <c r="BB161" i="21" s="1"/>
  <c r="BR160" i="21"/>
  <c r="BR161" i="21" s="1"/>
  <c r="BM160" i="21"/>
  <c r="BM161" i="21" s="1"/>
  <c r="AG160" i="21"/>
  <c r="AG161" i="21" s="1"/>
  <c r="AG163" i="21" s="1"/>
  <c r="CF160" i="21"/>
  <c r="CF161" i="21" s="1"/>
  <c r="R160" i="21"/>
  <c r="R161" i="21" s="1"/>
  <c r="BX160" i="21"/>
  <c r="BX161" i="21" s="1"/>
  <c r="AB160" i="21"/>
  <c r="AB161" i="21" s="1"/>
  <c r="CK160" i="21"/>
  <c r="CK161" i="21" s="1"/>
  <c r="BO160" i="21"/>
  <c r="BO161" i="21" s="1"/>
  <c r="AS160" i="21"/>
  <c r="AS161" i="21" s="1"/>
  <c r="AX160" i="21"/>
  <c r="AX161" i="21" s="1"/>
  <c r="AF160" i="21"/>
  <c r="AF161" i="21" s="1"/>
  <c r="AF163" i="21" s="1"/>
  <c r="I160" i="21"/>
  <c r="I161" i="21" s="1"/>
  <c r="T160" i="21"/>
  <c r="T161" i="21" s="1"/>
  <c r="AT160" i="21"/>
  <c r="AT161" i="21" s="1"/>
  <c r="BS160" i="21"/>
  <c r="BS161" i="21" s="1"/>
  <c r="AM160" i="21"/>
  <c r="AM161" i="21" s="1"/>
  <c r="AU160" i="21"/>
  <c r="AU161" i="21" s="1"/>
  <c r="Z160" i="21"/>
  <c r="Z161" i="21" s="1"/>
  <c r="AE160" i="21"/>
  <c r="AE161" i="21" s="1"/>
  <c r="W160" i="21"/>
  <c r="W161" i="21" s="1"/>
  <c r="BK160" i="21"/>
  <c r="BK161" i="21" s="1"/>
  <c r="AH160" i="21"/>
  <c r="AH161" i="21" s="1"/>
  <c r="AH163" i="21" s="1"/>
  <c r="BY160" i="21"/>
  <c r="BY161" i="21" s="1"/>
  <c r="BW160" i="21"/>
  <c r="BW161" i="21" s="1"/>
  <c r="BJ160" i="21"/>
  <c r="BJ161" i="21" s="1"/>
  <c r="AP160" i="21"/>
  <c r="AP161" i="21" s="1"/>
  <c r="CH160" i="21"/>
  <c r="CH161" i="21" s="1"/>
  <c r="V160" i="21"/>
  <c r="V161" i="21" s="1"/>
  <c r="BG160" i="21"/>
  <c r="BG161" i="21" s="1"/>
  <c r="CG160" i="21"/>
  <c r="CG161" i="21" s="1"/>
  <c r="BP160" i="21"/>
  <c r="BP161" i="21" s="1"/>
  <c r="CL160" i="21"/>
  <c r="CL161" i="21" s="1"/>
  <c r="AC160" i="21"/>
  <c r="AC161" i="21" s="1"/>
  <c r="AC163" i="21" s="1"/>
  <c r="Q160" i="21"/>
  <c r="Q161" i="21" s="1"/>
  <c r="Q163" i="21" s="1"/>
  <c r="U160" i="21"/>
  <c r="U161" i="21" s="1"/>
  <c r="AJ160" i="21"/>
  <c r="AJ161" i="21" s="1"/>
  <c r="Y160" i="21"/>
  <c r="Y161" i="21" s="1"/>
  <c r="AV160" i="21"/>
  <c r="AV161" i="21" s="1"/>
  <c r="AY160" i="21"/>
  <c r="AY161" i="21" s="1"/>
  <c r="AA160" i="21"/>
  <c r="AA161" i="21" s="1"/>
  <c r="AD160" i="21"/>
  <c r="AD161" i="21" s="1"/>
  <c r="BZ160" i="21"/>
  <c r="BZ161" i="21" s="1"/>
  <c r="BQ160" i="21"/>
  <c r="BQ161" i="21" s="1"/>
  <c r="CC160" i="21"/>
  <c r="CC161" i="21" s="1"/>
  <c r="BT160" i="21"/>
  <c r="BT161" i="21" s="1"/>
  <c r="L160" i="21"/>
  <c r="L161" i="21" s="1"/>
  <c r="L163" i="21" s="1"/>
  <c r="F160" i="21"/>
  <c r="F161" i="21" s="1"/>
  <c r="BE160" i="21"/>
  <c r="BE161" i="21" s="1"/>
  <c r="AR160" i="21"/>
  <c r="AR161" i="21" s="1"/>
  <c r="AM158" i="21"/>
  <c r="K139" i="21"/>
  <c r="K140" i="21" s="1"/>
  <c r="CN159" i="21"/>
  <c r="P134" i="21"/>
  <c r="Q133" i="21"/>
  <c r="O135" i="21"/>
  <c r="N136" i="21"/>
  <c r="M163" i="21" l="1"/>
  <c r="M162" i="21"/>
  <c r="R163" i="21"/>
  <c r="R162" i="21"/>
  <c r="AD163" i="21"/>
  <c r="AD162" i="21"/>
  <c r="W163" i="21"/>
  <c r="W162" i="21"/>
  <c r="U163" i="21"/>
  <c r="U162" i="21"/>
  <c r="X163" i="21"/>
  <c r="X162" i="21"/>
  <c r="E67" i="41"/>
  <c r="H163" i="21"/>
  <c r="H162" i="21"/>
  <c r="CP162" i="21" s="1"/>
  <c r="T163" i="21"/>
  <c r="T162" i="21"/>
  <c r="AE163" i="21"/>
  <c r="AE162" i="21"/>
  <c r="F67" i="41"/>
  <c r="F162" i="21"/>
  <c r="F163" i="21"/>
  <c r="E161" i="21"/>
  <c r="E163" i="21" s="1"/>
  <c r="V163" i="21"/>
  <c r="V162" i="21"/>
  <c r="AA163" i="21"/>
  <c r="AA162" i="21"/>
  <c r="I162" i="21"/>
  <c r="Z163" i="21"/>
  <c r="Z162" i="21"/>
  <c r="AB163" i="21"/>
  <c r="AB162" i="21"/>
  <c r="Y162" i="21"/>
  <c r="AM163" i="21"/>
  <c r="O165" i="21"/>
  <c r="O163" i="21"/>
  <c r="AL163" i="21"/>
  <c r="AK163" i="21"/>
  <c r="AJ163" i="21"/>
  <c r="I165" i="21"/>
  <c r="J165" i="21" s="1"/>
  <c r="K165" i="21" s="1"/>
  <c r="L165" i="21" s="1"/>
  <c r="M165" i="21" s="1"/>
  <c r="N165" i="21" s="1"/>
  <c r="I163" i="21"/>
  <c r="AI163" i="21"/>
  <c r="CN161" i="21"/>
  <c r="Y163" i="21"/>
  <c r="CO157" i="21"/>
  <c r="CP157" i="21"/>
  <c r="AN158" i="21"/>
  <c r="L139" i="21"/>
  <c r="M139" i="21" s="1"/>
  <c r="CN160" i="21"/>
  <c r="CP160" i="21"/>
  <c r="CO160" i="21"/>
  <c r="P135" i="21"/>
  <c r="Q134" i="21"/>
  <c r="R133" i="21"/>
  <c r="O136" i="21"/>
  <c r="CN163" i="21" l="1"/>
  <c r="CO162" i="21"/>
  <c r="CN162" i="21"/>
  <c r="CO158" i="21"/>
  <c r="CP158" i="21"/>
  <c r="AO158" i="21"/>
  <c r="CP159" i="21"/>
  <c r="CO159" i="21"/>
  <c r="L140" i="21"/>
  <c r="R134" i="21"/>
  <c r="S133" i="21"/>
  <c r="Q135" i="21"/>
  <c r="N139" i="21"/>
  <c r="M140" i="21"/>
  <c r="P136" i="21"/>
  <c r="AO163" i="21" l="1"/>
  <c r="AN163" i="21"/>
  <c r="CO161" i="21"/>
  <c r="CP161" i="21"/>
  <c r="AP158" i="21"/>
  <c r="Q136" i="21"/>
  <c r="R135" i="21"/>
  <c r="S134" i="21"/>
  <c r="T133" i="21"/>
  <c r="O139" i="21"/>
  <c r="N140" i="21"/>
  <c r="AP163" i="21" l="1"/>
  <c r="AQ158" i="21"/>
  <c r="CO163" i="21"/>
  <c r="CP163" i="21"/>
  <c r="O140" i="21"/>
  <c r="P139" i="21"/>
  <c r="R136" i="21"/>
  <c r="T134" i="21"/>
  <c r="U133" i="21"/>
  <c r="S135" i="21"/>
  <c r="AQ163" i="21" l="1"/>
  <c r="AR158" i="21"/>
  <c r="S136" i="21"/>
  <c r="U134" i="21"/>
  <c r="V133" i="21"/>
  <c r="T135" i="21"/>
  <c r="Q139" i="21"/>
  <c r="P140" i="21"/>
  <c r="AR163" i="21" l="1"/>
  <c r="AS158" i="21"/>
  <c r="Q140" i="21"/>
  <c r="R139" i="21"/>
  <c r="T136" i="21"/>
  <c r="V134" i="21"/>
  <c r="W133" i="21"/>
  <c r="U135" i="21"/>
  <c r="AS163" i="21" l="1"/>
  <c r="AT158" i="21"/>
  <c r="V135" i="21"/>
  <c r="U136" i="21"/>
  <c r="W134" i="21"/>
  <c r="X133" i="21"/>
  <c r="S139" i="21"/>
  <c r="R140" i="21"/>
  <c r="AT163" i="21" l="1"/>
  <c r="AU158" i="21"/>
  <c r="S140" i="21"/>
  <c r="T139" i="21"/>
  <c r="X134" i="21"/>
  <c r="Y133" i="21"/>
  <c r="W135" i="21"/>
  <c r="V136" i="21"/>
  <c r="AU163" i="21" l="1"/>
  <c r="AV158" i="21"/>
  <c r="W136" i="21"/>
  <c r="Y134" i="21"/>
  <c r="Z133" i="21"/>
  <c r="U139" i="21"/>
  <c r="T140" i="21"/>
  <c r="X135" i="21"/>
  <c r="AV163" i="21" l="1"/>
  <c r="AW158" i="21"/>
  <c r="X136" i="21"/>
  <c r="U140" i="21"/>
  <c r="V139" i="21"/>
  <c r="Z134" i="21"/>
  <c r="Z135" i="21" s="1"/>
  <c r="Z136" i="21" s="1"/>
  <c r="AA133" i="21"/>
  <c r="Y135" i="21"/>
  <c r="AW163" i="21" l="1"/>
  <c r="AX158" i="21"/>
  <c r="Y136" i="21"/>
  <c r="AA134" i="21"/>
  <c r="AA135" i="21" s="1"/>
  <c r="AA136" i="21" s="1"/>
  <c r="AB133" i="21"/>
  <c r="W139" i="21"/>
  <c r="V140" i="21"/>
  <c r="AX163" i="21" l="1"/>
  <c r="AY158" i="21"/>
  <c r="W140" i="21"/>
  <c r="X139" i="21"/>
  <c r="AB134" i="21"/>
  <c r="AB135" i="21" s="1"/>
  <c r="AB136" i="21" s="1"/>
  <c r="AC133" i="21"/>
  <c r="AY163" i="21" l="1"/>
  <c r="AZ158" i="21"/>
  <c r="AC134" i="21"/>
  <c r="AC135" i="21" s="1"/>
  <c r="AC136" i="21" s="1"/>
  <c r="AD133" i="21"/>
  <c r="Y139" i="21"/>
  <c r="X140" i="21"/>
  <c r="AZ163" i="21" l="1"/>
  <c r="BA158" i="21"/>
  <c r="AD134" i="21"/>
  <c r="AD135" i="21" s="1"/>
  <c r="AD136" i="21" s="1"/>
  <c r="AE133" i="21"/>
  <c r="Y140" i="21"/>
  <c r="Z139" i="21"/>
  <c r="BA163" i="21" l="1"/>
  <c r="BB158" i="21"/>
  <c r="AA139" i="21"/>
  <c r="Z140" i="21"/>
  <c r="AE134" i="21"/>
  <c r="AE135" i="21" s="1"/>
  <c r="AE136" i="21" s="1"/>
  <c r="AF133" i="21"/>
  <c r="BB163" i="21" l="1"/>
  <c r="BC158" i="21"/>
  <c r="AF134" i="21"/>
  <c r="AF135" i="21" s="1"/>
  <c r="AF136" i="21" s="1"/>
  <c r="AG133" i="21"/>
  <c r="AB139" i="21"/>
  <c r="AA140" i="21"/>
  <c r="BC163" i="21" l="1"/>
  <c r="BD158" i="21"/>
  <c r="AG134" i="21"/>
  <c r="AG135" i="21" s="1"/>
  <c r="AG136" i="21" s="1"/>
  <c r="AH133" i="21"/>
  <c r="AC139" i="21"/>
  <c r="AB140" i="21"/>
  <c r="BD163" i="21" l="1"/>
  <c r="BE158" i="21"/>
  <c r="AD139" i="21"/>
  <c r="AC140" i="21"/>
  <c r="AH134" i="21"/>
  <c r="AH135" i="21" s="1"/>
  <c r="AH136" i="21" s="1"/>
  <c r="AI133" i="21"/>
  <c r="BE163" i="21" l="1"/>
  <c r="BF158" i="21"/>
  <c r="AI134" i="21"/>
  <c r="AI135" i="21" s="1"/>
  <c r="AI136" i="21" s="1"/>
  <c r="AJ133" i="21"/>
  <c r="AD140" i="21"/>
  <c r="AE139" i="21"/>
  <c r="BF163" i="21" l="1"/>
  <c r="BG158" i="21"/>
  <c r="AJ134" i="21"/>
  <c r="AJ135" i="21" s="1"/>
  <c r="AJ136" i="21" s="1"/>
  <c r="AK133" i="21"/>
  <c r="AF139" i="21"/>
  <c r="AE140" i="21"/>
  <c r="BG163" i="21" l="1"/>
  <c r="BH158" i="21"/>
  <c r="AK134" i="21"/>
  <c r="AK135" i="21" s="1"/>
  <c r="AK136" i="21" s="1"/>
  <c r="AL133" i="21"/>
  <c r="AG139" i="21"/>
  <c r="AF140" i="21"/>
  <c r="BH163" i="21" l="1"/>
  <c r="BI158" i="21"/>
  <c r="AG140" i="21"/>
  <c r="AH139" i="21"/>
  <c r="AL134" i="21"/>
  <c r="AL135" i="21" s="1"/>
  <c r="AL136" i="21" s="1"/>
  <c r="AM133" i="21"/>
  <c r="BI163" i="21" l="1"/>
  <c r="BJ158" i="21"/>
  <c r="AM134" i="21"/>
  <c r="AM135" i="21" s="1"/>
  <c r="AM136" i="21" s="1"/>
  <c r="AN133" i="21"/>
  <c r="AH140" i="21"/>
  <c r="AI139" i="21"/>
  <c r="BJ163" i="21" l="1"/>
  <c r="BK158" i="21"/>
  <c r="AJ139" i="21"/>
  <c r="AI140" i="21"/>
  <c r="AN134" i="21"/>
  <c r="AN135" i="21" s="1"/>
  <c r="AN136" i="21" s="1"/>
  <c r="AO133" i="21"/>
  <c r="BK163" i="21" l="1"/>
  <c r="BL158" i="21"/>
  <c r="AO134" i="21"/>
  <c r="AO135" i="21" s="1"/>
  <c r="AO136" i="21" s="1"/>
  <c r="AP133" i="21"/>
  <c r="AK139" i="21"/>
  <c r="AJ140" i="21"/>
  <c r="BL163" i="21" l="1"/>
  <c r="BM158" i="21"/>
  <c r="AK140" i="21"/>
  <c r="AL139" i="21"/>
  <c r="AP134" i="21"/>
  <c r="AP135" i="21" s="1"/>
  <c r="AP136" i="21" s="1"/>
  <c r="AQ133" i="21"/>
  <c r="BM163" i="21" l="1"/>
  <c r="BN158" i="21"/>
  <c r="AQ134" i="21"/>
  <c r="AQ135" i="21" s="1"/>
  <c r="AQ136" i="21" s="1"/>
  <c r="AR133" i="21"/>
  <c r="AM139" i="21"/>
  <c r="AL140" i="21"/>
  <c r="BN163" i="21" l="1"/>
  <c r="BO158" i="21"/>
  <c r="AN139" i="21"/>
  <c r="AM140" i="21"/>
  <c r="AR134" i="21"/>
  <c r="AR135" i="21" s="1"/>
  <c r="AR136" i="21" s="1"/>
  <c r="AS133" i="21"/>
  <c r="BO163" i="21" l="1"/>
  <c r="BP158" i="21"/>
  <c r="AS134" i="21"/>
  <c r="AS135" i="21" s="1"/>
  <c r="AS136" i="21" s="1"/>
  <c r="AT133" i="21"/>
  <c r="AO139" i="21"/>
  <c r="AN140" i="21"/>
  <c r="BP163" i="21" l="1"/>
  <c r="BQ158" i="21"/>
  <c r="AO140" i="21"/>
  <c r="AP139" i="21"/>
  <c r="AT134" i="21"/>
  <c r="AT135" i="21" s="1"/>
  <c r="AT136" i="21" s="1"/>
  <c r="AU133" i="21"/>
  <c r="BQ163" i="21" l="1"/>
  <c r="BR158" i="21"/>
  <c r="AU134" i="21"/>
  <c r="AU135" i="21" s="1"/>
  <c r="AU136" i="21" s="1"/>
  <c r="AV133" i="21"/>
  <c r="AQ139" i="21"/>
  <c r="AP140" i="21"/>
  <c r="BR163" i="21" l="1"/>
  <c r="BS158" i="21"/>
  <c r="AR139" i="21"/>
  <c r="AQ140" i="21"/>
  <c r="AV134" i="21"/>
  <c r="AV135" i="21" s="1"/>
  <c r="AV136" i="21" s="1"/>
  <c r="AW133" i="21"/>
  <c r="BS163" i="21" l="1"/>
  <c r="BT158" i="21"/>
  <c r="AW134" i="21"/>
  <c r="AW135" i="21" s="1"/>
  <c r="AW136" i="21" s="1"/>
  <c r="AX133" i="21"/>
  <c r="AS139" i="21"/>
  <c r="AR140" i="21"/>
  <c r="BT163" i="21" l="1"/>
  <c r="BU158" i="21"/>
  <c r="AS140" i="21"/>
  <c r="AT139" i="21"/>
  <c r="AX134" i="21"/>
  <c r="AX135" i="21" s="1"/>
  <c r="AX136" i="21" s="1"/>
  <c r="AY133" i="21"/>
  <c r="BU163" i="21" l="1"/>
  <c r="BV158" i="21"/>
  <c r="AY134" i="21"/>
  <c r="AY135" i="21" s="1"/>
  <c r="AY136" i="21" s="1"/>
  <c r="AZ133" i="21"/>
  <c r="AT140" i="21"/>
  <c r="AU139" i="21"/>
  <c r="BV163" i="21" l="1"/>
  <c r="BW158" i="21"/>
  <c r="AV139" i="21"/>
  <c r="AU140" i="21"/>
  <c r="AZ134" i="21"/>
  <c r="AZ135" i="21" s="1"/>
  <c r="AZ136" i="21" s="1"/>
  <c r="BA133" i="21"/>
  <c r="BW163" i="21" l="1"/>
  <c r="BX158" i="21"/>
  <c r="BA134" i="21"/>
  <c r="BA135" i="21" s="1"/>
  <c r="BA136" i="21" s="1"/>
  <c r="BB133" i="21"/>
  <c r="AW139" i="21"/>
  <c r="AV140" i="21"/>
  <c r="BX163" i="21" l="1"/>
  <c r="BY158" i="21"/>
  <c r="AX139" i="21"/>
  <c r="AW140" i="21"/>
  <c r="BB134" i="21"/>
  <c r="BB135" i="21" s="1"/>
  <c r="BB136" i="21" s="1"/>
  <c r="BC133" i="21"/>
  <c r="BY163" i="21" l="1"/>
  <c r="BZ158" i="21"/>
  <c r="BC134" i="21"/>
  <c r="BC135" i="21" s="1"/>
  <c r="BC136" i="21" s="1"/>
  <c r="BD133" i="21"/>
  <c r="AY139" i="21"/>
  <c r="AX140" i="21"/>
  <c r="BZ163" i="21" l="1"/>
  <c r="CA158" i="21"/>
  <c r="AZ139" i="21"/>
  <c r="AY140" i="21"/>
  <c r="BD134" i="21"/>
  <c r="BD135" i="21" s="1"/>
  <c r="BD136" i="21" s="1"/>
  <c r="BE133" i="21"/>
  <c r="CA163" i="21" l="1"/>
  <c r="CB158" i="21"/>
  <c r="BE134" i="21"/>
  <c r="BE135" i="21" s="1"/>
  <c r="BE136" i="21" s="1"/>
  <c r="BF133" i="21"/>
  <c r="BA139" i="21"/>
  <c r="AZ140" i="21"/>
  <c r="CB163" i="21" l="1"/>
  <c r="CC158" i="21"/>
  <c r="BF134" i="21"/>
  <c r="BF135" i="21" s="1"/>
  <c r="BF136" i="21" s="1"/>
  <c r="BG133" i="21"/>
  <c r="BB139" i="21"/>
  <c r="BA140" i="21"/>
  <c r="CC163" i="21" l="1"/>
  <c r="CD158" i="21"/>
  <c r="BB140" i="21"/>
  <c r="BC139" i="21"/>
  <c r="BG134" i="21"/>
  <c r="BG135" i="21" s="1"/>
  <c r="BG136" i="21" s="1"/>
  <c r="BH133" i="21"/>
  <c r="CD163" i="21" l="1"/>
  <c r="CE158" i="21"/>
  <c r="BH134" i="21"/>
  <c r="BH135" i="21" s="1"/>
  <c r="BH136" i="21" s="1"/>
  <c r="BI133" i="21"/>
  <c r="BD139" i="21"/>
  <c r="BC140" i="21"/>
  <c r="CE163" i="21" l="1"/>
  <c r="CF158" i="21"/>
  <c r="BI134" i="21"/>
  <c r="BI135" i="21" s="1"/>
  <c r="BI136" i="21" s="1"/>
  <c r="BJ133" i="21"/>
  <c r="BE139" i="21"/>
  <c r="BD140" i="21"/>
  <c r="CF163" i="21" l="1"/>
  <c r="CG158" i="21"/>
  <c r="BE140" i="21"/>
  <c r="BF139" i="21"/>
  <c r="BJ134" i="21"/>
  <c r="BJ135" i="21" s="1"/>
  <c r="BJ136" i="21" s="1"/>
  <c r="BK133" i="21"/>
  <c r="CG163" i="21" l="1"/>
  <c r="CH158" i="21"/>
  <c r="BK134" i="21"/>
  <c r="BK135" i="21" s="1"/>
  <c r="BK136" i="21" s="1"/>
  <c r="BL133" i="21"/>
  <c r="BF140" i="21"/>
  <c r="BG139" i="21"/>
  <c r="CH163" i="21" l="1"/>
  <c r="CI158" i="21"/>
  <c r="BH139" i="21"/>
  <c r="BG140" i="21"/>
  <c r="BM133" i="21"/>
  <c r="BL134" i="21"/>
  <c r="BL135" i="21" s="1"/>
  <c r="BL136" i="21" s="1"/>
  <c r="CI163" i="21" l="1"/>
  <c r="CJ158" i="21"/>
  <c r="BM134" i="21"/>
  <c r="BM135" i="21" s="1"/>
  <c r="BM136" i="21" s="1"/>
  <c r="BN133" i="21"/>
  <c r="BH140" i="21"/>
  <c r="BI139" i="21"/>
  <c r="CJ163" i="21" l="1"/>
  <c r="CK158" i="21"/>
  <c r="BJ139" i="21"/>
  <c r="BI140" i="21"/>
  <c r="BO133" i="21"/>
  <c r="BN134" i="21"/>
  <c r="BN135" i="21" s="1"/>
  <c r="BN136" i="21" s="1"/>
  <c r="CK163" i="21" l="1"/>
  <c r="CL158" i="21"/>
  <c r="BO134" i="21"/>
  <c r="BO135" i="21" s="1"/>
  <c r="BO136" i="21" s="1"/>
  <c r="BP133" i="21"/>
  <c r="BJ140" i="21"/>
  <c r="BK139" i="21"/>
  <c r="CL163" i="21" l="1"/>
  <c r="BQ133" i="21"/>
  <c r="BP134" i="21"/>
  <c r="BP135" i="21" s="1"/>
  <c r="BP136" i="21" s="1"/>
  <c r="BL139" i="21"/>
  <c r="BK140" i="21"/>
  <c r="BL140" i="21" l="1"/>
  <c r="BM139" i="21"/>
  <c r="BQ134" i="21"/>
  <c r="BQ135" i="21" s="1"/>
  <c r="BQ136" i="21" s="1"/>
  <c r="BR133" i="21"/>
  <c r="BS133" i="21" l="1"/>
  <c r="BR134" i="21"/>
  <c r="BR135" i="21" s="1"/>
  <c r="BR136" i="21" s="1"/>
  <c r="BN139" i="21"/>
  <c r="BM140" i="21"/>
  <c r="BN140" i="21" l="1"/>
  <c r="BO139" i="21"/>
  <c r="BS134" i="21"/>
  <c r="BS135" i="21" s="1"/>
  <c r="BS136" i="21" s="1"/>
  <c r="BT133" i="21"/>
  <c r="BU133" i="21" l="1"/>
  <c r="BT134" i="21"/>
  <c r="BT135" i="21" s="1"/>
  <c r="BT136" i="21" s="1"/>
  <c r="BP139" i="21"/>
  <c r="BO140" i="21"/>
  <c r="BP140" i="21" l="1"/>
  <c r="BQ139" i="21"/>
  <c r="BU134" i="21"/>
  <c r="BU135" i="21" s="1"/>
  <c r="BU136" i="21" s="1"/>
  <c r="BV133" i="21"/>
  <c r="BW133" i="21" l="1"/>
  <c r="BV134" i="21"/>
  <c r="BV135" i="21" s="1"/>
  <c r="BV136" i="21" s="1"/>
  <c r="BR139" i="21"/>
  <c r="BQ140" i="21"/>
  <c r="BR140" i="21" l="1"/>
  <c r="BS139" i="21"/>
  <c r="BW134" i="21"/>
  <c r="BW135" i="21" s="1"/>
  <c r="BW136" i="21" s="1"/>
  <c r="BX133" i="21"/>
  <c r="BY133" i="21" l="1"/>
  <c r="BX134" i="21"/>
  <c r="BX135" i="21" s="1"/>
  <c r="BX136" i="21" s="1"/>
  <c r="BT139" i="21"/>
  <c r="BS140" i="21"/>
  <c r="BT140" i="21" l="1"/>
  <c r="BU139" i="21"/>
  <c r="BY134" i="21"/>
  <c r="BY135" i="21" s="1"/>
  <c r="BY136" i="21" s="1"/>
  <c r="BZ133" i="21"/>
  <c r="CA133" i="21" l="1"/>
  <c r="BZ134" i="21"/>
  <c r="BZ135" i="21" s="1"/>
  <c r="BZ136" i="21" s="1"/>
  <c r="BV139" i="21"/>
  <c r="BU140" i="21"/>
  <c r="BV140" i="21" l="1"/>
  <c r="BW139" i="21"/>
  <c r="CA134" i="21"/>
  <c r="CA135" i="21" s="1"/>
  <c r="CA136" i="21" s="1"/>
  <c r="CB133" i="21"/>
  <c r="CC133" i="21" l="1"/>
  <c r="CB134" i="21"/>
  <c r="CB135" i="21" s="1"/>
  <c r="CB136" i="21" s="1"/>
  <c r="BX139" i="21"/>
  <c r="BW140" i="21"/>
  <c r="BX140" i="21" l="1"/>
  <c r="BY139" i="21"/>
  <c r="CC134" i="21"/>
  <c r="CC135" i="21" s="1"/>
  <c r="CC136" i="21" s="1"/>
  <c r="CD133" i="21"/>
  <c r="CE133" i="21" l="1"/>
  <c r="CD134" i="21"/>
  <c r="CD135" i="21" s="1"/>
  <c r="CD136" i="21" s="1"/>
  <c r="BZ139" i="21"/>
  <c r="BY140" i="21"/>
  <c r="CA139" i="21" l="1"/>
  <c r="BZ140" i="21"/>
  <c r="CE134" i="21"/>
  <c r="CE135" i="21" s="1"/>
  <c r="CE136" i="21" s="1"/>
  <c r="CF133" i="21"/>
  <c r="CG133" i="21" l="1"/>
  <c r="CF134" i="21"/>
  <c r="CF135" i="21" s="1"/>
  <c r="CF136" i="21" s="1"/>
  <c r="CA140" i="21"/>
  <c r="CB139" i="21"/>
  <c r="CC139" i="21" l="1"/>
  <c r="CB140" i="21"/>
  <c r="CG134" i="21"/>
  <c r="CG135" i="21" s="1"/>
  <c r="CG136" i="21" s="1"/>
  <c r="CH133" i="21"/>
  <c r="CI133" i="21" l="1"/>
  <c r="CH134" i="21"/>
  <c r="CH135" i="21" s="1"/>
  <c r="CH136" i="21" s="1"/>
  <c r="CC140" i="21"/>
  <c r="CD139" i="21"/>
  <c r="CE139" i="21" l="1"/>
  <c r="CD140" i="21"/>
  <c r="CI134" i="21"/>
  <c r="CI135" i="21" s="1"/>
  <c r="CI136" i="21" s="1"/>
  <c r="CJ133" i="21"/>
  <c r="CK133" i="21" l="1"/>
  <c r="CJ134" i="21"/>
  <c r="CJ135" i="21" s="1"/>
  <c r="CJ136" i="21" s="1"/>
  <c r="CF139" i="21"/>
  <c r="CE140" i="21"/>
  <c r="CG139" i="21" l="1"/>
  <c r="CF140" i="21"/>
  <c r="CL133" i="21"/>
  <c r="CL134" i="21" s="1"/>
  <c r="CL135" i="21" s="1"/>
  <c r="CL136" i="21" s="1"/>
  <c r="CK134" i="21"/>
  <c r="CK135" i="21" s="1"/>
  <c r="CK136" i="21" s="1"/>
  <c r="CH139" i="21" l="1"/>
  <c r="CG140" i="21"/>
  <c r="CI139" i="21" l="1"/>
  <c r="CH140" i="21"/>
  <c r="CI140" i="21" l="1"/>
  <c r="CJ139" i="21"/>
  <c r="CK139" i="21" l="1"/>
  <c r="CJ140" i="21"/>
  <c r="CK140" i="21" l="1"/>
  <c r="CL139" i="21"/>
  <c r="CL140" i="21" s="1"/>
  <c r="I33" i="21" l="1"/>
  <c r="J33" i="21" l="1"/>
  <c r="I17" i="21"/>
  <c r="I92" i="21" s="1"/>
  <c r="I34" i="21"/>
  <c r="J17" i="21" l="1"/>
  <c r="K17" i="21" s="1"/>
  <c r="L17" i="21" s="1"/>
  <c r="M17" i="21" s="1"/>
  <c r="M18" i="21" s="1"/>
  <c r="J34" i="21"/>
  <c r="K33" i="21"/>
  <c r="J19" i="21"/>
  <c r="H19" i="21"/>
  <c r="E19" i="21"/>
  <c r="I18" i="21"/>
  <c r="G19" i="21"/>
  <c r="J92" i="21" l="1"/>
  <c r="J18" i="21"/>
  <c r="F19" i="21"/>
  <c r="K18" i="21"/>
  <c r="I19" i="21"/>
  <c r="L19" i="21"/>
  <c r="M19" i="21"/>
  <c r="L18" i="21"/>
  <c r="K19" i="21"/>
  <c r="K92" i="21"/>
  <c r="N17" i="21"/>
  <c r="N19" i="21" s="1"/>
  <c r="G157" i="5"/>
  <c r="I101" i="21"/>
  <c r="I102" i="21"/>
  <c r="K34" i="21"/>
  <c r="L33" i="21"/>
  <c r="AG20" i="21"/>
  <c r="X20" i="21"/>
  <c r="M20" i="21"/>
  <c r="BQ20" i="21"/>
  <c r="AQ20" i="21"/>
  <c r="BT20" i="21"/>
  <c r="AI20" i="21"/>
  <c r="AU20" i="21"/>
  <c r="AZ20" i="21"/>
  <c r="W20" i="21"/>
  <c r="BY20" i="21"/>
  <c r="BK20" i="21"/>
  <c r="AW20" i="21"/>
  <c r="CH20" i="21"/>
  <c r="AR20" i="21"/>
  <c r="BG20" i="21"/>
  <c r="N20" i="21"/>
  <c r="BO20" i="21"/>
  <c r="BV20" i="21"/>
  <c r="BH20" i="21"/>
  <c r="CL20" i="21"/>
  <c r="BR20" i="21"/>
  <c r="AP20" i="21"/>
  <c r="BB20" i="21"/>
  <c r="AH20" i="21"/>
  <c r="BF20" i="21"/>
  <c r="AM20" i="21"/>
  <c r="U20" i="21"/>
  <c r="J20" i="21"/>
  <c r="J21" i="21" s="1"/>
  <c r="AK20" i="21"/>
  <c r="L20" i="21"/>
  <c r="BC20" i="21"/>
  <c r="O20" i="21"/>
  <c r="AN20" i="21"/>
  <c r="CI20" i="21"/>
  <c r="AY20" i="21"/>
  <c r="AV20" i="21"/>
  <c r="AS20" i="21"/>
  <c r="AC20" i="21"/>
  <c r="BE20" i="21"/>
  <c r="Z20" i="21"/>
  <c r="CJ20" i="21"/>
  <c r="K20" i="21"/>
  <c r="BW20" i="21"/>
  <c r="AL20" i="21"/>
  <c r="BU20" i="21"/>
  <c r="AA20" i="21"/>
  <c r="CC20" i="21"/>
  <c r="I20" i="21"/>
  <c r="BD20" i="21"/>
  <c r="BA20" i="21"/>
  <c r="F20" i="21"/>
  <c r="F21" i="21" s="1"/>
  <c r="CB20" i="21"/>
  <c r="P20" i="21"/>
  <c r="AO20" i="21"/>
  <c r="Y20" i="21"/>
  <c r="BX20" i="21"/>
  <c r="S20" i="21"/>
  <c r="CE20" i="21"/>
  <c r="BP20" i="21"/>
  <c r="E20" i="21"/>
  <c r="E21" i="21" s="1"/>
  <c r="E23" i="21" s="1"/>
  <c r="CG20" i="21"/>
  <c r="AD20" i="21"/>
  <c r="R20" i="21"/>
  <c r="AE20" i="21"/>
  <c r="AT20" i="21"/>
  <c r="AJ20" i="21"/>
  <c r="V20" i="21"/>
  <c r="BS20" i="21"/>
  <c r="BJ20" i="21"/>
  <c r="BI20" i="21"/>
  <c r="AX20" i="21"/>
  <c r="BM20" i="21"/>
  <c r="BZ20" i="21"/>
  <c r="BN20" i="21"/>
  <c r="H20" i="21"/>
  <c r="H21" i="21" s="1"/>
  <c r="CA20" i="21"/>
  <c r="CF20" i="21"/>
  <c r="AF20" i="21"/>
  <c r="CD20" i="21"/>
  <c r="BL20" i="21"/>
  <c r="G20" i="21"/>
  <c r="G21" i="21" s="1"/>
  <c r="CK20" i="21"/>
  <c r="AB20" i="21"/>
  <c r="Q20" i="21"/>
  <c r="T20" i="21"/>
  <c r="G159" i="5" l="1"/>
  <c r="G158" i="5"/>
  <c r="I21" i="21"/>
  <c r="I25" i="21" s="1"/>
  <c r="K21" i="21"/>
  <c r="K23" i="21" s="1"/>
  <c r="L21" i="21"/>
  <c r="L23" i="21" s="1"/>
  <c r="M21" i="21"/>
  <c r="N21" i="21"/>
  <c r="N23" i="21" s="1"/>
  <c r="N18" i="21"/>
  <c r="K38" i="21"/>
  <c r="K22" i="21"/>
  <c r="O17" i="21"/>
  <c r="P17" i="21" s="1"/>
  <c r="F23" i="21"/>
  <c r="F22" i="21"/>
  <c r="G23" i="21"/>
  <c r="G22" i="21"/>
  <c r="H23" i="21"/>
  <c r="H22" i="21"/>
  <c r="J23" i="21"/>
  <c r="J22" i="21"/>
  <c r="L34" i="21"/>
  <c r="M33" i="21"/>
  <c r="L35" i="21" s="1"/>
  <c r="L92" i="21"/>
  <c r="CO20" i="21"/>
  <c r="CP20" i="21"/>
  <c r="CN20" i="21"/>
  <c r="G160" i="5" l="1"/>
  <c r="I23" i="21"/>
  <c r="M23" i="21"/>
  <c r="M22" i="21"/>
  <c r="J35" i="21"/>
  <c r="E35" i="21"/>
  <c r="K35" i="21"/>
  <c r="H35" i="21"/>
  <c r="F35" i="21"/>
  <c r="I35" i="21"/>
  <c r="G35" i="21"/>
  <c r="I22" i="21"/>
  <c r="L37" i="21"/>
  <c r="L39" i="21" s="1"/>
  <c r="J38" i="21"/>
  <c r="O19" i="21"/>
  <c r="O21" i="21" s="1"/>
  <c r="O25" i="21" s="1"/>
  <c r="H38" i="21"/>
  <c r="O18" i="21"/>
  <c r="N33" i="21"/>
  <c r="M35" i="21"/>
  <c r="M34" i="21"/>
  <c r="M92" i="21"/>
  <c r="P18" i="21"/>
  <c r="Q17" i="21"/>
  <c r="P19" i="21"/>
  <c r="P21" i="21" s="1"/>
  <c r="P23" i="21" s="1"/>
  <c r="AM36" i="21" l="1"/>
  <c r="K36" i="21"/>
  <c r="K37" i="21" s="1"/>
  <c r="K39" i="21" s="1"/>
  <c r="AS36" i="21"/>
  <c r="Y36" i="21"/>
  <c r="BL36" i="21"/>
  <c r="BK36" i="21"/>
  <c r="CG36" i="21"/>
  <c r="AZ36" i="21"/>
  <c r="AI36" i="21"/>
  <c r="N36" i="21"/>
  <c r="AH36" i="21"/>
  <c r="G36" i="21"/>
  <c r="G37" i="21" s="1"/>
  <c r="BB36" i="21"/>
  <c r="CC36" i="21"/>
  <c r="CH36" i="21"/>
  <c r="BW36" i="21"/>
  <c r="BM36" i="21"/>
  <c r="AU36" i="21"/>
  <c r="J36" i="21"/>
  <c r="J37" i="21" s="1"/>
  <c r="J39" i="21" s="1"/>
  <c r="BO36" i="21"/>
  <c r="AQ36" i="21"/>
  <c r="AD36" i="21"/>
  <c r="BF36" i="21"/>
  <c r="BT36" i="21"/>
  <c r="X36" i="21"/>
  <c r="BY36" i="21"/>
  <c r="H36" i="21"/>
  <c r="H37" i="21" s="1"/>
  <c r="H39" i="21" s="1"/>
  <c r="CF36" i="21"/>
  <c r="T36" i="21"/>
  <c r="CL36" i="21"/>
  <c r="R36" i="21"/>
  <c r="L36" i="21"/>
  <c r="BH36" i="21"/>
  <c r="Q36" i="21"/>
  <c r="BV36" i="21"/>
  <c r="AK36" i="21"/>
  <c r="AR36" i="21"/>
  <c r="CD36" i="21"/>
  <c r="BR36" i="21"/>
  <c r="BA36" i="21"/>
  <c r="AX36" i="21"/>
  <c r="AL36" i="21"/>
  <c r="V36" i="21"/>
  <c r="S36" i="21"/>
  <c r="BU36" i="21"/>
  <c r="AP36" i="21"/>
  <c r="AG36" i="21"/>
  <c r="AW36" i="21"/>
  <c r="O36" i="21"/>
  <c r="CI36" i="21"/>
  <c r="CE36" i="21"/>
  <c r="CA36" i="21"/>
  <c r="BX36" i="21"/>
  <c r="W36" i="21"/>
  <c r="AF36" i="21"/>
  <c r="AA36" i="21"/>
  <c r="P36" i="21"/>
  <c r="BN36" i="21"/>
  <c r="AE36" i="21"/>
  <c r="BZ36" i="21"/>
  <c r="Z36" i="21"/>
  <c r="U36" i="21"/>
  <c r="E36" i="21"/>
  <c r="E37" i="21" s="1"/>
  <c r="E39" i="21" s="1"/>
  <c r="BC36" i="21"/>
  <c r="AO36" i="21"/>
  <c r="AJ36" i="21"/>
  <c r="AC36" i="21"/>
  <c r="BE36" i="21"/>
  <c r="BJ36" i="21"/>
  <c r="AT36" i="21"/>
  <c r="CJ36" i="21"/>
  <c r="I36" i="21"/>
  <c r="I37" i="21" s="1"/>
  <c r="F36" i="21"/>
  <c r="F37" i="21" s="1"/>
  <c r="BD36" i="21"/>
  <c r="AY36" i="21"/>
  <c r="CB36" i="21"/>
  <c r="BP36" i="21"/>
  <c r="AV36" i="21"/>
  <c r="BG36" i="21"/>
  <c r="BS36" i="21"/>
  <c r="BQ36" i="21"/>
  <c r="AN36" i="21"/>
  <c r="BI36" i="21"/>
  <c r="AB36" i="21"/>
  <c r="M36" i="21"/>
  <c r="M37" i="21" s="1"/>
  <c r="CK36" i="21"/>
  <c r="G161" i="5"/>
  <c r="E87" i="5"/>
  <c r="O23" i="21"/>
  <c r="J25" i="21"/>
  <c r="K25" i="21" s="1"/>
  <c r="L25" i="21" s="1"/>
  <c r="M25" i="21" s="1"/>
  <c r="N25" i="21" s="1"/>
  <c r="Q18" i="21"/>
  <c r="R17" i="21"/>
  <c r="Q19" i="21"/>
  <c r="Q21" i="21" s="1"/>
  <c r="Q23" i="21" s="1"/>
  <c r="M98" i="21"/>
  <c r="L98" i="21" s="1"/>
  <c r="K98" i="21" s="1"/>
  <c r="J98" i="21" s="1"/>
  <c r="I98" i="21" s="1"/>
  <c r="H98" i="21" s="1"/>
  <c r="G98" i="21" s="1"/>
  <c r="F98" i="21" s="1"/>
  <c r="E98" i="21" s="1"/>
  <c r="N34" i="21"/>
  <c r="O33" i="21"/>
  <c r="N35" i="21"/>
  <c r="N37" i="21" s="1"/>
  <c r="N39" i="21" s="1"/>
  <c r="N92" i="21"/>
  <c r="G39" i="21" l="1"/>
  <c r="G38" i="21"/>
  <c r="F39" i="21"/>
  <c r="F38" i="21"/>
  <c r="G162" i="5"/>
  <c r="M38" i="21"/>
  <c r="M39" i="21"/>
  <c r="CN36" i="21"/>
  <c r="CO36" i="21"/>
  <c r="CP36" i="21"/>
  <c r="I38" i="21"/>
  <c r="I41" i="21"/>
  <c r="I39" i="21"/>
  <c r="R18" i="21"/>
  <c r="S17" i="21"/>
  <c r="R19" i="21"/>
  <c r="R21" i="21" s="1"/>
  <c r="O34" i="21"/>
  <c r="P33" i="21"/>
  <c r="O35" i="21"/>
  <c r="O37" i="21" s="1"/>
  <c r="O92" i="21"/>
  <c r="N98" i="21"/>
  <c r="I64" i="21"/>
  <c r="I66" i="21" s="1"/>
  <c r="R23" i="21" l="1"/>
  <c r="R22" i="21"/>
  <c r="G163" i="5"/>
  <c r="O39" i="21"/>
  <c r="O41" i="21"/>
  <c r="J41" i="21"/>
  <c r="K41" i="21" s="1"/>
  <c r="L41" i="21" s="1"/>
  <c r="M41" i="21" s="1"/>
  <c r="N41" i="21" s="1"/>
  <c r="P34" i="21"/>
  <c r="Q33" i="21"/>
  <c r="P35" i="21"/>
  <c r="P37" i="21" s="1"/>
  <c r="P39" i="21" s="1"/>
  <c r="P92" i="21"/>
  <c r="O98" i="21"/>
  <c r="S18" i="21"/>
  <c r="T17" i="21"/>
  <c r="S19" i="21"/>
  <c r="S21" i="21" s="1"/>
  <c r="S23" i="21" s="1"/>
  <c r="BE68" i="21"/>
  <c r="BE69" i="21" s="1"/>
  <c r="S68" i="21"/>
  <c r="S69" i="21" s="1"/>
  <c r="S71" i="21" s="1"/>
  <c r="BM68" i="21"/>
  <c r="BM69" i="21" s="1"/>
  <c r="AE68" i="21"/>
  <c r="AE69" i="21" s="1"/>
  <c r="AA68" i="21"/>
  <c r="AA69" i="21" s="1"/>
  <c r="CF68" i="21"/>
  <c r="CF69" i="21" s="1"/>
  <c r="CG68" i="21"/>
  <c r="CG69" i="21" s="1"/>
  <c r="E68" i="21"/>
  <c r="E69" i="21" s="1"/>
  <c r="E71" i="21" s="1"/>
  <c r="BR68" i="21"/>
  <c r="BR69" i="21" s="1"/>
  <c r="Z68" i="21"/>
  <c r="Z69" i="21" s="1"/>
  <c r="CB68" i="21"/>
  <c r="CB69" i="21" s="1"/>
  <c r="CD68" i="21"/>
  <c r="CD69" i="21" s="1"/>
  <c r="BQ68" i="21"/>
  <c r="BQ69" i="21" s="1"/>
  <c r="BO68" i="21"/>
  <c r="BO69" i="21" s="1"/>
  <c r="CK68" i="21"/>
  <c r="CK69" i="21" s="1"/>
  <c r="H68" i="21"/>
  <c r="H69" i="21" s="1"/>
  <c r="AR68" i="21"/>
  <c r="AR69" i="21" s="1"/>
  <c r="AQ68" i="21"/>
  <c r="AQ69" i="21" s="1"/>
  <c r="AY68" i="21"/>
  <c r="AY69" i="21" s="1"/>
  <c r="AO68" i="21"/>
  <c r="AO69" i="21" s="1"/>
  <c r="R68" i="21"/>
  <c r="R69" i="21" s="1"/>
  <c r="CH68" i="21"/>
  <c r="CH69" i="21" s="1"/>
  <c r="W68" i="21"/>
  <c r="W69" i="21" s="1"/>
  <c r="P68" i="21"/>
  <c r="P69" i="21" s="1"/>
  <c r="P71" i="21" s="1"/>
  <c r="X68" i="21"/>
  <c r="X69" i="21" s="1"/>
  <c r="CI68" i="21"/>
  <c r="CI69" i="21" s="1"/>
  <c r="BP68" i="21"/>
  <c r="BP69" i="21" s="1"/>
  <c r="BD68" i="21"/>
  <c r="BD69" i="21" s="1"/>
  <c r="AU68" i="21"/>
  <c r="AU69" i="21" s="1"/>
  <c r="BW68" i="21"/>
  <c r="BW69" i="21" s="1"/>
  <c r="BY68" i="21"/>
  <c r="BY69" i="21" s="1"/>
  <c r="AP68" i="21"/>
  <c r="AP69" i="21" s="1"/>
  <c r="BN68" i="21"/>
  <c r="BN69" i="21" s="1"/>
  <c r="BX68" i="21"/>
  <c r="BX69" i="21" s="1"/>
  <c r="BI68" i="21"/>
  <c r="BI69" i="21" s="1"/>
  <c r="Y68" i="21"/>
  <c r="F68" i="21"/>
  <c r="F69" i="21" s="1"/>
  <c r="CJ68" i="21"/>
  <c r="CJ69" i="21" s="1"/>
  <c r="AI68" i="21"/>
  <c r="AI69" i="21" s="1"/>
  <c r="AI71" i="21" s="1"/>
  <c r="BK68" i="21"/>
  <c r="BK69" i="21" s="1"/>
  <c r="K68" i="21"/>
  <c r="K69" i="21" s="1"/>
  <c r="AW68" i="21"/>
  <c r="AW69" i="21" s="1"/>
  <c r="AC68" i="21"/>
  <c r="AC69" i="21" s="1"/>
  <c r="AC71" i="21" s="1"/>
  <c r="U68" i="21"/>
  <c r="U69" i="21" s="1"/>
  <c r="AB68" i="21"/>
  <c r="AB69" i="21" s="1"/>
  <c r="T68" i="21"/>
  <c r="T69" i="21" s="1"/>
  <c r="BV68" i="21"/>
  <c r="BV69" i="21" s="1"/>
  <c r="L68" i="21"/>
  <c r="L69" i="21" s="1"/>
  <c r="L71" i="21" s="1"/>
  <c r="CC68" i="21"/>
  <c r="CC69" i="21" s="1"/>
  <c r="BT68" i="21"/>
  <c r="BT69" i="21" s="1"/>
  <c r="AF68" i="21"/>
  <c r="AF69" i="21" s="1"/>
  <c r="AF71" i="21" s="1"/>
  <c r="AN68" i="21"/>
  <c r="AK68" i="21"/>
  <c r="AK69" i="21" s="1"/>
  <c r="BZ68" i="21"/>
  <c r="BZ69" i="21" s="1"/>
  <c r="V68" i="21"/>
  <c r="V69" i="21" s="1"/>
  <c r="AV68" i="21"/>
  <c r="AV69" i="21" s="1"/>
  <c r="AD68" i="21"/>
  <c r="AD69" i="21" s="1"/>
  <c r="AL68" i="21"/>
  <c r="AL69" i="21" s="1"/>
  <c r="AL71" i="21" s="1"/>
  <c r="AH68" i="21"/>
  <c r="AH69" i="21" s="1"/>
  <c r="AH71" i="21" s="1"/>
  <c r="AX68" i="21"/>
  <c r="AX69" i="21" s="1"/>
  <c r="BC68" i="21"/>
  <c r="BC69" i="21" s="1"/>
  <c r="N68" i="21"/>
  <c r="N69" i="21" s="1"/>
  <c r="N71" i="21" s="1"/>
  <c r="BA68" i="21"/>
  <c r="BA69" i="21" s="1"/>
  <c r="M68" i="21"/>
  <c r="M69" i="21" s="1"/>
  <c r="AS68" i="21"/>
  <c r="AS69" i="21" s="1"/>
  <c r="BG68" i="21"/>
  <c r="BG69" i="21" s="1"/>
  <c r="BL68" i="21"/>
  <c r="BL69" i="21" s="1"/>
  <c r="G68" i="21"/>
  <c r="G69" i="21" s="1"/>
  <c r="BU68" i="21"/>
  <c r="BU69" i="21" s="1"/>
  <c r="AG68" i="21"/>
  <c r="AG69" i="21" s="1"/>
  <c r="AG71" i="21" s="1"/>
  <c r="Q68" i="21"/>
  <c r="Q69" i="21" s="1"/>
  <c r="Q71" i="21" s="1"/>
  <c r="CA68" i="21"/>
  <c r="CA69" i="21" s="1"/>
  <c r="CE68" i="21"/>
  <c r="CE69" i="21" s="1"/>
  <c r="AM68" i="21"/>
  <c r="AM69" i="21" s="1"/>
  <c r="AM71" i="21" s="1"/>
  <c r="BH68" i="21"/>
  <c r="BH69" i="21" s="1"/>
  <c r="BJ68" i="21"/>
  <c r="BJ69" i="21" s="1"/>
  <c r="BB68" i="21"/>
  <c r="BB69" i="21" s="1"/>
  <c r="O68" i="21"/>
  <c r="O69" i="21" s="1"/>
  <c r="J68" i="21"/>
  <c r="J69" i="21" s="1"/>
  <c r="AT68" i="21"/>
  <c r="AT69" i="21" s="1"/>
  <c r="AZ68" i="21"/>
  <c r="AZ69" i="21" s="1"/>
  <c r="CL68" i="21"/>
  <c r="CL69" i="21" s="1"/>
  <c r="BF68" i="21"/>
  <c r="BF69" i="21" s="1"/>
  <c r="AJ68" i="21"/>
  <c r="AJ69" i="21" s="1"/>
  <c r="AJ71" i="21" s="1"/>
  <c r="BS68" i="21"/>
  <c r="BS69" i="21" s="1"/>
  <c r="I68" i="21"/>
  <c r="I69" i="21" s="1"/>
  <c r="R71" i="21" l="1"/>
  <c r="R70" i="21"/>
  <c r="AD71" i="21"/>
  <c r="AD70" i="21"/>
  <c r="G164" i="5"/>
  <c r="M71" i="21"/>
  <c r="M70" i="21"/>
  <c r="W71" i="21"/>
  <c r="W70" i="21"/>
  <c r="U71" i="21"/>
  <c r="U70" i="21"/>
  <c r="X71" i="21"/>
  <c r="X70" i="21"/>
  <c r="K71" i="21"/>
  <c r="K93" i="21" s="1"/>
  <c r="E159" i="5" s="1"/>
  <c r="K70" i="21"/>
  <c r="T71" i="21"/>
  <c r="T70" i="21"/>
  <c r="AE71" i="21"/>
  <c r="AE70" i="21"/>
  <c r="G71" i="21"/>
  <c r="G93" i="21" s="1"/>
  <c r="E155" i="5" s="1"/>
  <c r="G70" i="21"/>
  <c r="F71" i="21"/>
  <c r="F93" i="21" s="1"/>
  <c r="E154" i="5" s="1"/>
  <c r="F70" i="21"/>
  <c r="AK71" i="21"/>
  <c r="AK70" i="21"/>
  <c r="AA71" i="21"/>
  <c r="AA70" i="21"/>
  <c r="Z71" i="21"/>
  <c r="Z70" i="21"/>
  <c r="AB71" i="21"/>
  <c r="AB70" i="21"/>
  <c r="F153" i="5"/>
  <c r="E93" i="21"/>
  <c r="E153" i="5" s="1"/>
  <c r="H71" i="21"/>
  <c r="F156" i="5" s="1"/>
  <c r="H70" i="21"/>
  <c r="J71" i="21"/>
  <c r="F158" i="5" s="1"/>
  <c r="J70" i="21"/>
  <c r="I73" i="21"/>
  <c r="J73" i="21" s="1"/>
  <c r="K73" i="21" s="1"/>
  <c r="L73" i="21" s="1"/>
  <c r="M73" i="21" s="1"/>
  <c r="N73" i="21" s="1"/>
  <c r="L93" i="21"/>
  <c r="E160" i="5" s="1"/>
  <c r="F160" i="5"/>
  <c r="M93" i="21"/>
  <c r="E161" i="5" s="1"/>
  <c r="F161" i="5"/>
  <c r="N93" i="21"/>
  <c r="E162" i="5" s="1"/>
  <c r="F162" i="5"/>
  <c r="V71" i="21"/>
  <c r="V70" i="21"/>
  <c r="AX71" i="21"/>
  <c r="AX70" i="21"/>
  <c r="CD71" i="21"/>
  <c r="CD70" i="21"/>
  <c r="BV71" i="21"/>
  <c r="BV70" i="21"/>
  <c r="BI71" i="21"/>
  <c r="BI70" i="21"/>
  <c r="CB71" i="21"/>
  <c r="CB70" i="21"/>
  <c r="CE71" i="21"/>
  <c r="CE70" i="21"/>
  <c r="CL71" i="21"/>
  <c r="CL70" i="21"/>
  <c r="BX71" i="21"/>
  <c r="BX70" i="21"/>
  <c r="CH71" i="21"/>
  <c r="CH70" i="21"/>
  <c r="BQ71" i="21"/>
  <c r="BQ70" i="21"/>
  <c r="AZ71" i="21"/>
  <c r="AZ70" i="21"/>
  <c r="BN71" i="21"/>
  <c r="BN70" i="21"/>
  <c r="BR71" i="21"/>
  <c r="BR70" i="21"/>
  <c r="CC71" i="21"/>
  <c r="CC70" i="21"/>
  <c r="AT71" i="21"/>
  <c r="AT70" i="21"/>
  <c r="AV71" i="21"/>
  <c r="AV70" i="21"/>
  <c r="AP71" i="21"/>
  <c r="AP70" i="21"/>
  <c r="AO71" i="21"/>
  <c r="AO70" i="21"/>
  <c r="BF71" i="21"/>
  <c r="BF70" i="21"/>
  <c r="BL71" i="21"/>
  <c r="BL70" i="21"/>
  <c r="BY71" i="21"/>
  <c r="BY70" i="21"/>
  <c r="AY71" i="21"/>
  <c r="AY70" i="21"/>
  <c r="CG71" i="21"/>
  <c r="CG70" i="21"/>
  <c r="BS71" i="21"/>
  <c r="BS70" i="21"/>
  <c r="BG71" i="21"/>
  <c r="BG70" i="21"/>
  <c r="BZ71" i="21"/>
  <c r="BZ70" i="21"/>
  <c r="AW71" i="21"/>
  <c r="AW70" i="21"/>
  <c r="BW71" i="21"/>
  <c r="BW70" i="21"/>
  <c r="AQ71" i="21"/>
  <c r="AQ70" i="21"/>
  <c r="CF71" i="21"/>
  <c r="CF70" i="21"/>
  <c r="BC71" i="21"/>
  <c r="BC70" i="21"/>
  <c r="BB71" i="21"/>
  <c r="BB70" i="21"/>
  <c r="AS71" i="21"/>
  <c r="AS70" i="21"/>
  <c r="AU71" i="21"/>
  <c r="AU70" i="21"/>
  <c r="AR71" i="21"/>
  <c r="AR70" i="21"/>
  <c r="BE71" i="21"/>
  <c r="BE70" i="21"/>
  <c r="BU71" i="21"/>
  <c r="BU70" i="21"/>
  <c r="BD71" i="21"/>
  <c r="BD70" i="21"/>
  <c r="BK71" i="21"/>
  <c r="BK70" i="21"/>
  <c r="BH71" i="21"/>
  <c r="BH70" i="21"/>
  <c r="BA71" i="21"/>
  <c r="BA70" i="21"/>
  <c r="BP71" i="21"/>
  <c r="BP70" i="21"/>
  <c r="CK71" i="21"/>
  <c r="CK70" i="21"/>
  <c r="BM71" i="21"/>
  <c r="BM70" i="21"/>
  <c r="CA71" i="21"/>
  <c r="CA70" i="21"/>
  <c r="BJ71" i="21"/>
  <c r="BJ70" i="21"/>
  <c r="BT71" i="21"/>
  <c r="BT70" i="21"/>
  <c r="CJ71" i="21"/>
  <c r="CJ70" i="21"/>
  <c r="CI71" i="21"/>
  <c r="CI70" i="21"/>
  <c r="BO71" i="21"/>
  <c r="BO70" i="21"/>
  <c r="O102" i="21"/>
  <c r="J102" i="21"/>
  <c r="K102" i="21" s="1"/>
  <c r="L102" i="21" s="1"/>
  <c r="M102" i="21" s="1"/>
  <c r="N102" i="21" s="1"/>
  <c r="O101" i="21"/>
  <c r="J101" i="21"/>
  <c r="K101" i="21" s="1"/>
  <c r="L101" i="21" s="1"/>
  <c r="M101" i="21" s="1"/>
  <c r="N101" i="21" s="1"/>
  <c r="O71" i="21"/>
  <c r="O73" i="21"/>
  <c r="F164" i="5"/>
  <c r="P98" i="21"/>
  <c r="T18" i="21"/>
  <c r="U17" i="21"/>
  <c r="T19" i="21"/>
  <c r="T21" i="21" s="1"/>
  <c r="R33" i="21"/>
  <c r="Q35" i="21"/>
  <c r="Q37" i="21" s="1"/>
  <c r="Q39" i="21" s="1"/>
  <c r="Q34" i="21"/>
  <c r="Q92" i="21"/>
  <c r="CN68" i="21"/>
  <c r="Y69" i="21"/>
  <c r="CO68" i="21"/>
  <c r="CP68" i="21"/>
  <c r="AN69" i="21"/>
  <c r="AN70" i="21" s="1"/>
  <c r="I70" i="21"/>
  <c r="I71" i="21"/>
  <c r="G165" i="5" l="1"/>
  <c r="O93" i="21"/>
  <c r="E163" i="5" s="1"/>
  <c r="Q93" i="21"/>
  <c r="E165" i="5" s="1"/>
  <c r="F159" i="5"/>
  <c r="J93" i="21"/>
  <c r="E158" i="5" s="1"/>
  <c r="T23" i="21"/>
  <c r="T22" i="21"/>
  <c r="F154" i="5"/>
  <c r="F155" i="5"/>
  <c r="CP70" i="21"/>
  <c r="H93" i="21"/>
  <c r="E156" i="5" s="1"/>
  <c r="P93" i="21"/>
  <c r="E164" i="5" s="1"/>
  <c r="O100" i="21"/>
  <c r="S33" i="21"/>
  <c r="R34" i="21"/>
  <c r="R35" i="21"/>
  <c r="R37" i="21" s="1"/>
  <c r="R92" i="21"/>
  <c r="V17" i="21"/>
  <c r="U19" i="21"/>
  <c r="U21" i="21" s="1"/>
  <c r="U18" i="21"/>
  <c r="Q98" i="21"/>
  <c r="Y71" i="21"/>
  <c r="Y70" i="21"/>
  <c r="CN69" i="21"/>
  <c r="CO69" i="21"/>
  <c r="AN71" i="21"/>
  <c r="CP69" i="21"/>
  <c r="R39" i="21" l="1"/>
  <c r="R38" i="21"/>
  <c r="G166" i="5"/>
  <c r="F166" i="5"/>
  <c r="F163" i="5"/>
  <c r="F165" i="5"/>
  <c r="U23" i="21"/>
  <c r="U22" i="21"/>
  <c r="I93" i="21"/>
  <c r="I100" i="21"/>
  <c r="J100" i="21" s="1"/>
  <c r="K100" i="21" s="1"/>
  <c r="L100" i="21" s="1"/>
  <c r="M100" i="21" s="1"/>
  <c r="N100" i="21" s="1"/>
  <c r="F157" i="5"/>
  <c r="O99" i="21"/>
  <c r="R93" i="21"/>
  <c r="S34" i="21"/>
  <c r="T33" i="21"/>
  <c r="S35" i="21"/>
  <c r="S37" i="21" s="1"/>
  <c r="S39" i="21" s="1"/>
  <c r="S92" i="21"/>
  <c r="R98" i="21"/>
  <c r="W17" i="21"/>
  <c r="V19" i="21"/>
  <c r="V21" i="21" s="1"/>
  <c r="V18" i="21"/>
  <c r="CO70" i="21"/>
  <c r="CN70" i="21"/>
  <c r="CP71" i="21"/>
  <c r="CO71" i="21"/>
  <c r="CN71" i="21"/>
  <c r="E166" i="5" l="1"/>
  <c r="R94" i="21"/>
  <c r="G167" i="5"/>
  <c r="F167" i="5"/>
  <c r="E86" i="5"/>
  <c r="I99" i="21"/>
  <c r="J99" i="21" s="1"/>
  <c r="K99" i="21" s="1"/>
  <c r="L99" i="21" s="1"/>
  <c r="M99" i="21" s="1"/>
  <c r="N99" i="21" s="1"/>
  <c r="E157" i="5"/>
  <c r="G67" i="41"/>
  <c r="V23" i="21"/>
  <c r="V22" i="21"/>
  <c r="S93" i="21"/>
  <c r="E167" i="5" s="1"/>
  <c r="S98" i="21"/>
  <c r="U33" i="21"/>
  <c r="T34" i="21"/>
  <c r="T35" i="21"/>
  <c r="T37" i="21" s="1"/>
  <c r="T92" i="21"/>
  <c r="X17" i="21"/>
  <c r="Y17" i="21" s="1"/>
  <c r="W19" i="21"/>
  <c r="W21" i="21" s="1"/>
  <c r="W18" i="21"/>
  <c r="G168" i="5" l="1"/>
  <c r="W23" i="21"/>
  <c r="W22" i="21"/>
  <c r="T39" i="21"/>
  <c r="T38" i="21"/>
  <c r="Z17" i="21"/>
  <c r="CN17" i="21"/>
  <c r="Y19" i="21"/>
  <c r="Y18" i="21"/>
  <c r="CN18" i="21" s="1"/>
  <c r="T98" i="21"/>
  <c r="U34" i="21"/>
  <c r="V33" i="21"/>
  <c r="U35" i="21"/>
  <c r="U37" i="21" s="1"/>
  <c r="U92" i="21"/>
  <c r="X19" i="21"/>
  <c r="X21" i="21" s="1"/>
  <c r="X18" i="21"/>
  <c r="G169" i="5" l="1"/>
  <c r="T93" i="21"/>
  <c r="E168" i="5" s="1"/>
  <c r="U39" i="21"/>
  <c r="U38" i="21"/>
  <c r="X23" i="21"/>
  <c r="X22" i="21"/>
  <c r="T94" i="21"/>
  <c r="F168" i="5"/>
  <c r="T95" i="21"/>
  <c r="CN19" i="21"/>
  <c r="Y21" i="21"/>
  <c r="Y22" i="21" s="1"/>
  <c r="AA17" i="21"/>
  <c r="Z19" i="21"/>
  <c r="Z21" i="21" s="1"/>
  <c r="Z18" i="21"/>
  <c r="U98" i="21"/>
  <c r="V34" i="21"/>
  <c r="W33" i="21"/>
  <c r="V35" i="21"/>
  <c r="V37" i="21" s="1"/>
  <c r="V92" i="21"/>
  <c r="V96" i="21" s="1"/>
  <c r="G170" i="5" l="1"/>
  <c r="U93" i="21"/>
  <c r="E169" i="5" s="1"/>
  <c r="U94" i="21"/>
  <c r="F169" i="5"/>
  <c r="U95" i="21"/>
  <c r="Z23" i="21"/>
  <c r="Z22" i="21"/>
  <c r="CN22" i="21"/>
  <c r="V39" i="21"/>
  <c r="V91" i="21" s="1"/>
  <c r="V38" i="21"/>
  <c r="AB17" i="21"/>
  <c r="AA18" i="21"/>
  <c r="AA19" i="21"/>
  <c r="AA21" i="21" s="1"/>
  <c r="CN21" i="21"/>
  <c r="Y23" i="21"/>
  <c r="CN23" i="21" s="1"/>
  <c r="V98" i="21"/>
  <c r="W34" i="21"/>
  <c r="X33" i="21"/>
  <c r="Y33" i="21" s="1"/>
  <c r="W35" i="21"/>
  <c r="W37" i="21" s="1"/>
  <c r="W92" i="21"/>
  <c r="W96" i="21" s="1"/>
  <c r="G171" i="5" s="1"/>
  <c r="F170" i="5" l="1"/>
  <c r="W39" i="21"/>
  <c r="W91" i="21" s="1"/>
  <c r="W93" i="47" s="1"/>
  <c r="W94" i="47" s="1"/>
  <c r="W38" i="21"/>
  <c r="AA23" i="21"/>
  <c r="AA22" i="21"/>
  <c r="V93" i="21"/>
  <c r="E170" i="5" s="1"/>
  <c r="V95" i="21"/>
  <c r="Y34" i="21"/>
  <c r="CN34" i="21" s="1"/>
  <c r="Y35" i="21"/>
  <c r="Z33" i="21"/>
  <c r="CN33" i="21"/>
  <c r="Y92" i="21"/>
  <c r="Y96" i="21" s="1"/>
  <c r="AB19" i="21"/>
  <c r="AB21" i="21" s="1"/>
  <c r="AB18" i="21"/>
  <c r="AC17" i="21"/>
  <c r="W98" i="21"/>
  <c r="W97" i="21"/>
  <c r="X34" i="21"/>
  <c r="X35" i="21"/>
  <c r="X37" i="21" s="1"/>
  <c r="X92" i="21"/>
  <c r="X96" i="21" s="1"/>
  <c r="G172" i="5" s="1"/>
  <c r="W93" i="21" l="1"/>
  <c r="E171" i="5" s="1"/>
  <c r="W94" i="21"/>
  <c r="F171" i="5"/>
  <c r="W95" i="21"/>
  <c r="X39" i="21"/>
  <c r="X91" i="21" s="1"/>
  <c r="X38" i="21"/>
  <c r="AB23" i="21"/>
  <c r="AB22" i="21"/>
  <c r="G173" i="5"/>
  <c r="V94" i="21"/>
  <c r="AD17" i="21"/>
  <c r="AC18" i="21"/>
  <c r="AC19" i="21"/>
  <c r="AC21" i="21" s="1"/>
  <c r="AC23" i="21" s="1"/>
  <c r="Y98" i="21"/>
  <c r="CN98" i="21" s="1"/>
  <c r="CN92" i="21"/>
  <c r="Y97" i="21"/>
  <c r="CN97" i="21" s="1"/>
  <c r="Z35" i="21"/>
  <c r="Z37" i="21" s="1"/>
  <c r="Z92" i="21"/>
  <c r="Z96" i="21" s="1"/>
  <c r="G174" i="5" s="1"/>
  <c r="Z34" i="21"/>
  <c r="AA33" i="21"/>
  <c r="CN35" i="21"/>
  <c r="Y37" i="21"/>
  <c r="Y38" i="21" s="1"/>
  <c r="X98" i="21"/>
  <c r="X97" i="21"/>
  <c r="X93" i="21" l="1"/>
  <c r="E172" i="5" s="1"/>
  <c r="X93" i="47"/>
  <c r="X94" i="21"/>
  <c r="F172" i="5"/>
  <c r="X95" i="21"/>
  <c r="Z39" i="21"/>
  <c r="Z91" i="21" s="1"/>
  <c r="Z38" i="21"/>
  <c r="CN38" i="21"/>
  <c r="AA92" i="21"/>
  <c r="AA96" i="21" s="1"/>
  <c r="AA34" i="21"/>
  <c r="AB33" i="21"/>
  <c r="AA35" i="21"/>
  <c r="AA37" i="21" s="1"/>
  <c r="CN96" i="21"/>
  <c r="Z97" i="21"/>
  <c r="Z98" i="21"/>
  <c r="CN37" i="21"/>
  <c r="Y39" i="21"/>
  <c r="AD19" i="21"/>
  <c r="AD21" i="21" s="1"/>
  <c r="AD18" i="21"/>
  <c r="AE17" i="21"/>
  <c r="AD23" i="21" l="1"/>
  <c r="AD22" i="21"/>
  <c r="Z93" i="21"/>
  <c r="Z94" i="21" s="1"/>
  <c r="Z93" i="47"/>
  <c r="Z94" i="47" s="1"/>
  <c r="AA39" i="21"/>
  <c r="AA91" i="21" s="1"/>
  <c r="AA38" i="21"/>
  <c r="G175" i="5"/>
  <c r="E174" i="5"/>
  <c r="F174" i="5"/>
  <c r="Z95" i="21"/>
  <c r="CN39" i="21"/>
  <c r="Y91" i="21"/>
  <c r="AC33" i="21"/>
  <c r="AB34" i="21"/>
  <c r="AB35" i="21"/>
  <c r="AB37" i="21" s="1"/>
  <c r="AB92" i="21"/>
  <c r="AB96" i="21" s="1"/>
  <c r="AE18" i="21"/>
  <c r="AF17" i="21"/>
  <c r="AE19" i="21"/>
  <c r="AE21" i="21" s="1"/>
  <c r="AA97" i="21"/>
  <c r="AA98" i="21"/>
  <c r="F173" i="5" l="1"/>
  <c r="AA95" i="21"/>
  <c r="AA93" i="47"/>
  <c r="AE23" i="21"/>
  <c r="AE22" i="21"/>
  <c r="AA93" i="21"/>
  <c r="E175" i="5" s="1"/>
  <c r="F175" i="5"/>
  <c r="AA94" i="21"/>
  <c r="G176" i="5"/>
  <c r="AB39" i="21"/>
  <c r="AB91" i="21" s="1"/>
  <c r="AB38" i="21"/>
  <c r="Y95" i="21"/>
  <c r="AB98" i="21"/>
  <c r="AB97" i="21"/>
  <c r="AC34" i="21"/>
  <c r="AC35" i="21"/>
  <c r="AC37" i="21" s="1"/>
  <c r="AC39" i="21" s="1"/>
  <c r="AC91" i="21" s="1"/>
  <c r="AC93" i="47" s="1"/>
  <c r="AD33" i="21"/>
  <c r="AC92" i="21"/>
  <c r="AC96" i="21" s="1"/>
  <c r="G177" i="5" s="1"/>
  <c r="CN91" i="21"/>
  <c r="Y93" i="21"/>
  <c r="AF18" i="21"/>
  <c r="AF19" i="21"/>
  <c r="AF21" i="21" s="1"/>
  <c r="AF23" i="21" s="1"/>
  <c r="AG17" i="21"/>
  <c r="AB93" i="21" l="1"/>
  <c r="E176" i="5" s="1"/>
  <c r="AB93" i="47"/>
  <c r="Y93" i="47"/>
  <c r="CN91" i="47"/>
  <c r="E173" i="5"/>
  <c r="AB94" i="21"/>
  <c r="F176" i="5"/>
  <c r="AB95" i="21"/>
  <c r="AC93" i="21"/>
  <c r="E177" i="5" s="1"/>
  <c r="F177" i="5"/>
  <c r="Y94" i="21"/>
  <c r="CN93" i="21"/>
  <c r="AC98" i="21"/>
  <c r="AC97" i="21"/>
  <c r="AD92" i="21"/>
  <c r="AD96" i="21" s="1"/>
  <c r="G178" i="5" s="1"/>
  <c r="AE33" i="21"/>
  <c r="AD34" i="21"/>
  <c r="AD35" i="21"/>
  <c r="AD37" i="21" s="1"/>
  <c r="AG18" i="21"/>
  <c r="AH17" i="21"/>
  <c r="AG19" i="21"/>
  <c r="AG21" i="21" s="1"/>
  <c r="AG23" i="21" s="1"/>
  <c r="CN93" i="47" l="1"/>
  <c r="Y94" i="47"/>
  <c r="AD39" i="21"/>
  <c r="AD91" i="21" s="1"/>
  <c r="AD95" i="21" s="1"/>
  <c r="AD38" i="21"/>
  <c r="AD93" i="47"/>
  <c r="AD94" i="47" s="1"/>
  <c r="AE34" i="21"/>
  <c r="AE92" i="21"/>
  <c r="AE96" i="21" s="1"/>
  <c r="G179" i="5" s="1"/>
  <c r="AE35" i="21"/>
  <c r="AE37" i="21" s="1"/>
  <c r="AF33" i="21"/>
  <c r="AI17" i="21"/>
  <c r="AH18" i="21"/>
  <c r="AH19" i="21"/>
  <c r="AH21" i="21" s="1"/>
  <c r="AH23" i="21" s="1"/>
  <c r="AD97" i="21"/>
  <c r="AD98" i="21"/>
  <c r="AD93" i="21" l="1"/>
  <c r="E178" i="5" s="1"/>
  <c r="F178" i="5"/>
  <c r="AD94" i="21"/>
  <c r="AE39" i="21"/>
  <c r="AE91" i="21" s="1"/>
  <c r="AE38" i="21"/>
  <c r="AI18" i="21"/>
  <c r="AJ17" i="21"/>
  <c r="AI19" i="21"/>
  <c r="AI21" i="21" s="1"/>
  <c r="AI23" i="21" s="1"/>
  <c r="AG33" i="21"/>
  <c r="AF35" i="21"/>
  <c r="AF37" i="21" s="1"/>
  <c r="AF39" i="21" s="1"/>
  <c r="AF91" i="21" s="1"/>
  <c r="AF34" i="21"/>
  <c r="AF92" i="21"/>
  <c r="AF96" i="21" s="1"/>
  <c r="G180" i="5" s="1"/>
  <c r="AE97" i="21"/>
  <c r="AE98" i="21"/>
  <c r="F180" i="5" l="1"/>
  <c r="AF93" i="47"/>
  <c r="AE95" i="21"/>
  <c r="AE93" i="47"/>
  <c r="F179" i="5"/>
  <c r="AE93" i="21"/>
  <c r="E179" i="5" s="1"/>
  <c r="AF93" i="21"/>
  <c r="E180" i="5" s="1"/>
  <c r="AF98" i="21"/>
  <c r="AF97" i="21"/>
  <c r="AG34" i="21"/>
  <c r="AG92" i="21"/>
  <c r="AG96" i="21" s="1"/>
  <c r="G181" i="5" s="1"/>
  <c r="AH33" i="21"/>
  <c r="AG35" i="21"/>
  <c r="AG37" i="21" s="1"/>
  <c r="AG39" i="21" s="1"/>
  <c r="AG91" i="21" s="1"/>
  <c r="AG93" i="47" s="1"/>
  <c r="AJ19" i="21"/>
  <c r="AJ21" i="21" s="1"/>
  <c r="AJ23" i="21" s="1"/>
  <c r="AJ18" i="21"/>
  <c r="AK17" i="21"/>
  <c r="AE94" i="21" l="1"/>
  <c r="AG93" i="21"/>
  <c r="E181" i="5" s="1"/>
  <c r="F181" i="5"/>
  <c r="AG98" i="21"/>
  <c r="AG97" i="21"/>
  <c r="AL17" i="21"/>
  <c r="AK18" i="21"/>
  <c r="AK19" i="21"/>
  <c r="AK21" i="21" s="1"/>
  <c r="AH92" i="21"/>
  <c r="AH96" i="21" s="1"/>
  <c r="G182" i="5" s="1"/>
  <c r="AI33" i="21"/>
  <c r="AH34" i="21"/>
  <c r="AH35" i="21"/>
  <c r="AH37" i="21" s="1"/>
  <c r="AH39" i="21" s="1"/>
  <c r="AH91" i="21" s="1"/>
  <c r="AH93" i="47" s="1"/>
  <c r="AK23" i="21" l="1"/>
  <c r="AK22" i="21"/>
  <c r="AH93" i="21"/>
  <c r="E182" i="5" s="1"/>
  <c r="F182" i="5"/>
  <c r="AH98" i="21"/>
  <c r="AH97" i="21"/>
  <c r="AM17" i="21"/>
  <c r="AL18" i="21"/>
  <c r="AL19" i="21"/>
  <c r="AL21" i="21" s="1"/>
  <c r="AL23" i="21" s="1"/>
  <c r="AI34" i="21"/>
  <c r="AJ33" i="21"/>
  <c r="AI92" i="21"/>
  <c r="AI96" i="21" s="1"/>
  <c r="G183" i="5" s="1"/>
  <c r="AI35" i="21"/>
  <c r="AI37" i="21" s="1"/>
  <c r="AI39" i="21" s="1"/>
  <c r="AI91" i="21" s="1"/>
  <c r="F183" i="5" l="1"/>
  <c r="AI93" i="47"/>
  <c r="AI93" i="21"/>
  <c r="E183" i="5" s="1"/>
  <c r="AI98" i="21"/>
  <c r="AI97" i="21"/>
  <c r="AM19" i="21"/>
  <c r="AM21" i="21" s="1"/>
  <c r="AM23" i="21" s="1"/>
  <c r="AM18" i="21"/>
  <c r="AN17" i="21"/>
  <c r="AJ35" i="21"/>
  <c r="AJ37" i="21" s="1"/>
  <c r="AJ39" i="21" s="1"/>
  <c r="AJ91" i="21" s="1"/>
  <c r="AJ93" i="47" s="1"/>
  <c r="AJ34" i="21"/>
  <c r="AK33" i="21"/>
  <c r="AJ92" i="21"/>
  <c r="AJ96" i="21" s="1"/>
  <c r="G184" i="5" s="1"/>
  <c r="AJ93" i="21" l="1"/>
  <c r="E184" i="5" s="1"/>
  <c r="F184" i="5"/>
  <c r="AJ97" i="21"/>
  <c r="AJ98" i="21"/>
  <c r="AK34" i="21"/>
  <c r="AK92" i="21"/>
  <c r="AK96" i="21" s="1"/>
  <c r="AL33" i="21"/>
  <c r="AK35" i="21"/>
  <c r="AK37" i="21" s="1"/>
  <c r="CP17" i="21"/>
  <c r="AN19" i="21"/>
  <c r="AN18" i="21"/>
  <c r="AO17" i="21"/>
  <c r="CO17" i="21"/>
  <c r="G185" i="5" l="1"/>
  <c r="AK39" i="21"/>
  <c r="AK91" i="21" s="1"/>
  <c r="AK38" i="21"/>
  <c r="AN21" i="21"/>
  <c r="AN22" i="21" s="1"/>
  <c r="CP19" i="21"/>
  <c r="CO19" i="21"/>
  <c r="AP17" i="21"/>
  <c r="AO18" i="21"/>
  <c r="AO19" i="21"/>
  <c r="AO21" i="21" s="1"/>
  <c r="AO23" i="21" s="1"/>
  <c r="CP18" i="21"/>
  <c r="CO18" i="21"/>
  <c r="AL35" i="21"/>
  <c r="AL37" i="21" s="1"/>
  <c r="AL39" i="21" s="1"/>
  <c r="AL91" i="21" s="1"/>
  <c r="AL93" i="47" s="1"/>
  <c r="AL34" i="21"/>
  <c r="AM33" i="21"/>
  <c r="AL92" i="21"/>
  <c r="AL96" i="21" s="1"/>
  <c r="G186" i="5" s="1"/>
  <c r="AK97" i="21"/>
  <c r="AK98" i="21"/>
  <c r="AK93" i="21" l="1"/>
  <c r="E185" i="5" s="1"/>
  <c r="AK93" i="47"/>
  <c r="CP22" i="21"/>
  <c r="CO22" i="21"/>
  <c r="AK94" i="21"/>
  <c r="F185" i="5"/>
  <c r="AK95" i="21"/>
  <c r="AL93" i="21"/>
  <c r="E186" i="5" s="1"/>
  <c r="F186" i="5"/>
  <c r="AN33" i="21"/>
  <c r="AM35" i="21"/>
  <c r="AM37" i="21" s="1"/>
  <c r="AM39" i="21" s="1"/>
  <c r="AM91" i="21" s="1"/>
  <c r="AM93" i="47" s="1"/>
  <c r="AM92" i="21"/>
  <c r="AM96" i="21" s="1"/>
  <c r="G187" i="5" s="1"/>
  <c r="AM34" i="21"/>
  <c r="AL97" i="21"/>
  <c r="AL98" i="21"/>
  <c r="AO22" i="21"/>
  <c r="AP18" i="21"/>
  <c r="AP19" i="21"/>
  <c r="AP21" i="21" s="1"/>
  <c r="AP23" i="21" s="1"/>
  <c r="AQ17" i="21"/>
  <c r="CO21" i="21"/>
  <c r="AN23" i="21"/>
  <c r="CP21" i="21"/>
  <c r="AM93" i="21" l="1"/>
  <c r="E187" i="5" s="1"/>
  <c r="F187" i="5"/>
  <c r="AR17" i="21"/>
  <c r="AQ19" i="21"/>
  <c r="AQ21" i="21" s="1"/>
  <c r="AQ23" i="21" s="1"/>
  <c r="AQ18" i="21"/>
  <c r="AP22" i="21"/>
  <c r="AM97" i="21"/>
  <c r="AM98" i="21"/>
  <c r="CP23" i="21"/>
  <c r="CO23" i="21"/>
  <c r="AN92" i="21"/>
  <c r="AN96" i="21" s="1"/>
  <c r="AN35" i="21"/>
  <c r="AO33" i="21"/>
  <c r="CO33" i="21"/>
  <c r="CP33" i="21"/>
  <c r="AN34" i="21"/>
  <c r="AQ22" i="21" l="1"/>
  <c r="G188" i="5"/>
  <c r="F87" i="5"/>
  <c r="AO92" i="21"/>
  <c r="AO96" i="21" s="1"/>
  <c r="AO34" i="21"/>
  <c r="AP33" i="21"/>
  <c r="AO35" i="21"/>
  <c r="AO37" i="21" s="1"/>
  <c r="AO39" i="21" s="1"/>
  <c r="AO91" i="21" s="1"/>
  <c r="AN97" i="21"/>
  <c r="CP92" i="21"/>
  <c r="CO92" i="21"/>
  <c r="AN98" i="21"/>
  <c r="CO35" i="21"/>
  <c r="CP35" i="21"/>
  <c r="AN37" i="21"/>
  <c r="AN38" i="21" s="1"/>
  <c r="CO34" i="21"/>
  <c r="CP34" i="21"/>
  <c r="AR18" i="21"/>
  <c r="AR19" i="21"/>
  <c r="AR21" i="21" s="1"/>
  <c r="AR23" i="21" s="1"/>
  <c r="AS17" i="21"/>
  <c r="CP38" i="21" l="1"/>
  <c r="CO38" i="21"/>
  <c r="G87" i="5"/>
  <c r="H87" i="5" s="1"/>
  <c r="I87" i="5"/>
  <c r="AO93" i="21"/>
  <c r="AN39" i="21"/>
  <c r="CP37" i="21"/>
  <c r="CO37" i="21"/>
  <c r="CO98" i="21"/>
  <c r="CP98" i="21"/>
  <c r="CO96" i="21"/>
  <c r="CP96" i="21"/>
  <c r="AT17" i="21"/>
  <c r="AS19" i="21"/>
  <c r="AS21" i="21" s="1"/>
  <c r="AS23" i="21" s="1"/>
  <c r="AS18" i="21"/>
  <c r="CP97" i="21"/>
  <c r="CO97" i="21"/>
  <c r="AR22" i="21"/>
  <c r="AP34" i="21"/>
  <c r="AQ33" i="21"/>
  <c r="AP35" i="21"/>
  <c r="AP37" i="21" s="1"/>
  <c r="AP39" i="21" s="1"/>
  <c r="AP91" i="21" s="1"/>
  <c r="AP92" i="21"/>
  <c r="AP96" i="21" s="1"/>
  <c r="AO38" i="21"/>
  <c r="AO98" i="21"/>
  <c r="AO97" i="21"/>
  <c r="AS22" i="21" l="1"/>
  <c r="AP93" i="21"/>
  <c r="AU17" i="21"/>
  <c r="AT18" i="21"/>
  <c r="AT19" i="21"/>
  <c r="AT21" i="21" s="1"/>
  <c r="AT23" i="21" s="1"/>
  <c r="AP98" i="21"/>
  <c r="AP97" i="21"/>
  <c r="AQ34" i="21"/>
  <c r="AQ35" i="21"/>
  <c r="AQ37" i="21" s="1"/>
  <c r="AQ39" i="21" s="1"/>
  <c r="AQ91" i="21" s="1"/>
  <c r="AR33" i="21"/>
  <c r="AQ92" i="21"/>
  <c r="AQ96" i="21" s="1"/>
  <c r="AP38" i="21"/>
  <c r="AN91" i="21"/>
  <c r="CP39" i="21"/>
  <c r="CO39" i="21"/>
  <c r="CP91" i="47" l="1"/>
  <c r="AN93" i="47"/>
  <c r="CO91" i="47"/>
  <c r="F188" i="5"/>
  <c r="AN95" i="21"/>
  <c r="AQ93" i="21"/>
  <c r="AR35" i="21"/>
  <c r="AR37" i="21" s="1"/>
  <c r="AR39" i="21" s="1"/>
  <c r="AR91" i="21" s="1"/>
  <c r="AR92" i="21"/>
  <c r="AR96" i="21" s="1"/>
  <c r="AS33" i="21"/>
  <c r="AR34" i="21"/>
  <c r="AQ38" i="21"/>
  <c r="AQ97" i="21"/>
  <c r="AQ98" i="21"/>
  <c r="CP91" i="21"/>
  <c r="AN93" i="21"/>
  <c r="CO91" i="21"/>
  <c r="AT22" i="21"/>
  <c r="AV17" i="21"/>
  <c r="AU18" i="21"/>
  <c r="AU19" i="21"/>
  <c r="AU21" i="21" s="1"/>
  <c r="AU23" i="21" s="1"/>
  <c r="CP93" i="47" l="1"/>
  <c r="CO93" i="47"/>
  <c r="AR38" i="21"/>
  <c r="E188" i="5"/>
  <c r="AN94" i="21"/>
  <c r="F86" i="5"/>
  <c r="G88" i="5"/>
  <c r="H88" i="5" s="1"/>
  <c r="I88" i="5"/>
  <c r="AR93" i="21"/>
  <c r="CO93" i="21"/>
  <c r="CP93" i="21"/>
  <c r="AS92" i="21"/>
  <c r="AS96" i="21" s="1"/>
  <c r="AT33" i="21"/>
  <c r="AS34" i="21"/>
  <c r="AS35" i="21"/>
  <c r="AS37" i="21" s="1"/>
  <c r="AS39" i="21" s="1"/>
  <c r="AS91" i="21" s="1"/>
  <c r="AS93" i="21" s="1"/>
  <c r="AU22" i="21"/>
  <c r="AV18" i="21"/>
  <c r="AV19" i="21"/>
  <c r="AV21" i="21" s="1"/>
  <c r="AV23" i="21" s="1"/>
  <c r="AW17" i="21"/>
  <c r="AR98" i="21"/>
  <c r="AR97" i="21"/>
  <c r="AV22" i="21" l="1"/>
  <c r="G86" i="5"/>
  <c r="H86" i="5" s="1"/>
  <c r="I86" i="5"/>
  <c r="AX17" i="21"/>
  <c r="AW19" i="21"/>
  <c r="AW21" i="21" s="1"/>
  <c r="AW23" i="21" s="1"/>
  <c r="AW18" i="21"/>
  <c r="AT34" i="21"/>
  <c r="AT35" i="21"/>
  <c r="AT37" i="21" s="1"/>
  <c r="AT39" i="21" s="1"/>
  <c r="AT91" i="21" s="1"/>
  <c r="AT93" i="21" s="1"/>
  <c r="AU33" i="21"/>
  <c r="AT92" i="21"/>
  <c r="AT96" i="21" s="1"/>
  <c r="AS97" i="21"/>
  <c r="AS98" i="21"/>
  <c r="AS38" i="21"/>
  <c r="AW22" i="21" l="1"/>
  <c r="AT98" i="21"/>
  <c r="AT97" i="21"/>
  <c r="AU34" i="21"/>
  <c r="AV33" i="21"/>
  <c r="AU92" i="21"/>
  <c r="AU96" i="21" s="1"/>
  <c r="AU35" i="21"/>
  <c r="AU37" i="21" s="1"/>
  <c r="AU39" i="21" s="1"/>
  <c r="AU91" i="21" s="1"/>
  <c r="AU93" i="21" s="1"/>
  <c r="AT38" i="21"/>
  <c r="AX18" i="21"/>
  <c r="AY17" i="21"/>
  <c r="AX19" i="21"/>
  <c r="AX21" i="21" s="1"/>
  <c r="AX23" i="21" s="1"/>
  <c r="AU97" i="21" l="1"/>
  <c r="AU98" i="21"/>
  <c r="AX22" i="21"/>
  <c r="AV34" i="21"/>
  <c r="AW33" i="21"/>
  <c r="AV35" i="21"/>
  <c r="AV37" i="21" s="1"/>
  <c r="AV39" i="21" s="1"/>
  <c r="AV91" i="21" s="1"/>
  <c r="AV92" i="21"/>
  <c r="AV96" i="21" s="1"/>
  <c r="AU38" i="21"/>
  <c r="AY18" i="21"/>
  <c r="AY19" i="21"/>
  <c r="AY21" i="21" s="1"/>
  <c r="AY23" i="21" s="1"/>
  <c r="AZ17" i="21"/>
  <c r="AV93" i="21" l="1"/>
  <c r="AZ19" i="21"/>
  <c r="AZ21" i="21" s="1"/>
  <c r="AZ23" i="21" s="1"/>
  <c r="AZ18" i="21"/>
  <c r="BA17" i="21"/>
  <c r="AV98" i="21"/>
  <c r="AV97" i="21"/>
  <c r="AV38" i="21"/>
  <c r="AY22" i="21"/>
  <c r="AW34" i="21"/>
  <c r="AX33" i="21"/>
  <c r="AW35" i="21"/>
  <c r="AW37" i="21" s="1"/>
  <c r="AW39" i="21" s="1"/>
  <c r="AW91" i="21" s="1"/>
  <c r="AW92" i="21"/>
  <c r="AW96" i="21" s="1"/>
  <c r="AW93" i="21" l="1"/>
  <c r="AZ22" i="21"/>
  <c r="AX34" i="21"/>
  <c r="AY33" i="21"/>
  <c r="AX92" i="21"/>
  <c r="AX96" i="21" s="1"/>
  <c r="AX35" i="21"/>
  <c r="AX37" i="21" s="1"/>
  <c r="AX39" i="21" s="1"/>
  <c r="AX91" i="21" s="1"/>
  <c r="AX93" i="21" s="1"/>
  <c r="AW98" i="21"/>
  <c r="AW97" i="21"/>
  <c r="BA18" i="21"/>
  <c r="BB17" i="21"/>
  <c r="BA19" i="21"/>
  <c r="BA21" i="21" s="1"/>
  <c r="BA23" i="21" s="1"/>
  <c r="AW38" i="21"/>
  <c r="BA22" i="21" l="1"/>
  <c r="AX38" i="21"/>
  <c r="BC17" i="21"/>
  <c r="BB19" i="21"/>
  <c r="BB21" i="21" s="1"/>
  <c r="BB23" i="21" s="1"/>
  <c r="BB18" i="21"/>
  <c r="AY34" i="21"/>
  <c r="AZ33" i="21"/>
  <c r="AY35" i="21"/>
  <c r="AY37" i="21" s="1"/>
  <c r="AY39" i="21" s="1"/>
  <c r="AY91" i="21" s="1"/>
  <c r="AY92" i="21"/>
  <c r="AY96" i="21" s="1"/>
  <c r="AX97" i="21"/>
  <c r="AX98" i="21"/>
  <c r="AY93" i="21" l="1"/>
  <c r="BC18" i="21"/>
  <c r="BD17" i="21"/>
  <c r="BC19" i="21"/>
  <c r="BC21" i="21" s="1"/>
  <c r="BC23" i="21" s="1"/>
  <c r="AZ92" i="21"/>
  <c r="AZ96" i="21" s="1"/>
  <c r="AZ35" i="21"/>
  <c r="AZ37" i="21" s="1"/>
  <c r="AZ39" i="21" s="1"/>
  <c r="AZ91" i="21" s="1"/>
  <c r="AZ34" i="21"/>
  <c r="BA33" i="21"/>
  <c r="AY97" i="21"/>
  <c r="AY98" i="21"/>
  <c r="AY38" i="21"/>
  <c r="BB22" i="21"/>
  <c r="AZ93" i="21" l="1"/>
  <c r="AZ38" i="21"/>
  <c r="BC22" i="21"/>
  <c r="BA35" i="21"/>
  <c r="BA37" i="21" s="1"/>
  <c r="BA39" i="21" s="1"/>
  <c r="BA91" i="21" s="1"/>
  <c r="BA34" i="21"/>
  <c r="BB33" i="21"/>
  <c r="BA92" i="21"/>
  <c r="BA96" i="21" s="1"/>
  <c r="AZ97" i="21"/>
  <c r="AZ98" i="21"/>
  <c r="BD19" i="21"/>
  <c r="BD21" i="21" s="1"/>
  <c r="BD23" i="21" s="1"/>
  <c r="BE17" i="21"/>
  <c r="BD18" i="21"/>
  <c r="BD22" i="21" l="1"/>
  <c r="BA93" i="21"/>
  <c r="BF17" i="21"/>
  <c r="BE18" i="21"/>
  <c r="BE19" i="21"/>
  <c r="BE21" i="21" s="1"/>
  <c r="BE23" i="21" s="1"/>
  <c r="BA97" i="21"/>
  <c r="BA98" i="21"/>
  <c r="BC33" i="21"/>
  <c r="BB35" i="21"/>
  <c r="BB37" i="21" s="1"/>
  <c r="BB39" i="21" s="1"/>
  <c r="BB91" i="21" s="1"/>
  <c r="BB34" i="21"/>
  <c r="BB92" i="21"/>
  <c r="BB96" i="21" s="1"/>
  <c r="BA38" i="21"/>
  <c r="BB93" i="21" l="1"/>
  <c r="BB38" i="21"/>
  <c r="BB98" i="21"/>
  <c r="BB97" i="21"/>
  <c r="BC34" i="21"/>
  <c r="BD33" i="21"/>
  <c r="BC92" i="21"/>
  <c r="BC96" i="21" s="1"/>
  <c r="BC35" i="21"/>
  <c r="BC37" i="21" s="1"/>
  <c r="BC39" i="21" s="1"/>
  <c r="BC91" i="21" s="1"/>
  <c r="BE22" i="21"/>
  <c r="BF18" i="21"/>
  <c r="BF19" i="21"/>
  <c r="BF21" i="21" s="1"/>
  <c r="BF23" i="21" s="1"/>
  <c r="BG17" i="21"/>
  <c r="BC93" i="21" l="1"/>
  <c r="BG18" i="21"/>
  <c r="BH17" i="21"/>
  <c r="BG19" i="21"/>
  <c r="BG21" i="21" s="1"/>
  <c r="BG23" i="21" s="1"/>
  <c r="BC97" i="21"/>
  <c r="BC98" i="21"/>
  <c r="BF22" i="21"/>
  <c r="BE33" i="21"/>
  <c r="BD92" i="21"/>
  <c r="BD96" i="21" s="1"/>
  <c r="BD35" i="21"/>
  <c r="BD37" i="21" s="1"/>
  <c r="BD39" i="21" s="1"/>
  <c r="BD91" i="21" s="1"/>
  <c r="BD34" i="21"/>
  <c r="BC38" i="21"/>
  <c r="BD38" i="21" l="1"/>
  <c r="BD93" i="21"/>
  <c r="BE34" i="21"/>
  <c r="BF33" i="21"/>
  <c r="BE92" i="21"/>
  <c r="BE96" i="21" s="1"/>
  <c r="BE35" i="21"/>
  <c r="BE37" i="21" s="1"/>
  <c r="BE39" i="21" s="1"/>
  <c r="BE91" i="21" s="1"/>
  <c r="BE93" i="21" s="1"/>
  <c r="BD97" i="21"/>
  <c r="BD98" i="21"/>
  <c r="BI17" i="21"/>
  <c r="BH18" i="21"/>
  <c r="BH19" i="21"/>
  <c r="BH21" i="21" s="1"/>
  <c r="BH23" i="21" s="1"/>
  <c r="BG22" i="21"/>
  <c r="BI19" i="21" l="1"/>
  <c r="BI21" i="21" s="1"/>
  <c r="BI23" i="21" s="1"/>
  <c r="BI18" i="21"/>
  <c r="BJ17" i="21"/>
  <c r="BE97" i="21"/>
  <c r="BE98" i="21"/>
  <c r="BF92" i="21"/>
  <c r="BF96" i="21" s="1"/>
  <c r="BF34" i="21"/>
  <c r="BG33" i="21"/>
  <c r="BF35" i="21"/>
  <c r="BF37" i="21" s="1"/>
  <c r="BF39" i="21" s="1"/>
  <c r="BF91" i="21" s="1"/>
  <c r="BH22" i="21"/>
  <c r="BE38" i="21"/>
  <c r="BF93" i="21" l="1"/>
  <c r="BH33" i="21"/>
  <c r="BG92" i="21"/>
  <c r="BG96" i="21" s="1"/>
  <c r="BG34" i="21"/>
  <c r="BG35" i="21"/>
  <c r="BG37" i="21" s="1"/>
  <c r="BG39" i="21" s="1"/>
  <c r="BG91" i="21" s="1"/>
  <c r="BG93" i="21" s="1"/>
  <c r="BF98" i="21"/>
  <c r="BF97" i="21"/>
  <c r="BF38" i="21"/>
  <c r="BJ18" i="21"/>
  <c r="BK17" i="21"/>
  <c r="BJ19" i="21"/>
  <c r="BJ21" i="21" s="1"/>
  <c r="BJ23" i="21" s="1"/>
  <c r="BI22" i="21"/>
  <c r="BK19" i="21" l="1"/>
  <c r="BK21" i="21" s="1"/>
  <c r="BK23" i="21" s="1"/>
  <c r="BK18" i="21"/>
  <c r="BL17" i="21"/>
  <c r="BJ22" i="21"/>
  <c r="BG38" i="21"/>
  <c r="BG98" i="21"/>
  <c r="BG97" i="21"/>
  <c r="BH92" i="21"/>
  <c r="BH96" i="21" s="1"/>
  <c r="BH34" i="21"/>
  <c r="BH35" i="21"/>
  <c r="BH37" i="21" s="1"/>
  <c r="BH39" i="21" s="1"/>
  <c r="BH91" i="21" s="1"/>
  <c r="BH93" i="21" s="1"/>
  <c r="BI33" i="21"/>
  <c r="BH97" i="21" l="1"/>
  <c r="BH98" i="21"/>
  <c r="BI34" i="21"/>
  <c r="BI35" i="21"/>
  <c r="BI37" i="21" s="1"/>
  <c r="BI39" i="21" s="1"/>
  <c r="BI91" i="21" s="1"/>
  <c r="BI93" i="21" s="1"/>
  <c r="BI92" i="21"/>
  <c r="BI96" i="21" s="1"/>
  <c r="BJ33" i="21"/>
  <c r="BL18" i="21"/>
  <c r="BM17" i="21"/>
  <c r="BL19" i="21"/>
  <c r="BL21" i="21" s="1"/>
  <c r="BL23" i="21" s="1"/>
  <c r="BH38" i="21"/>
  <c r="BK22" i="21"/>
  <c r="BL22" i="21" l="1"/>
  <c r="BI38" i="21"/>
  <c r="BI97" i="21"/>
  <c r="BI98" i="21"/>
  <c r="BJ35" i="21"/>
  <c r="BJ37" i="21" s="1"/>
  <c r="BJ39" i="21" s="1"/>
  <c r="BJ91" i="21" s="1"/>
  <c r="BJ93" i="21" s="1"/>
  <c r="BJ34" i="21"/>
  <c r="BK33" i="21"/>
  <c r="BJ92" i="21"/>
  <c r="BJ96" i="21" s="1"/>
  <c r="BN17" i="21"/>
  <c r="BM19" i="21"/>
  <c r="BM21" i="21" s="1"/>
  <c r="BM23" i="21" s="1"/>
  <c r="BM18" i="21"/>
  <c r="BJ38" i="21" l="1"/>
  <c r="BN18" i="21"/>
  <c r="BO17" i="21"/>
  <c r="BN19" i="21"/>
  <c r="BN21" i="21" s="1"/>
  <c r="BN23" i="21" s="1"/>
  <c r="BJ98" i="21"/>
  <c r="BJ97" i="21"/>
  <c r="BM22" i="21"/>
  <c r="BL33" i="21"/>
  <c r="BK34" i="21"/>
  <c r="BK92" i="21"/>
  <c r="BK96" i="21" s="1"/>
  <c r="BK35" i="21"/>
  <c r="BK37" i="21" s="1"/>
  <c r="BK39" i="21" s="1"/>
  <c r="BK91" i="21" s="1"/>
  <c r="BK93" i="21" l="1"/>
  <c r="BK97" i="21"/>
  <c r="BK98" i="21"/>
  <c r="BK38" i="21"/>
  <c r="BO18" i="21"/>
  <c r="BP17" i="21"/>
  <c r="BO19" i="21"/>
  <c r="BO21" i="21" s="1"/>
  <c r="BO23" i="21" s="1"/>
  <c r="BL92" i="21"/>
  <c r="BL96" i="21" s="1"/>
  <c r="BL34" i="21"/>
  <c r="BL35" i="21"/>
  <c r="BL37" i="21" s="1"/>
  <c r="BL39" i="21" s="1"/>
  <c r="BL91" i="21" s="1"/>
  <c r="BM33" i="21"/>
  <c r="BN22" i="21"/>
  <c r="BL93" i="21" l="1"/>
  <c r="BP18" i="21"/>
  <c r="BQ17" i="21"/>
  <c r="BP19" i="21"/>
  <c r="BP21" i="21" s="1"/>
  <c r="BP23" i="21" s="1"/>
  <c r="BO22" i="21"/>
  <c r="BL38" i="21"/>
  <c r="BL97" i="21"/>
  <c r="BL98" i="21"/>
  <c r="BM35" i="21"/>
  <c r="BM37" i="21" s="1"/>
  <c r="BM39" i="21" s="1"/>
  <c r="BM91" i="21" s="1"/>
  <c r="BN33" i="21"/>
  <c r="BM34" i="21"/>
  <c r="BM92" i="21"/>
  <c r="BM96" i="21" s="1"/>
  <c r="BM93" i="21" l="1"/>
  <c r="BO33" i="21"/>
  <c r="BN35" i="21"/>
  <c r="BN37" i="21" s="1"/>
  <c r="BN39" i="21" s="1"/>
  <c r="BN91" i="21" s="1"/>
  <c r="BN92" i="21"/>
  <c r="BN96" i="21" s="1"/>
  <c r="BN34" i="21"/>
  <c r="BM97" i="21"/>
  <c r="BM98" i="21"/>
  <c r="BM38" i="21"/>
  <c r="BQ18" i="21"/>
  <c r="BQ19" i="21"/>
  <c r="BQ21" i="21" s="1"/>
  <c r="BQ23" i="21" s="1"/>
  <c r="BR17" i="21"/>
  <c r="BP22" i="21"/>
  <c r="BN93" i="21" l="1"/>
  <c r="BS17" i="21"/>
  <c r="BR19" i="21"/>
  <c r="BR21" i="21" s="1"/>
  <c r="BR23" i="21" s="1"/>
  <c r="BR18" i="21"/>
  <c r="BQ22" i="21"/>
  <c r="BN38" i="21"/>
  <c r="BN97" i="21"/>
  <c r="BN98" i="21"/>
  <c r="BO35" i="21"/>
  <c r="BO37" i="21" s="1"/>
  <c r="BO39" i="21" s="1"/>
  <c r="BO91" i="21" s="1"/>
  <c r="BP33" i="21"/>
  <c r="BO34" i="21"/>
  <c r="BO92" i="21"/>
  <c r="BO96" i="21" s="1"/>
  <c r="BO38" i="21" l="1"/>
  <c r="BO93" i="21"/>
  <c r="BP92" i="21"/>
  <c r="BP96" i="21" s="1"/>
  <c r="BQ33" i="21"/>
  <c r="BP34" i="21"/>
  <c r="BP35" i="21"/>
  <c r="BP37" i="21" s="1"/>
  <c r="BP39" i="21" s="1"/>
  <c r="BP91" i="21" s="1"/>
  <c r="BP93" i="21" s="1"/>
  <c r="BR22" i="21"/>
  <c r="BO97" i="21"/>
  <c r="BO98" i="21"/>
  <c r="BT17" i="21"/>
  <c r="BS18" i="21"/>
  <c r="BS19" i="21"/>
  <c r="BS21" i="21" s="1"/>
  <c r="BS23" i="21" s="1"/>
  <c r="BP38" i="21" l="1"/>
  <c r="BT18" i="21"/>
  <c r="BT19" i="21"/>
  <c r="BT21" i="21" s="1"/>
  <c r="BT23" i="21" s="1"/>
  <c r="BU17" i="21"/>
  <c r="BQ92" i="21"/>
  <c r="BQ96" i="21" s="1"/>
  <c r="BQ34" i="21"/>
  <c r="BR33" i="21"/>
  <c r="BQ35" i="21"/>
  <c r="BQ37" i="21" s="1"/>
  <c r="BQ39" i="21" s="1"/>
  <c r="BQ91" i="21" s="1"/>
  <c r="BQ93" i="21" s="1"/>
  <c r="BS22" i="21"/>
  <c r="BP98" i="21"/>
  <c r="BP97" i="21"/>
  <c r="BR34" i="21" l="1"/>
  <c r="BR92" i="21"/>
  <c r="BR96" i="21" s="1"/>
  <c r="BS33" i="21"/>
  <c r="BR35" i="21"/>
  <c r="BR37" i="21" s="1"/>
  <c r="BR39" i="21" s="1"/>
  <c r="BR91" i="21" s="1"/>
  <c r="BR93" i="21" s="1"/>
  <c r="BQ38" i="21"/>
  <c r="BQ98" i="21"/>
  <c r="BQ97" i="21"/>
  <c r="BU18" i="21"/>
  <c r="BV17" i="21"/>
  <c r="BU19" i="21"/>
  <c r="BU21" i="21" s="1"/>
  <c r="BU23" i="21" s="1"/>
  <c r="BT22" i="21"/>
  <c r="BU22" i="21" l="1"/>
  <c r="BS35" i="21"/>
  <c r="BS37" i="21" s="1"/>
  <c r="BS39" i="21" s="1"/>
  <c r="BS91" i="21" s="1"/>
  <c r="BT33" i="21"/>
  <c r="BS34" i="21"/>
  <c r="BS92" i="21"/>
  <c r="BS96" i="21" s="1"/>
  <c r="BR97" i="21"/>
  <c r="BR98" i="21"/>
  <c r="BW17" i="21"/>
  <c r="BV19" i="21"/>
  <c r="BV21" i="21" s="1"/>
  <c r="BV23" i="21" s="1"/>
  <c r="BV18" i="21"/>
  <c r="BR38" i="21"/>
  <c r="BS93" i="21" l="1"/>
  <c r="BV22" i="21"/>
  <c r="BW18" i="21"/>
  <c r="BX17" i="21"/>
  <c r="BW19" i="21"/>
  <c r="BW21" i="21" s="1"/>
  <c r="BW23" i="21" s="1"/>
  <c r="BS98" i="21"/>
  <c r="BS97" i="21"/>
  <c r="BS38" i="21"/>
  <c r="BT34" i="21"/>
  <c r="BU33" i="21"/>
  <c r="BT92" i="21"/>
  <c r="BT96" i="21" s="1"/>
  <c r="BT35" i="21"/>
  <c r="BT37" i="21" s="1"/>
  <c r="BT39" i="21" s="1"/>
  <c r="BT91" i="21" s="1"/>
  <c r="BT93" i="21" l="1"/>
  <c r="BV33" i="21"/>
  <c r="BU35" i="21"/>
  <c r="BU37" i="21" s="1"/>
  <c r="BU39" i="21" s="1"/>
  <c r="BU91" i="21" s="1"/>
  <c r="BU34" i="21"/>
  <c r="BU92" i="21"/>
  <c r="BU96" i="21" s="1"/>
  <c r="BT38" i="21"/>
  <c r="BY17" i="21"/>
  <c r="BX18" i="21"/>
  <c r="BX19" i="21"/>
  <c r="BX21" i="21" s="1"/>
  <c r="BX23" i="21" s="1"/>
  <c r="BW22" i="21"/>
  <c r="BT97" i="21"/>
  <c r="BT98" i="21"/>
  <c r="BU38" i="21" l="1"/>
  <c r="BU93" i="21"/>
  <c r="BX22" i="21"/>
  <c r="BU97" i="21"/>
  <c r="BU98" i="21"/>
  <c r="BY18" i="21"/>
  <c r="BZ17" i="21"/>
  <c r="BY19" i="21"/>
  <c r="BY21" i="21" s="1"/>
  <c r="BY23" i="21" s="1"/>
  <c r="BV35" i="21"/>
  <c r="BV37" i="21" s="1"/>
  <c r="BV39" i="21" s="1"/>
  <c r="BV91" i="21" s="1"/>
  <c r="BV34" i="21"/>
  <c r="BV92" i="21"/>
  <c r="BV96" i="21" s="1"/>
  <c r="BW33" i="21"/>
  <c r="BV93" i="21" l="1"/>
  <c r="BV38" i="21"/>
  <c r="BV98" i="21"/>
  <c r="BV97" i="21"/>
  <c r="BY22" i="21"/>
  <c r="BW92" i="21"/>
  <c r="BW96" i="21" s="1"/>
  <c r="BX33" i="21"/>
  <c r="BW34" i="21"/>
  <c r="BW35" i="21"/>
  <c r="BW37" i="21" s="1"/>
  <c r="BW39" i="21" s="1"/>
  <c r="BW91" i="21" s="1"/>
  <c r="BZ18" i="21"/>
  <c r="CA17" i="21"/>
  <c r="BZ19" i="21"/>
  <c r="BZ21" i="21" s="1"/>
  <c r="BZ23" i="21" s="1"/>
  <c r="BW93" i="21" l="1"/>
  <c r="BW38" i="21"/>
  <c r="BZ22" i="21"/>
  <c r="BW97" i="21"/>
  <c r="BW98" i="21"/>
  <c r="CA18" i="21"/>
  <c r="CA19" i="21"/>
  <c r="CA21" i="21" s="1"/>
  <c r="CA23" i="21" s="1"/>
  <c r="CB17" i="21"/>
  <c r="BX35" i="21"/>
  <c r="BX37" i="21" s="1"/>
  <c r="BX39" i="21" s="1"/>
  <c r="BX91" i="21" s="1"/>
  <c r="BX34" i="21"/>
  <c r="BY33" i="21"/>
  <c r="BX92" i="21"/>
  <c r="BX96" i="21" s="1"/>
  <c r="BX93" i="21" l="1"/>
  <c r="BX38" i="21"/>
  <c r="BY35" i="21"/>
  <c r="BY37" i="21" s="1"/>
  <c r="BY39" i="21" s="1"/>
  <c r="BY91" i="21" s="1"/>
  <c r="BZ33" i="21"/>
  <c r="BY34" i="21"/>
  <c r="BY92" i="21"/>
  <c r="BY96" i="21" s="1"/>
  <c r="BX98" i="21"/>
  <c r="BX97" i="21"/>
  <c r="CA22" i="21"/>
  <c r="CC17" i="21"/>
  <c r="CB18" i="21"/>
  <c r="CB19" i="21"/>
  <c r="CB21" i="21" s="1"/>
  <c r="CB23" i="21" s="1"/>
  <c r="BY93" i="21" l="1"/>
  <c r="CD17" i="21"/>
  <c r="CC19" i="21"/>
  <c r="CC21" i="21" s="1"/>
  <c r="CC23" i="21" s="1"/>
  <c r="CC18" i="21"/>
  <c r="CB22" i="21"/>
  <c r="BY98" i="21"/>
  <c r="BY97" i="21"/>
  <c r="BZ34" i="21"/>
  <c r="BZ35" i="21"/>
  <c r="BZ37" i="21" s="1"/>
  <c r="BZ39" i="21" s="1"/>
  <c r="BZ91" i="21" s="1"/>
  <c r="CA33" i="21"/>
  <c r="BZ92" i="21"/>
  <c r="BZ96" i="21" s="1"/>
  <c r="BY38" i="21"/>
  <c r="BZ38" i="21" l="1"/>
  <c r="CC22" i="21"/>
  <c r="BZ93" i="21"/>
  <c r="BZ98" i="21"/>
  <c r="BZ97" i="21"/>
  <c r="CA34" i="21"/>
  <c r="CA92" i="21"/>
  <c r="CA96" i="21" s="1"/>
  <c r="CB33" i="21"/>
  <c r="CA35" i="21"/>
  <c r="CA37" i="21" s="1"/>
  <c r="CA39" i="21" s="1"/>
  <c r="CA91" i="21" s="1"/>
  <c r="CD18" i="21"/>
  <c r="CE17" i="21"/>
  <c r="CD19" i="21"/>
  <c r="CD21" i="21" s="1"/>
  <c r="CD23" i="21" s="1"/>
  <c r="CA93" i="21" l="1"/>
  <c r="CD22" i="21"/>
  <c r="CB35" i="21"/>
  <c r="CB37" i="21" s="1"/>
  <c r="CB39" i="21" s="1"/>
  <c r="CB91" i="21" s="1"/>
  <c r="CB34" i="21"/>
  <c r="CB92" i="21"/>
  <c r="CB96" i="21" s="1"/>
  <c r="CC33" i="21"/>
  <c r="CE18" i="21"/>
  <c r="CF17" i="21"/>
  <c r="CE19" i="21"/>
  <c r="CE21" i="21" s="1"/>
  <c r="CE23" i="21" s="1"/>
  <c r="CA98" i="21"/>
  <c r="CA97" i="21"/>
  <c r="CA38" i="21"/>
  <c r="CB93" i="21" l="1"/>
  <c r="CE22" i="21"/>
  <c r="CD33" i="21"/>
  <c r="CC34" i="21"/>
  <c r="CC35" i="21"/>
  <c r="CC37" i="21" s="1"/>
  <c r="CC39" i="21" s="1"/>
  <c r="CC91" i="21" s="1"/>
  <c r="CC92" i="21"/>
  <c r="CC96" i="21" s="1"/>
  <c r="CF18" i="21"/>
  <c r="CF19" i="21"/>
  <c r="CF21" i="21" s="1"/>
  <c r="CF23" i="21" s="1"/>
  <c r="CG17" i="21"/>
  <c r="CB98" i="21"/>
  <c r="CB97" i="21"/>
  <c r="CB38" i="21"/>
  <c r="CF22" i="21" l="1"/>
  <c r="CC93" i="21"/>
  <c r="CC98" i="21"/>
  <c r="CC97" i="21"/>
  <c r="CD34" i="21"/>
  <c r="CE33" i="21"/>
  <c r="CD35" i="21"/>
  <c r="CD37" i="21" s="1"/>
  <c r="CD39" i="21" s="1"/>
  <c r="CD91" i="21" s="1"/>
  <c r="CD92" i="21"/>
  <c r="CD96" i="21" s="1"/>
  <c r="CH17" i="21"/>
  <c r="CG18" i="21"/>
  <c r="CG19" i="21"/>
  <c r="CG21" i="21" s="1"/>
  <c r="CG23" i="21" s="1"/>
  <c r="CC38" i="21"/>
  <c r="CD93" i="21" l="1"/>
  <c r="CD98" i="21"/>
  <c r="CD97" i="21"/>
  <c r="CG22" i="21"/>
  <c r="CH18" i="21"/>
  <c r="CI17" i="21"/>
  <c r="CH19" i="21"/>
  <c r="CH21" i="21" s="1"/>
  <c r="CH23" i="21" s="1"/>
  <c r="CF33" i="21"/>
  <c r="CE92" i="21"/>
  <c r="CE96" i="21" s="1"/>
  <c r="CE34" i="21"/>
  <c r="CE35" i="21"/>
  <c r="CE37" i="21" s="1"/>
  <c r="CE39" i="21" s="1"/>
  <c r="CE91" i="21" s="1"/>
  <c r="CD38" i="21"/>
  <c r="CE93" i="21" l="1"/>
  <c r="CF34" i="21"/>
  <c r="CG33" i="21"/>
  <c r="CF35" i="21"/>
  <c r="CF37" i="21" s="1"/>
  <c r="CF39" i="21" s="1"/>
  <c r="CF91" i="21" s="1"/>
  <c r="CF92" i="21"/>
  <c r="CF96" i="21" s="1"/>
  <c r="CI19" i="21"/>
  <c r="CI21" i="21" s="1"/>
  <c r="CI23" i="21" s="1"/>
  <c r="CI18" i="21"/>
  <c r="CJ17" i="21"/>
  <c r="CE38" i="21"/>
  <c r="CE97" i="21"/>
  <c r="CE98" i="21"/>
  <c r="CH22" i="21"/>
  <c r="CF93" i="21" l="1"/>
  <c r="CK17" i="21"/>
  <c r="CJ18" i="21"/>
  <c r="CJ19" i="21"/>
  <c r="CJ21" i="21" s="1"/>
  <c r="CJ23" i="21" s="1"/>
  <c r="CF97" i="21"/>
  <c r="CF98" i="21"/>
  <c r="CI22" i="21"/>
  <c r="CH33" i="21"/>
  <c r="CG34" i="21"/>
  <c r="CG92" i="21"/>
  <c r="CG96" i="21" s="1"/>
  <c r="CG35" i="21"/>
  <c r="CG37" i="21" s="1"/>
  <c r="CG39" i="21" s="1"/>
  <c r="CG91" i="21" s="1"/>
  <c r="CG93" i="21" s="1"/>
  <c r="CF38" i="21"/>
  <c r="CG38" i="21" l="1"/>
  <c r="CG97" i="21"/>
  <c r="CG98" i="21"/>
  <c r="CJ22" i="21"/>
  <c r="CH34" i="21"/>
  <c r="CI33" i="21"/>
  <c r="CH92" i="21"/>
  <c r="CH96" i="21" s="1"/>
  <c r="CH35" i="21"/>
  <c r="CH37" i="21" s="1"/>
  <c r="CH39" i="21" s="1"/>
  <c r="CH91" i="21" s="1"/>
  <c r="CK18" i="21"/>
  <c r="CL17" i="21"/>
  <c r="CK19" i="21"/>
  <c r="CK21" i="21" s="1"/>
  <c r="CK23" i="21" s="1"/>
  <c r="CH93" i="21" l="1"/>
  <c r="CH38" i="21"/>
  <c r="CL18" i="21"/>
  <c r="CL19" i="21"/>
  <c r="CL21" i="21" s="1"/>
  <c r="CL23" i="21" s="1"/>
  <c r="CI92" i="21"/>
  <c r="CI96" i="21" s="1"/>
  <c r="CI34" i="21"/>
  <c r="CJ33" i="21"/>
  <c r="CI35" i="21"/>
  <c r="CI37" i="21" s="1"/>
  <c r="CI39" i="21" s="1"/>
  <c r="CI91" i="21" s="1"/>
  <c r="CI93" i="21" s="1"/>
  <c r="CK22" i="21"/>
  <c r="CH98" i="21"/>
  <c r="CH97" i="21"/>
  <c r="CJ34" i="21" l="1"/>
  <c r="CK33" i="21"/>
  <c r="CJ35" i="21"/>
  <c r="CJ37" i="21" s="1"/>
  <c r="CJ39" i="21" s="1"/>
  <c r="CJ91" i="21" s="1"/>
  <c r="CJ93" i="21" s="1"/>
  <c r="CJ92" i="21"/>
  <c r="CJ96" i="21" s="1"/>
  <c r="CI38" i="21"/>
  <c r="CI97" i="21"/>
  <c r="CI98" i="21"/>
  <c r="CL22" i="21"/>
  <c r="CJ98" i="21" l="1"/>
  <c r="CJ97" i="21"/>
  <c r="CL33" i="21"/>
  <c r="CK34" i="21"/>
  <c r="CK92" i="21"/>
  <c r="CK96" i="21" s="1"/>
  <c r="CK35" i="21"/>
  <c r="CK37" i="21" s="1"/>
  <c r="CK39" i="21" s="1"/>
  <c r="CK91" i="21" s="1"/>
  <c r="CK93" i="21" s="1"/>
  <c r="CJ38" i="21"/>
  <c r="CL34" i="21" l="1"/>
  <c r="CL35" i="21"/>
  <c r="CL37" i="21" s="1"/>
  <c r="CL39" i="21" s="1"/>
  <c r="CL91" i="21" s="1"/>
  <c r="CL93" i="21" s="1"/>
  <c r="CL92" i="21"/>
  <c r="CL96" i="21" s="1"/>
  <c r="CK98" i="21"/>
  <c r="CK97" i="21"/>
  <c r="CK38" i="21"/>
  <c r="CL97" i="21" l="1"/>
  <c r="CL98" i="21"/>
  <c r="CL3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tc={E8E77647-19B2-4B84-8C1D-62E859DA6904}</author>
  </authors>
  <commentList>
    <comment ref="E31" authorId="0" shapeId="0" xr:uid="{E8E77647-19B2-4B84-8C1D-62E859DA6904}">
      <text>
        <t>[Threaded comment]
Your version of Excel allows you to read this threaded comment; however, any edits to it will get removed if the file is opened in a newer version of Excel. Learn more: https://go.microsoft.com/fwlink/?linkid=870924
Comment:
    Why is this different from BY intensity in WB2C?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tc={5CE02AFB-132C-4FD7-8AF2-7D09E7235BF2}</author>
    <author>tc={6DCDC4C6-7E94-4DC0-A1E5-A94A19365BFB}</author>
    <author>tc={C5D30454-F1BC-4D3A-A899-A98D8F1CADE4}</author>
    <author>tc={045975CE-E0B8-48C1-BE8E-A1495CD7964F}</author>
    <author>tc={802CBA86-4929-45C9-BB6D-A77567346A2E}</author>
    <author>tc={3DEB0BA0-471B-4829-8CA0-A196F6BEBC11}</author>
  </authors>
  <commentList>
    <comment ref="B20"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0.94 Factor corrects for the fact that fuel consumption data includes 6% contribution from military and private aviation</t>
      </text>
    </comment>
    <comment ref="B2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0.94 Factor corrects for the fact that fuel consumption data includes 6% contribution from military and private aviation</t>
      </text>
    </comment>
    <comment ref="B29" authorId="2" shapeId="0" xr:uid="{00000000-0006-0000-0A00-000003000000}">
      <text>
        <t>[Threaded comment]
Your version of Excel allows you to read this threaded comment; however, any edits to it will get removed if the file is opened in a newer version of Excel. Learn more: https://go.microsoft.com/fwlink/?linkid=870924
Comment:
    Dedicated RTK assumed to be 15% of the total industry RTK</t>
      </text>
    </comment>
    <comment ref="B47" authorId="3" shapeId="0" xr:uid="{00000000-0006-0000-0A00-000004000000}">
      <text>
        <t>[Threaded comment]
Your version of Excel allows you to read this threaded comment; however, any edits to it will get removed if the file is opened in a newer version of Excel. Learn more: https://go.microsoft.com/fwlink/?linkid=870924
Comment:
    Share of activity assuming BRPK value includes belly, short and long haul PAX and assuming belly is computed to RPK based on a 0.1T conversion factor</t>
      </text>
    </comment>
    <comment ref="B48" authorId="4" shapeId="0" xr:uid="{00000000-0006-0000-0A00-000005000000}">
      <text>
        <t>[Threaded comment]
Your version of Excel allows you to read this threaded comment; however, any edits to it will get removed if the file is opened in a newer version of Excel. Learn more: https://go.microsoft.com/fwlink/?linkid=870924
Comment:
    Share of activity assuming BRPK value includes belly, short and long haul PAX and assuming belly is computed to RPK based on a 0.1T conversion factor</t>
      </text>
    </comment>
    <comment ref="B49" authorId="5" shapeId="0" xr:uid="{00000000-0006-0000-0A00-000006000000}">
      <text>
        <t>[Threaded comment]
Your version of Excel allows you to read this threaded comment; however, any edits to it will get removed if the file is opened in a newer version of Excel. Learn more: https://go.microsoft.com/fwlink/?linkid=870924
Comment:
    Share of activity assuming BRPK value includes belly, short and long haul PAX and assuming belly is computed to RPK based on a 0.1T conversion factor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<sst xmlns="http://schemas.openxmlformats.org/spreadsheetml/2006/main" count="1983" uniqueCount="688">
  <si>
    <t>Base Year</t>
  </si>
  <si>
    <t>Target Year</t>
  </si>
  <si>
    <t>Emissions</t>
  </si>
  <si>
    <t>Total</t>
  </si>
  <si>
    <t>WTW</t>
  </si>
  <si>
    <t>Dedicated freighters</t>
  </si>
  <si>
    <t>Units</t>
  </si>
  <si>
    <t>Jet Fuel Units</t>
  </si>
  <si>
    <t>of which, &lt;1,500km</t>
  </si>
  <si>
    <t>Million US Gallons per year (MGPY)</t>
  </si>
  <si>
    <t>Million Metric Tonnes of oil equivalent per year (MMtoe/yr)</t>
  </si>
  <si>
    <t>Million Litres per year (MLPY)</t>
  </si>
  <si>
    <t>Million pounds per year (MLB/Yr)</t>
  </si>
  <si>
    <t>Million Kilograms per year (MKg/Yr)</t>
  </si>
  <si>
    <t>TTW</t>
  </si>
  <si>
    <t>TTW TCO2</t>
  </si>
  <si>
    <t>Emissions Allocation</t>
  </si>
  <si>
    <t>Activity Conversion</t>
  </si>
  <si>
    <t>Other Assumptions</t>
  </si>
  <si>
    <t>T/Pax</t>
  </si>
  <si>
    <t>RTK/RPK</t>
  </si>
  <si>
    <t>TTW Emissions Factor</t>
  </si>
  <si>
    <t>WTW Emissions Factor</t>
  </si>
  <si>
    <t>Emissions Factor Conversion</t>
  </si>
  <si>
    <t>Company Name</t>
  </si>
  <si>
    <t>Activity</t>
  </si>
  <si>
    <t>P</t>
  </si>
  <si>
    <t>D</t>
  </si>
  <si>
    <t>C</t>
  </si>
  <si>
    <t>Optional Input</t>
  </si>
  <si>
    <t>Required Input</t>
  </si>
  <si>
    <t>Do not edit</t>
  </si>
  <si>
    <t>N/A</t>
  </si>
  <si>
    <t>Calculate emissions from fossil fuel use</t>
  </si>
  <si>
    <t>Calculate emissions from SAF consumption</t>
  </si>
  <si>
    <t>SAF 1</t>
  </si>
  <si>
    <t>Feedstock</t>
  </si>
  <si>
    <t>Acitvity Input</t>
  </si>
  <si>
    <t>Conversion process</t>
  </si>
  <si>
    <t>Default core LCA</t>
  </si>
  <si>
    <t>Default Induced Land Use Change Value [gCO2e/MJ]</t>
  </si>
  <si>
    <t>Total Lifecycle Value [gCO2e/MJ]</t>
  </si>
  <si>
    <t>Agricultural residues</t>
  </si>
  <si>
    <t>Forestry residues</t>
  </si>
  <si>
    <t>MSW, 0% NBC</t>
  </si>
  <si>
    <t>Short-rotation woody crops: Poplar (USA)</t>
  </si>
  <si>
    <t>Herbaceous energy crops: Miscanthus (USA)</t>
  </si>
  <si>
    <t>Herbaceous energy crops: Miscanthus (EU)</t>
  </si>
  <si>
    <t>Herbaceous energy crops: Switchgrass (USA)</t>
  </si>
  <si>
    <t>Tallow</t>
  </si>
  <si>
    <t>Used cooking oil</t>
  </si>
  <si>
    <t>Palm fatty acid distillate</t>
  </si>
  <si>
    <t>Corn oil</t>
  </si>
  <si>
    <t>Soybean oil (USA)</t>
  </si>
  <si>
    <t>Soybean oil (Brazil)</t>
  </si>
  <si>
    <t>Rapeseed oil (EU)</t>
  </si>
  <si>
    <t>Camelina</t>
  </si>
  <si>
    <t>Palm oil - closed pond (Malaysia/Indonesia)</t>
  </si>
  <si>
    <t>Palm oil - open pond (Malaysia/Indonesia)</t>
  </si>
  <si>
    <t>Brassica carinata</t>
  </si>
  <si>
    <t>Sugarcane (Brazil)</t>
  </si>
  <si>
    <t>Sugarbeet (EU)</t>
  </si>
  <si>
    <t>Corn grain (USA)</t>
  </si>
  <si>
    <t>Molasses</t>
  </si>
  <si>
    <t>Adjusted LCA Value</t>
  </si>
  <si>
    <t>Name</t>
  </si>
  <si>
    <t>HEFA</t>
  </si>
  <si>
    <t>FT</t>
  </si>
  <si>
    <t>SIP</t>
  </si>
  <si>
    <t>Ethanol ATJ</t>
  </si>
  <si>
    <t>Iso-Butanol ATJ</t>
  </si>
  <si>
    <t>Index</t>
  </si>
  <si>
    <t>SAF 2</t>
  </si>
  <si>
    <t>SAF 3</t>
  </si>
  <si>
    <t>SAF 4</t>
  </si>
  <si>
    <t>SAF 5</t>
  </si>
  <si>
    <t>SAF 6</t>
  </si>
  <si>
    <t>SAF 7</t>
  </si>
  <si>
    <t>SAF 8</t>
  </si>
  <si>
    <t>SAF 9</t>
  </si>
  <si>
    <t>SAF 10</t>
  </si>
  <si>
    <t>SAF 11</t>
  </si>
  <si>
    <t>SAF 12</t>
  </si>
  <si>
    <t>SAF 13</t>
  </si>
  <si>
    <t>SAF 14</t>
  </si>
  <si>
    <t>SAF 15</t>
  </si>
  <si>
    <t>SAF 16</t>
  </si>
  <si>
    <t>SAF 17</t>
  </si>
  <si>
    <t>SAF 18</t>
  </si>
  <si>
    <t>SAF 19</t>
  </si>
  <si>
    <t>SAF 20</t>
  </si>
  <si>
    <t>Fossil</t>
  </si>
  <si>
    <t>SAF</t>
  </si>
  <si>
    <t>Fossil Fuel</t>
  </si>
  <si>
    <t>Baseline</t>
  </si>
  <si>
    <t>Scope 1 (Jet Fuel)</t>
  </si>
  <si>
    <t>Scope 3 Category 3 (Jet Fuel / SAF)</t>
  </si>
  <si>
    <t>Total WTW Emissions</t>
  </si>
  <si>
    <t>A</t>
  </si>
  <si>
    <t>B</t>
  </si>
  <si>
    <t>SAF Direct Emissions (not part of Scope 1-3)</t>
  </si>
  <si>
    <t>SAF Removals (not part of Scope 1-3)</t>
  </si>
  <si>
    <t>MTCO2e</t>
  </si>
  <si>
    <t>Mid-Long</t>
  </si>
  <si>
    <t>Short</t>
  </si>
  <si>
    <t>Dedicated</t>
  </si>
  <si>
    <t>PAX Main</t>
  </si>
  <si>
    <t>PAX Belly</t>
  </si>
  <si>
    <t>Baseline carbon intensities</t>
  </si>
  <si>
    <t>g CO2/RTK WTW</t>
  </si>
  <si>
    <t>Dedicated short</t>
  </si>
  <si>
    <t>Dedicated long</t>
  </si>
  <si>
    <t>Belly</t>
  </si>
  <si>
    <t>Short haul pax</t>
  </si>
  <si>
    <t>Medium/long haul pax</t>
  </si>
  <si>
    <t>Overall pax</t>
  </si>
  <si>
    <t>Overall freight</t>
  </si>
  <si>
    <t>MoMo B2DS WTW emission</t>
  </si>
  <si>
    <t>Used 150 kg for the conversion -- may not be correct</t>
  </si>
  <si>
    <t>Belly Total</t>
  </si>
  <si>
    <t>Emissions-Total</t>
  </si>
  <si>
    <t>Activity-Total</t>
  </si>
  <si>
    <t>Intensity-Total</t>
  </si>
  <si>
    <t>Convergence year</t>
  </si>
  <si>
    <t>M</t>
  </si>
  <si>
    <t>RPK</t>
  </si>
  <si>
    <t>RTK</t>
  </si>
  <si>
    <t>Total Intensity (gCO2/RTK)</t>
  </si>
  <si>
    <t>Sector Total</t>
  </si>
  <si>
    <t>Graph Intensity</t>
  </si>
  <si>
    <t>Graph Emissions</t>
  </si>
  <si>
    <t>Calculations: BACKEND ONLY</t>
  </si>
  <si>
    <t>Assumptions</t>
  </si>
  <si>
    <t>Avoided Fuel</t>
  </si>
  <si>
    <t>Synthetic fuels</t>
  </si>
  <si>
    <t>Biofuels</t>
  </si>
  <si>
    <t>Fossil Fuels</t>
  </si>
  <si>
    <t>Syn Fuel WTT</t>
  </si>
  <si>
    <t>Biofuel WTT</t>
  </si>
  <si>
    <t>Fossil WTT</t>
  </si>
  <si>
    <t>Fossil TTW</t>
  </si>
  <si>
    <t>PAX WTW</t>
  </si>
  <si>
    <t>DED WTW</t>
  </si>
  <si>
    <t>TTW Only - REF</t>
  </si>
  <si>
    <t>Ref PAX</t>
  </si>
  <si>
    <t>Ref Ded</t>
  </si>
  <si>
    <t>Assumed to include Belly RTK converted at 0.1T</t>
  </si>
  <si>
    <t>World Positive Emissions</t>
  </si>
  <si>
    <t>PAX-Short</t>
  </si>
  <si>
    <t>PAX-Long</t>
  </si>
  <si>
    <t>Ded-Short</t>
  </si>
  <si>
    <t>Ded-Long</t>
  </si>
  <si>
    <t>Sector-emissions</t>
  </si>
  <si>
    <t>Ded-short</t>
  </si>
  <si>
    <t>Ded-long</t>
  </si>
  <si>
    <t>Pax-short</t>
  </si>
  <si>
    <t>Pax-long</t>
  </si>
  <si>
    <t>Sector-activity</t>
  </si>
  <si>
    <t>Sector-intensity</t>
  </si>
  <si>
    <t>B2DS</t>
  </si>
  <si>
    <t>Original data</t>
  </si>
  <si>
    <t>Total aviation</t>
  </si>
  <si>
    <t>Scenario</t>
  </si>
  <si>
    <t>Segment</t>
  </si>
  <si>
    <t>Data</t>
  </si>
  <si>
    <t>BRTK</t>
  </si>
  <si>
    <t>gCO2e/RTK</t>
  </si>
  <si>
    <t>SDS 2020</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</si>
  <si>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</si>
  <si>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</si>
  <si>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</si>
  <si>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</si>
  <si>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</si>
  <si>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</si>
  <si>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</si>
  <si>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</si>
  <si>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</si>
  <si>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</si>
  <si>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</si>
  <si>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</si>
  <si>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</si>
  <si>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</si>
  <si>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</si>
  <si>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</si>
  <si>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</si>
  <si>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</si>
  <si>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</si>
  <si>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</si>
  <si>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</si>
  <si>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</si>
  <si>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</si>
  <si>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</si>
  <si>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</si>
  <si>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</si>
  <si>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</si>
  <si>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</si>
  <si>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</si>
  <si>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</si>
  <si>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</si>
  <si>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</si>
  <si>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</si>
  <si>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</si>
  <si>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</si>
  <si>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</si>
  <si>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</si>
  <si>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</si>
  <si>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</si>
  <si>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</si>
  <si>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</si>
  <si>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</si>
  <si>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</si>
  <si>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</si>
  <si>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</si>
  <si>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</si>
  <si>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</si>
  <si>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</si>
  <si>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</si>
  <si>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</si>
  <si>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</si>
  <si>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</si>
  <si>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</si>
  <si>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</si>
  <si>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</si>
  <si>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</si>
  <si>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</si>
  <si>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</si>
  <si>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</si>
  <si>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</si>
  <si>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</si>
  <si>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</si>
  <si>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</si>
  <si>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</si>
  <si>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</si>
  <si>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</si>
  <si>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</si>
  <si>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</si>
  <si>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</si>
  <si>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</si>
  <si>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</si>
  <si>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</si>
  <si>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</si>
  <si>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</si>
  <si>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</si>
  <si>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</si>
  <si>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</si>
  <si>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</si>
  <si>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</si>
  <si>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</si>
  <si>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</si>
  <si>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</si>
  <si>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</si>
  <si>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</si>
  <si>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</si>
  <si>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</si>
  <si>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Scenarios</t>
  </si>
  <si>
    <t>Company</t>
  </si>
  <si>
    <t>Intensity Target</t>
  </si>
  <si>
    <t>Emissions Target</t>
  </si>
  <si>
    <t>Base Intensity</t>
  </si>
  <si>
    <t>Activity Forecast</t>
  </si>
  <si>
    <t>Base Emissions</t>
  </si>
  <si>
    <t>B1</t>
  </si>
  <si>
    <t>B2</t>
  </si>
  <si>
    <t>B3</t>
  </si>
  <si>
    <t>B4</t>
  </si>
  <si>
    <t>B5</t>
  </si>
  <si>
    <t>B6</t>
  </si>
  <si>
    <t>B7</t>
  </si>
  <si>
    <t>B8</t>
  </si>
  <si>
    <t>B9</t>
  </si>
  <si>
    <t>B10</t>
  </si>
  <si>
    <t>B11</t>
  </si>
  <si>
    <t>B12</t>
  </si>
  <si>
    <t>B13</t>
  </si>
  <si>
    <t>B8 - B5</t>
  </si>
  <si>
    <t>TY</t>
  </si>
  <si>
    <t>(B1/B2)*1000</t>
  </si>
  <si>
    <t>B3(CY)</t>
  </si>
  <si>
    <t>Start Year</t>
  </si>
  <si>
    <t>SY</t>
  </si>
  <si>
    <t>(B3(Y)-B3(CY))/(B3(SY)-B3(CY))</t>
  </si>
  <si>
    <t>(B6/B7)*1000</t>
  </si>
  <si>
    <t>(B7(BY)/B2(BY)/(B7(TY)/B2(TY)</t>
  </si>
  <si>
    <t>B5+(B4*B9*B10)</t>
  </si>
  <si>
    <t xml:space="preserve">B11 * B7 </t>
  </si>
  <si>
    <t>Equation</t>
  </si>
  <si>
    <t>Code</t>
  </si>
  <si>
    <t>L1</t>
  </si>
  <si>
    <t>L3</t>
  </si>
  <si>
    <t>DS1</t>
  </si>
  <si>
    <t>DS2</t>
  </si>
  <si>
    <t>DS3</t>
  </si>
  <si>
    <t>(DS1/DS2)*1000</t>
  </si>
  <si>
    <t>DS4</t>
  </si>
  <si>
    <t>(DS3(Y)-DS3(CY))/(DS3(SY)-DS3(CY))</t>
  </si>
  <si>
    <t>DS5</t>
  </si>
  <si>
    <t>DS3(CY)</t>
  </si>
  <si>
    <t>DS6</t>
  </si>
  <si>
    <t>DS7</t>
  </si>
  <si>
    <t>DS8</t>
  </si>
  <si>
    <t>(DS6/DS7)*1000</t>
  </si>
  <si>
    <t>DS9</t>
  </si>
  <si>
    <t>(DS7(DSY)/DS2(DSY)/(DS7(TY)/DS2(TY)</t>
  </si>
  <si>
    <t>DS10</t>
  </si>
  <si>
    <t>DS8 - DS5</t>
  </si>
  <si>
    <t>DS11</t>
  </si>
  <si>
    <t>DS5+(DS4*DS9*DS10)</t>
  </si>
  <si>
    <t>DS12</t>
  </si>
  <si>
    <t>DS13</t>
  </si>
  <si>
    <t xml:space="preserve">DS11 * DS7 </t>
  </si>
  <si>
    <t>DL1</t>
  </si>
  <si>
    <t>DL2</t>
  </si>
  <si>
    <t>DL3</t>
  </si>
  <si>
    <t>(DL1/DL2)*1000</t>
  </si>
  <si>
    <t>DL4</t>
  </si>
  <si>
    <t>(DL3(Y)-DL3(CY))/(DL3(SY)-DL3(CY))</t>
  </si>
  <si>
    <t>DL5</t>
  </si>
  <si>
    <t>DL3(CY)</t>
  </si>
  <si>
    <t>DL6</t>
  </si>
  <si>
    <t>DL7</t>
  </si>
  <si>
    <t>DL8</t>
  </si>
  <si>
    <t>(DL6/DL7)*1000</t>
  </si>
  <si>
    <t>DL9</t>
  </si>
  <si>
    <t>(DL7(DLY)/DL2(DLY)/(DL7(TY)/DL2(TY)</t>
  </si>
  <si>
    <t>DL10</t>
  </si>
  <si>
    <t>DL8 - DL5</t>
  </si>
  <si>
    <t>DL11</t>
  </si>
  <si>
    <t>DL5+(DL4*DL9*DL10)</t>
  </si>
  <si>
    <t>DL12</t>
  </si>
  <si>
    <t>DL13</t>
  </si>
  <si>
    <t xml:space="preserve">DL11 * DL7 </t>
  </si>
  <si>
    <t>PS1</t>
  </si>
  <si>
    <t>PS2</t>
  </si>
  <si>
    <t>PS3</t>
  </si>
  <si>
    <t>(PS1/PS2)*1000</t>
  </si>
  <si>
    <t>PS4</t>
  </si>
  <si>
    <t>(PS3(Y)-PS3(CY))/(PS3(SY)-PS3(CY))</t>
  </si>
  <si>
    <t>PS5</t>
  </si>
  <si>
    <t>PS3(CY)</t>
  </si>
  <si>
    <t>PS6</t>
  </si>
  <si>
    <t>PS7</t>
  </si>
  <si>
    <t>PS8</t>
  </si>
  <si>
    <t>(PS6/PS7)*1000</t>
  </si>
  <si>
    <t>PS9</t>
  </si>
  <si>
    <t>(PS7(PSY)/PS2(PSY)/(PS7(TY)/PS2(TY)</t>
  </si>
  <si>
    <t>PS10</t>
  </si>
  <si>
    <t>PS8 - PS5</t>
  </si>
  <si>
    <t>PS11</t>
  </si>
  <si>
    <t>PS5+(PS4*PS9*PS10)</t>
  </si>
  <si>
    <t>PS12</t>
  </si>
  <si>
    <t>PS13</t>
  </si>
  <si>
    <t xml:space="preserve">PS11 * PS7 </t>
  </si>
  <si>
    <t>PL1</t>
  </si>
  <si>
    <t>PL2</t>
  </si>
  <si>
    <t>PL3</t>
  </si>
  <si>
    <t>(PL1/PL2)*1000</t>
  </si>
  <si>
    <t>PL4</t>
  </si>
  <si>
    <t>(PL3(Y)-PL3(CY))/(PL3(SY)-PL3(CY))</t>
  </si>
  <si>
    <t>PL5</t>
  </si>
  <si>
    <t>PL3(CY)</t>
  </si>
  <si>
    <t>PL6</t>
  </si>
  <si>
    <t>PL7</t>
  </si>
  <si>
    <t>PL8</t>
  </si>
  <si>
    <t>(PL6/PL7)*1000</t>
  </si>
  <si>
    <t>PL9</t>
  </si>
  <si>
    <t>(PL7(PLY)/PL2(PLY)/(PL7(TY)/PL2(TY)</t>
  </si>
  <si>
    <t>PL10</t>
  </si>
  <si>
    <t>PL8 - PL5</t>
  </si>
  <si>
    <t>PL11</t>
  </si>
  <si>
    <t>PL5+(PL4*PL9*PL10)</t>
  </si>
  <si>
    <t>PL12</t>
  </si>
  <si>
    <t>PL13</t>
  </si>
  <si>
    <t xml:space="preserve">PL11 * PL7 </t>
  </si>
  <si>
    <t>COVID Filter</t>
  </si>
  <si>
    <t xml:space="preserve">COVID </t>
  </si>
  <si>
    <t>Recovery Year</t>
  </si>
  <si>
    <t>ON</t>
  </si>
  <si>
    <t>OFF</t>
  </si>
  <si>
    <t>COVID Toggle</t>
  </si>
  <si>
    <t>COVID COMPANY INTENSITY</t>
  </si>
  <si>
    <t>COVID SECTOR INTENSITY</t>
  </si>
  <si>
    <t>COVID COMPANY EMISSIONS</t>
  </si>
  <si>
    <t>Graph - Sector</t>
  </si>
  <si>
    <t>Graph - Company</t>
  </si>
  <si>
    <t>COVID Correction</t>
  </si>
  <si>
    <t>WTT</t>
  </si>
  <si>
    <t>gCO2/MJ</t>
  </si>
  <si>
    <t>Terms of use</t>
  </si>
  <si>
    <t>Disclaimer</t>
  </si>
  <si>
    <t>The Tool and associated materials have been prepared by the SBTi with a high degree of expertise and professionalism, and reflect current best practice in science-based target setting. However, the Partner Organizations, collectively and individually, do not warrant the Tool for any purpose, nor do they make any representations regarding its accuracy, completeness, timeliness or fitness for any use or purpose whatsoever. Information generated by the tool is not intended to amount to advice on which reliance should be placed.
Developing science-based targets is a multi-step process and appropriate company-wide science-based targets can only be developed after careful consideration of the necessary input data on company emissions and activity. Only then should emissions targets be developed. The SBTi does not examine, verify or hold any such input data provided by users of the Tool.
The Tool relies on data obtained from a variety of third-party sources. This data was obtained from sources believed by the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Partner Organizations, collectively and individually, make no warranties or representations about the accuracy or completeness of the data or assumptions contained in this Tool. 
You therefore understand that you use the Tool at your own discretion and risk. You agree that you are not entitled to rely on any information generated by the Tool. You further agree to hold the Partner Organizations, collectively and individually, harmless for loss you might suffer arising out of any inaccuracies in information generated by the Tool. Under no circumstances shall the Partner Organizations, collectively and individually, be liable for direct, indirect or consequential loss or damage arising from the use of the Tool or an inability to use it.</t>
  </si>
  <si>
    <t>References</t>
  </si>
  <si>
    <t>History of revisions</t>
  </si>
  <si>
    <t xml:space="preserve">Version </t>
  </si>
  <si>
    <t>Release date</t>
  </si>
  <si>
    <t>IEA</t>
  </si>
  <si>
    <t>International Energy Agency</t>
  </si>
  <si>
    <t>ETP</t>
  </si>
  <si>
    <t>Energy Technology Perspectives</t>
  </si>
  <si>
    <t>Beyond two degree scenario as defined in IEA "Energy Technology Perspectives" (2017)</t>
  </si>
  <si>
    <t>SDA</t>
  </si>
  <si>
    <t>Sectoral Decarbonization Approach</t>
  </si>
  <si>
    <t>WB-2C</t>
  </si>
  <si>
    <t>Climate scenario aligned with a well-below 2 degree temperature goal</t>
  </si>
  <si>
    <t>1.5C</t>
  </si>
  <si>
    <t>Climate scenario aligned with a 1.5 degree temperature goal</t>
  </si>
  <si>
    <t>SDS</t>
  </si>
  <si>
    <t>Sustainable Development Scenario as defined in IEA "Energy Technology Perspectives" (2020)</t>
  </si>
  <si>
    <t>Weighted average emissions</t>
  </si>
  <si>
    <t>COVID SECTOR EMISSIONS</t>
  </si>
  <si>
    <t>2018-2035</t>
  </si>
  <si>
    <t>2018-2050</t>
  </si>
  <si>
    <t>2035-2050</t>
  </si>
  <si>
    <t>Weighted average sector intensity</t>
  </si>
  <si>
    <t>Weighted average activity</t>
  </si>
  <si>
    <t>Sector</t>
  </si>
  <si>
    <t>Weighted Average Totals</t>
  </si>
  <si>
    <t>Type of target</t>
  </si>
  <si>
    <t>BT</t>
  </si>
  <si>
    <t>CAGR</t>
  </si>
  <si>
    <t>Intensity Convergence</t>
  </si>
  <si>
    <t>No M factor</t>
  </si>
  <si>
    <t>No M Factor</t>
  </si>
  <si>
    <t>Intensity</t>
  </si>
  <si>
    <t>No M Factor, cap</t>
  </si>
  <si>
    <t>No Cap</t>
  </si>
  <si>
    <t>Cap</t>
  </si>
  <si>
    <t>Compression rate</t>
  </si>
  <si>
    <t>Unweighted</t>
  </si>
  <si>
    <t>STEPS 2020</t>
  </si>
  <si>
    <t>Emissions Contraction</t>
  </si>
  <si>
    <t>US Gallon/MJ</t>
  </si>
  <si>
    <t>gCO2/ US Gallon</t>
  </si>
  <si>
    <t>Million Imperial Gallons per year (MGPY)</t>
  </si>
  <si>
    <t>gCO2/Kg</t>
  </si>
  <si>
    <t>gCO2/Litre</t>
  </si>
  <si>
    <t>Imperial Gallon / MJ</t>
  </si>
  <si>
    <t>PAX RPK (Incl. Belly)</t>
  </si>
  <si>
    <t>DED RTK</t>
  </si>
  <si>
    <t>19-50</t>
  </si>
  <si>
    <t>19-70</t>
  </si>
  <si>
    <t>ETP Extract</t>
  </si>
  <si>
    <t>LINEAR</t>
  </si>
  <si>
    <t>ETP DED RTK</t>
  </si>
  <si>
    <t>ICCT DED RTK</t>
  </si>
  <si>
    <t>ETP PAX RPK</t>
  </si>
  <si>
    <t>ICCT PAX RPK</t>
  </si>
  <si>
    <t>ETP WTW Emissions</t>
  </si>
  <si>
    <t>ETP WTW Emissions, Excl. Military/Private</t>
  </si>
  <si>
    <t>Fuel to Emissions</t>
  </si>
  <si>
    <t>MToe</t>
  </si>
  <si>
    <t>ê</t>
  </si>
  <si>
    <t>ICCT + ETP WTW</t>
  </si>
  <si>
    <t>TOTAL RTK</t>
  </si>
  <si>
    <t>TTW Aviation Share</t>
  </si>
  <si>
    <t>Litres/MJ</t>
  </si>
  <si>
    <t>Metric Tonnes/MJ</t>
  </si>
  <si>
    <t>Lbs/MJ</t>
  </si>
  <si>
    <t>Kg/MJ</t>
  </si>
  <si>
    <t>gCO2/Metric Tonne</t>
  </si>
  <si>
    <t>gCO2/Lbs</t>
  </si>
  <si>
    <t xml:space="preserve">Activity Growth: </t>
  </si>
  <si>
    <t>I don't know</t>
  </si>
  <si>
    <t>{"InputDetection":0,"RecalcMode":0,"Name":"","Flavor":-1,"Edition":0,"CopyProtect":{"IsEnabled":false,"DomainName":""},"HideSscPoweredlogo":false,"AspnetConfig":{"BrowseUrl":"http://localhost/ssc","FileExtension":0},"NodeSecureLoginEnabled":false,"SmartphoneSettings":{"ViewportLock":true,"UseOldViewEngine":false,"EnableZoom":false,"EnableSwipe":false,"HideToolbar":false,"InheritBackgroundColor":false,"CheckboxFlavor":1,"ShowBubble":false},"SmartphoneTheme":1,"Theme":{"BgColor":"#FFFFFFFF","BgImage":"","InputBorderStyle":2,"AppliedTheme":""},"Layout":0,"LayoutSamePagesHeightEnabled":false,"Toolbar":{"Position":1,"IsSubmit":true,"IsPrintSheet":false,"IsPrintAll":true,"IsPrintThis":false,"IsReset":true,"IsUpdate":true},"ConfigureSubmit":{"IsShowCaptcha":false,"IsUseSscWebServer":true,"ReceiverCode":"","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false,"RealtimeSyncEnabled":true,"GoogleAnalyticsTrackingId":"","GoogleApiKey":"","ChartSelected":3,"ChartYAxisFixed":false}</t>
  </si>
  <si>
    <t>{"IsHide":false,"HiddenInExcel":false,"SheetId":-1,"Name":"Intro","Guid":"W5ZJS7","Index":1,"VisibleRange":"","SheetTheme":{"TabColor":"","BodyColor":"","BodyImage":""},"IsPrintSheet":false}</t>
  </si>
  <si>
    <t>{"BrowserAndLocation":{"ConversionPath":"C:\\Users\\collins Nicholas\\Documents\\SpreadsheetConverter","SelectedBrowsers":[]},"SpreadsheetServer":{"Username":"","Password":"","ServerUrl":"","TestUsername":"","TestPassword":""},"ConfigureSubmitDefault":{"Email":"","Free":false,"Advanced":false,"AdvancedSecured":false,"Demo":true},"MessageBubble":{"Close":false,"TopMsg":0},"CustomizeTheme":{"Theme":""},"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</si>
  <si>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 only have Tank-to-Wake emissions data</t>
  </si>
  <si>
    <t>TTW -&gt; WTW Factor</t>
  </si>
  <si>
    <t>Emissions RTK</t>
  </si>
  <si>
    <t>Activity RTK</t>
  </si>
  <si>
    <t>Option Validation</t>
  </si>
  <si>
    <t>% which are &lt;1,500km</t>
  </si>
  <si>
    <t>CO2e</t>
  </si>
  <si>
    <t>Carbon Dioxide Equivalent</t>
  </si>
  <si>
    <t xml:space="preserve">Includes all Kyoto Protocol gases, but excludes non-CO2 impacts from aviation e.g., Nox or contrail induced cirrus cloudiness </t>
  </si>
  <si>
    <t>Well-to-Tank</t>
  </si>
  <si>
    <t>Tank-to-Wake</t>
  </si>
  <si>
    <t xml:space="preserve">WTW </t>
  </si>
  <si>
    <t>Well-to-Wake</t>
  </si>
  <si>
    <t>{"IsHide":false,"HiddenInExcel":false,"SheetId":-1,"Name":"Definitions","Guid":"Z2EBMU","Index":2,"VisibleRange":"","SheetTheme":{"TabColor":"","BodyColor":"","BodyImage":""},"IsPrintSheet":false}</t>
  </si>
  <si>
    <t>Year</t>
  </si>
  <si>
    <t>Company Intensity (gCO2/RTK)</t>
  </si>
  <si>
    <t>Sector Intensity (gCO2/RTK)</t>
  </si>
  <si>
    <t>% which are, &lt;1,500km</t>
  </si>
  <si>
    <t>Acronyms and Definitions</t>
  </si>
  <si>
    <t>Acronym</t>
  </si>
  <si>
    <t>Description</t>
  </si>
  <si>
    <t>Detail</t>
  </si>
  <si>
    <t>Intensity Compression</t>
  </si>
  <si>
    <t>Business travel Intensity Contraction</t>
  </si>
  <si>
    <t>Business travel SDA Sensitivity Analysis</t>
  </si>
  <si>
    <t>Business travel Emissions Contraction</t>
  </si>
  <si>
    <t>Business travel SDA Original</t>
  </si>
  <si>
    <t>Aviation Operators</t>
  </si>
  <si>
    <t>User of aviation services</t>
  </si>
  <si>
    <t>Contracted Freight (SDA - Ded-long)</t>
  </si>
  <si>
    <t>User of Aviation Services: Business Travel</t>
  </si>
  <si>
    <t>Unit Conversion</t>
  </si>
  <si>
    <t>User of Aviation Services: Contracted Freight</t>
  </si>
  <si>
    <t>Business travel FINAL</t>
  </si>
  <si>
    <t>Base year emissions</t>
  </si>
  <si>
    <t>Absolute emissions target</t>
  </si>
  <si>
    <t>FTE input data</t>
  </si>
  <si>
    <t>FTE growth rate</t>
  </si>
  <si>
    <t>FTE Intensity Target</t>
  </si>
  <si>
    <t>Example Company</t>
  </si>
  <si>
    <t>gCO2/Imperial Gallon</t>
  </si>
  <si>
    <t>Other Users</t>
  </si>
  <si>
    <t xml:space="preserve">The equivalent scenario to the SDS, but developed by the IEA in 2017 </t>
  </si>
  <si>
    <t xml:space="preserve">An intensity convergence approach developed by the SBTi to enable target setting at a sectoral level. At a high level, the SDA requires that all companies within a sector converge to the average carbon intensity of the sector by no later than 2050 </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</si>
  <si>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The Science Based Targets initiative (SBTi) and its "Partner Organizations" (CDP, the United Nations Global Compact (UNGC), World Resources Institute (WRI), and the World Wide Fund for Nature (WWF)) reserve the right, at their discretion, to withdraw or amend the Tool without notice, and will not be liable if for any reason the Tool is unavailable at any time or for any period. Further, the Partner Organizations reserve the right to modify or replace any part of these terms of use. It is your responsibility to check these terms periodically for changes. Your continued use of the Tool following the posting of any changes to these terms constitutes acceptance of those changes.</t>
  </si>
  <si>
    <t>Passenger aircraft</t>
  </si>
  <si>
    <t>{"IsHide":true,"HiddenInExcel":true,"SheetId":-1,"Name":"Alternative Interface","Guid":"BVAPEJ","Index":6,"VisibleRange":"","SheetTheme":{"TabColor":"","BodyColor":"","BodyImage":""},"IsPrintSheet":false}</t>
  </si>
  <si>
    <t>{"IsHide":true,"HiddenInExcel":false,"SheetId":-1,"Name":"Fuel to emissions calculator","Guid":"4Q5Z0E","Index":7,"VisibleRange":"","SheetTheme":{"TabColor":"","BodyColor":"","BodyImage":""},"IsPrintSheet":false}</t>
  </si>
  <si>
    <t>{"IsHide":true,"HiddenInExcel":false,"SheetId":-1,"Name":"Calculations","Guid":"H4DDHZ","Index":9,"VisibleRange":"","SheetTheme":{"TabColor":"","BodyColor":"","BodyImage":""},"IsPrintSheet":false}</t>
  </si>
  <si>
    <t>{"IsHide":true,"HiddenInExcel":true,"SheetId":-1,"Name":"S3.6 - Test","Guid":"9DYE5C","Index":10,"VisibleRange":"","SheetTheme":{"TabColor":"","BodyColor":"","BodyImage":""},"IsPrintSheet":false}</t>
  </si>
  <si>
    <t>{"IsHide":true,"HiddenInExcel":true,"SheetId":-1,"Name":"Growth Rate Test","Guid":"H7G0O6","Index":11,"VisibleRange":"","SheetTheme":{"TabColor":"","BodyColor":"","BodyImage":""},"IsPrintSheet":false}</t>
  </si>
  <si>
    <t>{"IsHide":true,"HiddenInExcel":false,"SheetId":-1,"Name":"Assumptions","Guid":"UW4K6Q","Index":13,"VisibleRange":"","SheetTheme":{"TabColor":"","BodyColor":"","BodyImage":""},"IsPrintSheet":false}</t>
  </si>
  <si>
    <t>Selected Emissions</t>
  </si>
  <si>
    <t>WTW Emissions</t>
  </si>
  <si>
    <t>TTW -&gt; WTWCalculated</t>
  </si>
  <si>
    <t>BRTK Base</t>
  </si>
  <si>
    <t>BRTK Forecast</t>
  </si>
  <si>
    <t>{"IsHide":true,"HiddenInExcel":true,"SheetId":-1,"Name":"&gt;","Guid":"C2PSPW","Index":8,"VisibleRange":"","SheetTheme":{"TabColor":"","BodyColor":"","BodyImage":""},"IsPrintSheet":false}</t>
  </si>
  <si>
    <t>Pounds per year (Lb/Yr)</t>
  </si>
  <si>
    <t>Metric Tonnes of oil equivalent per year (Mtoe/yr)</t>
  </si>
  <si>
    <t>Litres per year (LPY)</t>
  </si>
  <si>
    <t>Imperial Gallons per year (GPY)</t>
  </si>
  <si>
    <t>US Gallons per Year (MGPY)</t>
  </si>
  <si>
    <t>Kilograms per year (Kg/Yr)</t>
  </si>
  <si>
    <t>WTW Emissions (TCO2e)</t>
  </si>
  <si>
    <t xml:space="preserve"> </t>
  </si>
  <si>
    <t>SBT Aviation Tool</t>
  </si>
  <si>
    <t>Sectoral Decarbonization Approach - Aviation Sector</t>
  </si>
  <si>
    <t>Business Travel</t>
  </si>
  <si>
    <t>Airlines</t>
  </si>
  <si>
    <t>Contracted Freight</t>
  </si>
  <si>
    <t>Chart Titles</t>
  </si>
  <si>
    <t>Energy Demand (Mtoe)</t>
  </si>
  <si>
    <t>CAAGR (%)</t>
  </si>
  <si>
    <t>2019-2070</t>
  </si>
  <si>
    <t xml:space="preserve">    Oil</t>
  </si>
  <si>
    <t xml:space="preserve">    Natural gas</t>
  </si>
  <si>
    <t>n.a.</t>
  </si>
  <si>
    <t xml:space="preserve">    Electricity</t>
  </si>
  <si>
    <t xml:space="preserve">    Synthetic fuels</t>
  </si>
  <si>
    <t xml:space="preserve">    Biofuels</t>
  </si>
  <si>
    <t>{"IsHide":true,"HiddenInExcel":false,"SheetId":-1,"Name":"Target tool - Airlines","Guid":"ZEHGFD","Index":3,"VisibleRange":"","SheetTheme":{"TabColor":"","BodyColor":"","BodyImage":""},"IsPrintSheet":false}</t>
  </si>
  <si>
    <t>{"IsHide":false,"HiddenInExcel":false,"SheetId":-1,"Name":"Target tool - Business Travel","Guid":"FML471","Index":4,"VisibleRange":"","SheetTheme":{"TabColor":"","BodyColor":"","BodyImage":""},"IsPrintSheet":false}</t>
  </si>
  <si>
    <t>{"IsHide":false,"HiddenInExcel":false,"SheetId":-1,"Name":"Target tool- Contracted Freight","Guid":"WN3SGU","Index":5,"VisibleRange":"","SheetTheme":{"TabColor":"","BodyColor":"","BodyImage":""},"IsPrintSheet":false}</t>
  </si>
  <si>
    <t>{"IsHide":false,"HiddenInExcel":false,"SheetId":-1,"Name":"Data","Guid":"JR7BDK","Index":12,"VisibleRange":"","SheetTheme":{"TabColor":"","BodyColor":"","BodyImage":""},"IsPrintSheet":false}</t>
  </si>
  <si>
    <t>{"IsHide":true,"HiddenInExcel":true,"SheetId":-1,"Name":"SAF","Guid":"H6PLZA","Index":14,"VisibleRange":"","SheetTheme":{"TabColor":"","BodyColor":"","BodyImage":""},"IsPrintSheet":false}</t>
  </si>
  <si>
    <t>{"IsHide":true,"HiddenInExcel":true,"SheetId":-1,"Name":"&gt;&gt;Input","Guid":"ZYDBF1","Index":15,"VisibleRange":"","SheetTheme":{"TabColor":"","BodyColor":"","BodyImage":""},"IsPrintSheet":false}</t>
  </si>
  <si>
    <t>{"IsHide":false,"HiddenInExcel":false,"SheetId":-1,"Name":"SDS Main","Guid":"LQKSIS","Index":16,"VisibleRange":"","SheetTheme":{"TabColor":"","BodyColor":"","BodyImage":""},"IsPrintSheet":false}</t>
  </si>
  <si>
    <t>{"IsHide":false,"HiddenInExcel":false,"SheetId":-1,"Name":"ETP 2020","Guid":"XOS0SQ","Index":17,"VisibleRange":"","SheetTheme":{"TabColor":"","BodyColor":"","BodyImage":""},"IsPrintSheet":false}</t>
  </si>
  <si>
    <t>{"IsHide":false,"HiddenInExcel":false,"SheetId":-1,"Name":"Sheet2","Guid":"3TXPYC","Index":18,"VisibleRange":"","SheetTheme":{"TabColor":"","BodyColor":"","BodyImage":""},"IsPrintSheet":false}</t>
  </si>
  <si>
    <t>{"IsHide":false,"HiddenInExcel":false,"SheetId":-1,"Name":"Sheet3","Guid":"06XYV3","Index":19,"VisibleRange":"","SheetTheme":{"TabColor":"","BodyColor":"","BodyImage":""},"IsPrintSheet":false}</t>
  </si>
  <si>
    <t>{"IsHide":true,"HiddenInExcel":true,"SheetId":-1,"Name":"GACA Data","Guid":"YCEJ9X","Index":20,"VisibleRange":"","SheetTheme":{"TabColor":"","BodyColor":"","BodyImage":""},"IsPrintSheet":false}</t>
  </si>
  <si>
    <t>{"IsHide":true,"HiddenInExcel":true,"SheetId":-1,"Name":"Sheet1","Guid":"O5QTIL","Index":21,"VisibleRange":"","SheetTheme":{"TabColor":"","BodyColor":"","BodyImage":""},"IsPrintSheet":false}</t>
  </si>
  <si>
    <t>{"IsHide":true,"HiddenInExcel":true,"SheetId":-1,"Name":"SDS Activity","Guid":"UO67WZ","Index":22,"VisibleRange":"","SheetTheme":{"TabColor":"","BodyColor":"","BodyImage":""},"IsPrintSheet":false}</t>
  </si>
  <si>
    <t>{"IsHide":true,"HiddenInExcel":true,"SheetId":-1,"Name":"SDS Global","Guid":"NV851Q","Index":23,"VisibleRange":"","SheetTheme":{"TabColor":"","BodyColor":"","BodyImage":""},"IsPrintSheet":false}</t>
  </si>
  <si>
    <t>{"IsHide":true,"HiddenInExcel":true,"SheetId":-1,"Name":"DEFRA","Guid":"S7B6PN","Index":24,"VisibleRange":"","SheetTheme":{"TabColor":"","BodyColor":"","BodyImage":""},"IsPrintSheet":false}</t>
  </si>
  <si>
    <t>The goal of the Paris Agreement is to limit warming to well-below 2°C above pre-industrial levels.  Short hand for this aspiration is WB-2C and refers to  limiting warming to 1.75°C with a 50% probability, or limiting warming to 2°C with a 66% probability (which is equivalent)</t>
  </si>
  <si>
    <t>The Energy Technology Perspective is supported by a Integrated Assessment Model that details emission pathways aligned with temperature scenarios</t>
  </si>
  <si>
    <r>
      <rPr>
        <b/>
        <sz val="14"/>
        <rFont val="Arial"/>
        <family val="2"/>
      </rPr>
      <t>IMPORTANT:</t>
    </r>
    <r>
      <rPr>
        <sz val="14"/>
        <rFont val="Arial"/>
        <family val="2"/>
      </rPr>
      <t xml:space="preserve"> By using this tool you acknowledge that you have read, understood and agree to our Terms of Use and Disclaimer.</t>
    </r>
  </si>
  <si>
    <t>The scenario utilized by this target setting tool and process which was developed in 2020</t>
  </si>
  <si>
    <t>The stretch ambition of the Paris Agreement is to pursue efforts to limit warming to 1.5°C. This refers to limiting warming to 1.5°C above pre-industrial levels at a 50% probability level</t>
  </si>
  <si>
    <t xml:space="preserve">A metric used to measure CO2e emissions </t>
  </si>
  <si>
    <t>All emissions from the upstream production and distribution of jet fuel which is equivalent to a majority of an airline's scope 3, category 3 "Fuel- and Energy-Related Activities" inventory</t>
  </si>
  <si>
    <t>All emissions resulting from the combustion of jet fuel which is equivalent to the majority of an airline's scope 1 inventory</t>
  </si>
  <si>
    <t>The combination of WTT and TTW emissions - equivalent to the majority of an airlines scope 1 inventory + scope 3 category 3 "Fuel- and Energy-Related Activities" inventory</t>
  </si>
  <si>
    <t xml:space="preserve">Revenue Tonne kilometers (RTK) is used as the metric of activity for operations related to carriage of dedicated or belly cargo </t>
  </si>
  <si>
    <t xml:space="preserve">Revenue passenger kilometers (RPK) are used as the metric of activity for passenger operations. In some instances, conversion of RPK into RTK is required. The SBT Aviation tool uses a 100kg factor for activity conversion of RPK to RTK and an emissions allocation of 100kg+50kg with an average 80% load factor to distribute emissions between passenger and belly cargo </t>
  </si>
  <si>
    <t xml:space="preserve">The International Energy Agency authors the Energy Technologies Perspectives report utilized in this tool. </t>
  </si>
  <si>
    <t>Passenger Airline (incl. Belly freight)</t>
  </si>
  <si>
    <t>Dedicated Air Freight only</t>
  </si>
  <si>
    <t>Passenger Airline (incl. Belly Freight) + Dedicated Air Freight</t>
  </si>
  <si>
    <t>Target modelling results</t>
  </si>
  <si>
    <t>Input data</t>
  </si>
  <si>
    <t>Aviation</t>
  </si>
  <si>
    <t>Aviation (bln. pkm/yr)</t>
  </si>
  <si>
    <t>Transport - Aviation</t>
  </si>
  <si>
    <r>
      <t xml:space="preserve">Shares </t>
    </r>
    <r>
      <rPr>
        <b/>
        <sz val="9"/>
        <color theme="0"/>
        <rFont val="Calibri"/>
        <family val="2"/>
        <scheme val="minor"/>
      </rPr>
      <t>(%)</t>
    </r>
  </si>
  <si>
    <t>IEA ETP 2020 (SDS)</t>
  </si>
  <si>
    <t>https://theicct.org/sites/default/files/publications/CO2-commercial-aviation-oct2020.pdf</t>
  </si>
  <si>
    <t xml:space="preserve">Source: ICCT Global Aviation Carbon Assessment </t>
  </si>
  <si>
    <t>MtCO2</t>
  </si>
  <si>
    <t>Emissions (MTCO2)</t>
  </si>
  <si>
    <t>billion RPK</t>
  </si>
  <si>
    <t>billion RTK</t>
  </si>
  <si>
    <t>Activity (billion RPK | billion RTK)</t>
  </si>
  <si>
    <t>Segmental Emissions (MTCO2)</t>
  </si>
  <si>
    <t>Fuel Consumption (MToe)</t>
  </si>
  <si>
    <t>Segmental Activity  (billion RPK | billion RTK)</t>
  </si>
  <si>
    <t>Aviation sector</t>
  </si>
  <si>
    <t>Segmental Intensity (gCO2/RTK)</t>
  </si>
  <si>
    <t>Other Metrics (MTCO2)</t>
  </si>
  <si>
    <t>https://www.icao.int/environmental-protection/CORSIA/Pages/CORSIA-Eligible-Fuels.aspx</t>
  </si>
  <si>
    <t>Source: ICAO CORSIA Eligible fuels</t>
  </si>
  <si>
    <t>I have Well-to-Wake emissions data</t>
  </si>
  <si>
    <t>Select available emissions data</t>
  </si>
  <si>
    <t>Enter overall CAGR</t>
  </si>
  <si>
    <t>Sector activity growth (CAGR)</t>
  </si>
  <si>
    <t>Company Emissions (MTCO2e)</t>
  </si>
  <si>
    <t>Select type of activity forecast</t>
  </si>
  <si>
    <t>Expected CAGR for flown contracted freight</t>
  </si>
  <si>
    <t>Select type of activity forecast in target year</t>
  </si>
  <si>
    <r>
      <t xml:space="preserve">This interface is not required for science-based target setting - it is an optional tool to support calculation of expected GHG emisisons based on jet fuel consumption data. The interface can be used to estimate emissions from both fossil jet fuel consumption as well as </t>
    </r>
    <r>
      <rPr>
        <sz val="11"/>
        <color rgb="FFFF0000"/>
        <rFont val="Arial"/>
        <family val="2"/>
      </rPr>
      <t>sustainable aviation fuel (</t>
    </r>
    <r>
      <rPr>
        <sz val="11"/>
        <color theme="1"/>
        <rFont val="Arial"/>
        <family val="2"/>
      </rPr>
      <t xml:space="preserve">SAF) consumption. The output calculations from this tab could be used as an input to target setting by airlines, business travel or contracted freight users </t>
    </r>
    <r>
      <rPr>
        <sz val="11"/>
        <color rgb="FFFF0000"/>
        <rFont val="Arial"/>
        <family val="2"/>
      </rPr>
      <t>in the previous Excel tabs</t>
    </r>
    <r>
      <rPr>
        <sz val="11"/>
        <color theme="1"/>
        <rFont val="Arial"/>
        <family val="2"/>
      </rPr>
      <t>.</t>
    </r>
  </si>
  <si>
    <t>Type of activity</t>
  </si>
  <si>
    <t>Emissions calculation method 2: For users with an existing GHG inventory *</t>
  </si>
  <si>
    <t>(*)</t>
  </si>
  <si>
    <t>Please enter emissions and/or removals values in mega tonnes of CO2e (MTCO2e)</t>
  </si>
  <si>
    <t>!</t>
  </si>
  <si>
    <t>Emissions calculation method 1: For users with fuel consumption data</t>
  </si>
  <si>
    <t>TARGET SETTING FOR AIR TRAVEL EMISSIONS IN SCOPE 3 CATEGORY 6: BUSINESS TRAVEL</t>
  </si>
  <si>
    <t>ñ</t>
  </si>
  <si>
    <t>TARGET SETTING FOR CONTRACTED AIR FREIGHT EMISSIONS</t>
  </si>
  <si>
    <t>TARGET SETTING TOOL FOR AVIATION COMPANIES</t>
  </si>
  <si>
    <t>ETP WTW scaled from 2019 ICCT WTW</t>
  </si>
  <si>
    <t>Absolute Contraction (vs base year)</t>
  </si>
  <si>
    <t>Version 1.0</t>
  </si>
  <si>
    <t>Aug-21</t>
  </si>
  <si>
    <t>tCO2e</t>
  </si>
  <si>
    <t>Metric ton of Carbon Dioxide Equivalent</t>
  </si>
  <si>
    <t>Revenue Passenger Kilometers</t>
  </si>
  <si>
    <t>Revenue Tonne Kilometers</t>
  </si>
  <si>
    <t>Compounded annual growth rate</t>
  </si>
  <si>
    <t>Estimated compounded annual rate for projected activity growth from base to target year</t>
  </si>
  <si>
    <t>Total WTW Emissions (tCO2e)</t>
  </si>
  <si>
    <t>Input activity data manually</t>
  </si>
  <si>
    <t>Sep-21</t>
  </si>
  <si>
    <t>Comments</t>
  </si>
  <si>
    <t>First release</t>
  </si>
  <si>
    <t>Corrected input for type of activity forecast in airlines tab</t>
  </si>
  <si>
    <t>Version 1.1</t>
  </si>
  <si>
    <t>Version 2.0</t>
  </si>
  <si>
    <t>Dedicated Cargo Operations &lt; 1,500km</t>
  </si>
  <si>
    <t>Dedicated Cargo Operations &gt; 1,500km</t>
  </si>
  <si>
    <t>Belly Cargo Operations</t>
  </si>
  <si>
    <t>Passenger Operations &lt; 1,500km</t>
  </si>
  <si>
    <t>Passenger Operations &gt; 1,500km</t>
  </si>
  <si>
    <t>Sector Average</t>
  </si>
  <si>
    <t>Sector total</t>
  </si>
  <si>
    <t>Aviation TTW MTCO2 (NZE)</t>
  </si>
  <si>
    <t>Aviation WTW MTCO2 (NZE)</t>
  </si>
  <si>
    <t>Well Below 2°C (SDS)</t>
  </si>
  <si>
    <t>Emissions scenario</t>
  </si>
  <si>
    <t>2°C</t>
  </si>
  <si>
    <t>Well Below 2°C</t>
  </si>
  <si>
    <t>Target ambition</t>
  </si>
  <si>
    <t>Inclusion of of 1.5C aligned target setting scenario. Minor fixes.
Business travel calculation updated as per revised Absolute Contraction Method (Refer to SBTi Target Validation Protocol version 2.0)</t>
  </si>
  <si>
    <r>
      <rPr>
        <b/>
        <sz val="12"/>
        <color theme="0"/>
        <rFont val="Arial"/>
        <family val="2"/>
      </rPr>
      <t>Well-Below 2C scenario:</t>
    </r>
    <r>
      <rPr>
        <sz val="12"/>
        <color theme="0"/>
        <rFont val="Arial"/>
        <family val="2"/>
      </rPr>
      <t xml:space="preserve"> This tool uses data from the Sustainable Development Scenario extracted from the publicly available "Energy Technology Perspectives" (2020) PDF report, published by the International Energy Agency. 
https://www.iea.org/reports/energy-technology-perspectives-2020
</t>
    </r>
    <r>
      <rPr>
        <b/>
        <sz val="12"/>
        <color theme="0"/>
        <rFont val="Arial"/>
        <family val="2"/>
      </rPr>
      <t xml:space="preserve">1.5C scenario: </t>
    </r>
    <r>
      <rPr>
        <sz val="12"/>
        <color theme="0"/>
        <rFont val="Arial"/>
        <family val="2"/>
      </rPr>
      <t>This tool uses data from the PACE/Breakthrough scenario included in "Vision 2050: A strategy to decarbonize the global transport sector by mid-century", published by The International Council on Clean Transportation. 
https://theicct.org/vision-2050/</t>
    </r>
  </si>
  <si>
    <t>1.5°C (PACE)</t>
  </si>
  <si>
    <t>Scope</t>
  </si>
  <si>
    <t>Unit</t>
  </si>
  <si>
    <t>Breakthrough</t>
  </si>
  <si>
    <t>All</t>
  </si>
  <si>
    <t>Mt</t>
  </si>
  <si>
    <t>TTW*</t>
  </si>
  <si>
    <t>Pax (incl. belly)</t>
  </si>
  <si>
    <t>Ded. freight</t>
  </si>
  <si>
    <t>*If using International Air Transport Association's accounting convention where SAF's upstream emissions benefits are counted as a reduction in TTW emissions.</t>
  </si>
  <si>
    <t>Traffic</t>
  </si>
  <si>
    <t>CO2</t>
  </si>
  <si>
    <t>Covid correction</t>
  </si>
  <si>
    <t>Blend</t>
  </si>
  <si>
    <t>Airline</t>
  </si>
  <si>
    <t>Target year</t>
  </si>
  <si>
    <t>Base year</t>
  </si>
  <si>
    <t>BY intensity</t>
  </si>
  <si>
    <t>TY intensity</t>
  </si>
  <si>
    <t>% reduction (BY - TY)</t>
  </si>
  <si>
    <t>LAR (BY - TY)</t>
  </si>
  <si>
    <t>CAGR (BY - TY)</t>
  </si>
  <si>
    <t xml:space="preserve">American Airlines </t>
  </si>
  <si>
    <t>WB2C</t>
  </si>
  <si>
    <t>Delta</t>
  </si>
  <si>
    <t>Easyjet</t>
  </si>
  <si>
    <t>Air France KLM</t>
  </si>
  <si>
    <t>Blend dynamic</t>
  </si>
  <si>
    <t>Interim 1.5C</t>
  </si>
  <si>
    <t>1.5°C (Interim)</t>
  </si>
  <si>
    <t>BY S3C6</t>
  </si>
  <si>
    <t xml:space="preserve">This interface is for use by airlines (passenger, cargo or both passenger and cargo).Aviation targets can be set on a Well to Wheel basis aligned with a 1.5°C scenario. </t>
  </si>
  <si>
    <r>
      <t xml:space="preserve">This interface is intended for use by business travel users of aviation services. This is a target setting tool for scope 3 </t>
    </r>
    <r>
      <rPr>
        <sz val="11"/>
        <color rgb="FFFF0000"/>
        <rFont val="Arial"/>
        <family val="2"/>
      </rPr>
      <t>category 6 "business travel"</t>
    </r>
    <r>
      <rPr>
        <sz val="11"/>
        <color theme="1"/>
        <rFont val="Arial"/>
        <family val="2"/>
      </rPr>
      <t xml:space="preserve"> aviation targets aligned with a WB-2°C scenario.</t>
    </r>
  </si>
  <si>
    <t>Feb-23</t>
  </si>
  <si>
    <t>.</t>
  </si>
  <si>
    <t>FUEL TO EMISSIONS CALCULATOR (OPTIONAL)</t>
  </si>
  <si>
    <r>
      <t xml:space="preserve">This interface is for use by contracted freight users of aviation services. This is a target setting tool for </t>
    </r>
    <r>
      <rPr>
        <sz val="11"/>
        <color rgb="FFFF0000"/>
        <rFont val="Arial"/>
        <family val="2"/>
      </rPr>
      <t xml:space="preserve">targets on </t>
    </r>
    <r>
      <rPr>
        <sz val="11"/>
        <color theme="1"/>
        <rFont val="Arial"/>
        <family val="2"/>
      </rPr>
      <t xml:space="preserve">scope 3 </t>
    </r>
    <r>
      <rPr>
        <sz val="11"/>
        <color rgb="FFFF0000"/>
        <rFont val="Arial"/>
        <family val="2"/>
      </rPr>
      <t xml:space="preserve">category 4 "upstream transportation and distribution" and scope 3 category 9 "downstream transportation and distribution". </t>
    </r>
    <r>
      <rPr>
        <sz val="11"/>
        <rFont val="Arial"/>
        <family val="2"/>
      </rPr>
      <t xml:space="preserve">For setting scope 3 targets aligned </t>
    </r>
    <r>
      <rPr>
        <sz val="11"/>
        <color theme="1"/>
        <rFont val="Arial"/>
        <family val="2"/>
      </rPr>
      <t>with a WB-2°C scenario, please refer to the SBTi Aviation Tool version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</si>
</sst>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 &quot;gCO2/MJ&quot;"/>
    <numFmt numFmtId="166" formatCode="#,##0.0"/>
    <numFmt numFmtId="167" formatCode="0.0%"/>
    <numFmt numFmtId="168" formatCode="[$$-409]#,##0"/>
    <numFmt numFmtId="169" formatCode="[$-409]d\-mmm\-yy;@"/>
    <numFmt numFmtId="170" formatCode="0.0000%"/>
    <numFmt numFmtId="171" formatCode="0.000"/>
    <numFmt numFmtId="172" formatCode="0.000000"/>
    <numFmt numFmtId="173" formatCode="&quot;$&quot;#,##0\ ;\(&quot;$&quot;#,##0\)"/>
    <numFmt numFmtId="174" formatCode="#\ ##0\ \ \ ;\-#\ ##0\ \ \ ;\-\ \ \ "/>
    <numFmt numFmtId="175" formatCode="0\ \ \ "/>
    <numFmt numFmtId="176" formatCode="#,##0.000"/>
  </numFmts>
  <fonts count="79">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tint="0.249977111117893"/>
      <name val="Arial"/>
      <family val="2"/>
    </font>
    <font>
      <i/>
      <sz val="11"/>
      <color theme="1"/>
      <name val="Calibri"/>
      <family val="2"/>
      <scheme val="minor"/>
    </font>
    <font>
      <b/>
      <i/>
      <sz val="11"/>
      <color theme="1"/>
      <name val="Calibri"/>
      <family val="2"/>
      <scheme val="minor"/>
    </font>
    <font>
      <sz val="8"/>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sz val="12"/>
      <color theme="0" tint="-0.499984740745262"/>
      <name val="Calibri"/>
      <family val="2"/>
      <scheme val="minor"/>
    </font>
    <font>
      <b/>
      <sz val="12"/>
      <color theme="1"/>
      <name val="Calibri"/>
      <family val="2"/>
      <scheme val="minor"/>
    </font>
    <font>
      <sz val="12"/>
      <color rgb="FFFF0000"/>
      <name val="Calibri"/>
      <family val="2"/>
      <scheme val="minor"/>
    </font>
    <font>
      <sz val="12"/>
      <name val="Calibri"/>
      <family val="2"/>
      <scheme val="minor"/>
    </font>
    <font>
      <sz val="12"/>
      <color theme="0"/>
      <name val="Calibri"/>
      <family val="2"/>
      <scheme val="minor"/>
    </font>
    <font>
      <sz val="10"/>
      <name val="Arial"/>
      <family val="2"/>
    </font>
    <font>
      <b/>
      <sz val="10"/>
      <name val="Arial"/>
      <family val="2"/>
    </font>
    <font>
      <b/>
      <sz val="10"/>
      <color theme="0"/>
      <name val="Arial"/>
      <family val="2"/>
    </font>
    <font>
      <b/>
      <sz val="16"/>
      <color theme="1"/>
      <name val="Calibri"/>
      <family val="2"/>
      <scheme val="minor"/>
    </font>
    <font>
      <sz val="10"/>
      <color theme="1"/>
      <name val="Arial"/>
      <family val="2"/>
    </font>
    <font>
      <u/>
      <sz val="11"/>
      <color indexed="12"/>
      <name val="Calibri"/>
      <family val="2"/>
    </font>
    <font>
      <sz val="11"/>
      <color rgb="FFFF0000"/>
      <name val="Calibri"/>
      <family val="2"/>
      <scheme val="minor"/>
    </font>
    <font>
      <b/>
      <sz val="10"/>
      <name val="MS Sans Serif"/>
      <family val="2"/>
    </font>
    <font>
      <i/>
      <sz val="12"/>
      <color theme="9"/>
      <name val="Calibri"/>
      <family val="2"/>
      <scheme val="minor"/>
    </font>
    <font>
      <b/>
      <i/>
      <sz val="11"/>
      <name val="Calibri"/>
      <family val="2"/>
      <scheme val="minor"/>
    </font>
    <font>
      <sz val="11"/>
      <color rgb="FF7030A0"/>
      <name val="Calibri"/>
      <family val="2"/>
      <scheme val="minor"/>
    </font>
    <font>
      <i/>
      <sz val="10"/>
      <name val="Calibri"/>
      <family val="2"/>
      <scheme val="minor"/>
    </font>
    <font>
      <sz val="10"/>
      <name val="Calibri"/>
      <family val="2"/>
      <scheme val="minor"/>
    </font>
    <font>
      <sz val="10"/>
      <color theme="1"/>
      <name val="Calibri"/>
      <family val="2"/>
      <scheme val="minor"/>
    </font>
    <font>
      <sz val="10"/>
      <color theme="0" tint="-0.499984740745262"/>
      <name val="Calibri"/>
      <family val="2"/>
      <scheme val="minor"/>
    </font>
    <font>
      <sz val="10"/>
      <color theme="0"/>
      <name val="Calibri"/>
      <family val="2"/>
      <scheme val="minor"/>
    </font>
    <font>
      <b/>
      <sz val="10"/>
      <name val="Calibri"/>
      <family val="2"/>
      <scheme val="minor"/>
    </font>
    <font>
      <u/>
      <sz val="12"/>
      <color theme="10"/>
      <name val="Calibri"/>
      <family val="2"/>
      <scheme val="minor"/>
    </font>
    <font>
      <b/>
      <sz val="20"/>
      <color rgb="FF00546E"/>
      <name val="Arial"/>
      <family val="2"/>
    </font>
    <font>
      <sz val="10"/>
      <color theme="0"/>
      <name val="Arial"/>
      <family val="2"/>
    </font>
    <font>
      <b/>
      <sz val="16"/>
      <color theme="5" tint="-0.499984740745262"/>
      <name val="Arial"/>
      <family val="2"/>
    </font>
    <font>
      <sz val="12"/>
      <color theme="0"/>
      <name val="Arial"/>
      <family val="2"/>
    </font>
    <font>
      <b/>
      <sz val="12"/>
      <color theme="0"/>
      <name val="Arial"/>
      <family val="2"/>
    </font>
    <font>
      <b/>
      <sz val="10"/>
      <color theme="1"/>
      <name val="Calibri"/>
      <family val="2"/>
      <scheme val="minor"/>
    </font>
    <font>
      <sz val="9"/>
      <color rgb="FF3F3F76"/>
      <name val="Calibri"/>
      <family val="2"/>
      <scheme val="minor"/>
    </font>
    <font>
      <i/>
      <sz val="10"/>
      <color theme="9"/>
      <name val="Calibri"/>
      <family val="2"/>
      <scheme val="minor"/>
    </font>
    <font>
      <b/>
      <sz val="9"/>
      <name val="Arial"/>
      <family val="2"/>
    </font>
    <font>
      <sz val="11"/>
      <name val="Calibri"/>
      <family val="2"/>
      <scheme val="minor"/>
    </font>
    <font>
      <b/>
      <sz val="11"/>
      <color rgb="FF3F3F3F"/>
      <name val="Calibri"/>
      <family val="2"/>
      <scheme val="minor"/>
    </font>
    <font>
      <b/>
      <sz val="11"/>
      <color theme="1"/>
      <name val="Wingdings"/>
      <charset val="2"/>
    </font>
    <font>
      <i/>
      <sz val="11"/>
      <color rgb="FFFF0000"/>
      <name val="Calibri"/>
      <family val="2"/>
      <scheme val="minor"/>
    </font>
    <font>
      <i/>
      <sz val="14"/>
      <color theme="1"/>
      <name val="Calibri"/>
      <family val="2"/>
      <scheme val="minor"/>
    </font>
    <font>
      <b/>
      <sz val="11"/>
      <color rgb="FFB5395F"/>
      <name val="Calibri"/>
      <family val="2"/>
      <scheme val="minor"/>
    </font>
    <font>
      <sz val="11"/>
      <color theme="0"/>
      <name val="Arial"/>
      <family val="2"/>
    </font>
    <font>
      <b/>
      <sz val="11"/>
      <color rgb="FFFF0000"/>
      <name val="Calibri"/>
      <family val="2"/>
      <scheme val="minor"/>
    </font>
    <font>
      <b/>
      <sz val="9"/>
      <color theme="0"/>
      <name val="Calibri"/>
      <family val="2"/>
      <scheme val="minor"/>
    </font>
    <font>
      <b/>
      <sz val="12"/>
      <color rgb="FFFF0000"/>
      <name val="Calibri"/>
      <family val="2"/>
      <scheme val="minor"/>
    </font>
    <font>
      <sz val="12"/>
      <color theme="1"/>
      <name val="Arial"/>
      <family val="2"/>
    </font>
    <font>
      <b/>
      <sz val="11"/>
      <color theme="1"/>
      <name val="Arial"/>
      <family val="2"/>
    </font>
    <font>
      <b/>
      <sz val="11"/>
      <color theme="0"/>
      <name val="Arial"/>
      <family val="2"/>
    </font>
    <font>
      <sz val="11"/>
      <color theme="1"/>
      <name val="Arial"/>
      <family val="2"/>
    </font>
    <font>
      <sz val="11"/>
      <color rgb="FFFF0000"/>
      <name val="Arial"/>
      <family val="2"/>
    </font>
    <font>
      <sz val="14"/>
      <name val="Arial"/>
      <family val="2"/>
    </font>
    <font>
      <b/>
      <sz val="14"/>
      <name val="Arial"/>
      <family val="2"/>
    </font>
    <font>
      <sz val="11"/>
      <name val="Arial"/>
      <family val="2"/>
    </font>
    <font>
      <b/>
      <sz val="10"/>
      <color theme="0"/>
      <name val="Calibri"/>
      <family val="2"/>
      <scheme val="minor"/>
    </font>
    <font>
      <sz val="14"/>
      <color theme="0"/>
      <name val="Arial"/>
      <family val="2"/>
    </font>
    <font>
      <sz val="16"/>
      <color theme="1"/>
      <name val="Arial"/>
      <family val="2"/>
    </font>
    <font>
      <sz val="10"/>
      <color rgb="FF000000"/>
      <name val="Calibri"/>
      <family val="2"/>
      <scheme val="minor"/>
    </font>
    <font>
      <sz val="16"/>
      <color rgb="FF00546E"/>
      <name val="Arial"/>
      <family val="2"/>
    </font>
    <font>
      <b/>
      <sz val="12"/>
      <color theme="1"/>
      <name val="Arial"/>
      <family val="2"/>
    </font>
    <font>
      <sz val="11"/>
      <color rgb="FF00546E"/>
      <name val="Calibri"/>
      <family val="2"/>
      <scheme val="minor"/>
    </font>
    <font>
      <sz val="18"/>
      <color theme="1"/>
      <name val="Arial"/>
      <family val="2"/>
    </font>
    <font>
      <b/>
      <sz val="16"/>
      <color theme="1"/>
      <name val="Arial"/>
      <family val="2"/>
    </font>
    <font>
      <b/>
      <sz val="18"/>
      <color theme="1"/>
      <name val="WWF"/>
      <family val="3"/>
    </font>
    <font>
      <b/>
      <sz val="16"/>
      <color rgb="FF00546E"/>
      <name val="Arial"/>
      <family val="2"/>
    </font>
    <font>
      <sz val="18"/>
      <color theme="0"/>
      <name val="Webdings"/>
      <family val="1"/>
      <charset val="2"/>
    </font>
    <font>
      <sz val="11"/>
      <color indexed="8"/>
      <name val="Calibri"/>
      <family val="2"/>
    </font>
    <font>
      <sz val="10"/>
      <name val="Courier New"/>
      <family val="3"/>
    </font>
    <font>
      <sz val="9"/>
      <color theme="1"/>
      <name val="Calibri"/>
      <family val="2"/>
      <scheme val="minor"/>
    </font>
    <font>
      <sz val="10"/>
      <name val="Calibri"/>
      <family val="2"/>
    </font>
  </fonts>
  <fills count="31">
    <fill>
      <patternFill patternType="none"/>
    </fill>
    <fill>
      <patternFill patternType="gray125"/>
    </fill>
    <fill>
      <patternFill patternType="solid">
        <fgColor rgb="FFFFCC99"/>
      </patternFill>
    </fill>
    <fill>
      <patternFill patternType="solid">
        <fgColor rgb="FFFFC000"/>
        <bgColor indexed="64"/>
      </patternFill>
    </fill>
    <fill>
      <patternFill patternType="solid">
        <fgColor theme="0" tint="-4.9989318521683403E-2"/>
        <bgColor indexed="64"/>
      </patternFill>
    </fill>
    <fill>
      <patternFill patternType="solid">
        <fgColor theme="0"/>
        <bgColor indexed="64"/>
      </patternFill>
    </fill>
    <fill>
      <patternFill patternType="solid">
        <fgColor rgb="FFFFF6D9"/>
        <bgColor indexed="64"/>
      </patternFill>
    </fill>
    <fill>
      <patternFill patternType="solid">
        <fgColor theme="8" tint="0.79998168889431442"/>
        <bgColor indexed="64"/>
      </patternFill>
    </fill>
    <fill>
      <patternFill patternType="solid">
        <fgColor theme="1"/>
        <bgColor indexed="64"/>
      </patternFill>
    </fill>
    <fill>
      <patternFill patternType="solid">
        <fgColor theme="6"/>
      </patternFill>
    </fill>
    <fill>
      <patternFill patternType="darkUp">
        <fgColor theme="0" tint="-0.14996795556505021"/>
        <bgColor indexed="65"/>
      </patternFill>
    </fill>
    <fill>
      <patternFill patternType="solid">
        <fgColor theme="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7" tint="-0.499984740745262"/>
        <bgColor indexed="64"/>
      </patternFill>
    </fill>
    <fill>
      <patternFill patternType="solid">
        <fgColor rgb="FF00546E"/>
        <bgColor indexed="64"/>
      </patternFill>
    </fill>
    <fill>
      <patternFill patternType="solid">
        <fgColor rgb="FFF2F2F2"/>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darkUp">
        <fgColor theme="0" tint="-0.14996795556505021"/>
        <bgColor theme="0"/>
      </patternFill>
    </fill>
    <fill>
      <patternFill patternType="solid">
        <fgColor theme="0" tint="-0.14999847407452621"/>
        <bgColor theme="0" tint="-0.14999847407452621"/>
      </patternFill>
    </fill>
    <fill>
      <patternFill patternType="darkUp">
        <fgColor theme="0" tint="-0.14993743705557422"/>
        <bgColor theme="0"/>
      </patternFill>
    </fill>
    <fill>
      <patternFill patternType="darkUp">
        <fgColor theme="0" tint="-0.14996795556505021"/>
        <bgColor auto="1"/>
      </patternFill>
    </fill>
  </fills>
  <borders count="74">
    <border>
      <left/>
      <right/>
      <top/>
      <bottom/>
      <diagonal/>
    </border>
    <border>
      <left style="thin">
        <color rgb="FF7F7F7F"/>
      </left>
      <right style="thin">
        <color rgb="FF7F7F7F"/>
      </right>
      <top style="thin">
        <color rgb="FF7F7F7F"/>
      </top>
      <bottom style="thin">
        <color rgb="FF7F7F7F"/>
      </bottom>
      <diagonal/>
    </border>
    <border>
      <left/>
      <right/>
      <top/>
      <bottom style="thick">
        <color indexed="64"/>
      </bottom>
      <diagonal/>
    </border>
    <border>
      <left/>
      <right/>
      <top/>
      <bottom style="thick">
        <color rgb="FFFFC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ck">
        <color theme="0"/>
      </bottom>
      <diagonal/>
    </border>
    <border>
      <left style="thin">
        <color indexed="64"/>
      </left>
      <right/>
      <top/>
      <bottom style="thick">
        <color theme="0"/>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rgb="FF00546E"/>
      </bottom>
      <diagonal/>
    </border>
    <border>
      <left/>
      <right/>
      <top style="thin">
        <color rgb="FF00546E"/>
      </top>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thick">
        <color theme="0"/>
      </top>
      <bottom style="dotted">
        <color indexed="64"/>
      </bottom>
      <diagonal/>
    </border>
    <border>
      <left/>
      <right/>
      <top style="thick">
        <color theme="0"/>
      </top>
      <bottom style="dotted">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right style="thick">
        <color theme="0"/>
      </right>
      <top style="thick">
        <color theme="0"/>
      </top>
      <bottom style="thick">
        <color theme="0"/>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style="thin">
        <color indexed="64"/>
      </left>
      <right/>
      <top style="thin">
        <color indexed="64"/>
      </top>
      <bottom style="thin">
        <color indexed="64"/>
      </bottom>
      <diagonal/>
    </border>
    <border>
      <left/>
      <right style="thick">
        <color theme="0"/>
      </right>
      <top/>
      <bottom/>
      <diagonal/>
    </border>
    <border>
      <left/>
      <right/>
      <top style="thin">
        <color theme="0"/>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s>
  <cellStyleXfs count="69">
    <xf numFmtId="0" fontId="0" fillId="0" borderId="0"/>
    <xf numFmtId="9" fontId="1" fillId="0" borderId="0" applyFont="0" applyFill="0" applyBorder="0" applyAlignment="0" applyProtection="0"/>
    <xf numFmtId="0" fontId="2" fillId="2" borderId="1" applyNumberFormat="0" applyAlignment="0" applyProtection="0"/>
    <xf numFmtId="0" fontId="5" fillId="9" borderId="0" applyNumberFormat="0" applyBorder="0" applyAlignment="0" applyProtection="0"/>
    <xf numFmtId="3" fontId="1" fillId="10" borderId="4">
      <alignment horizontal="center" vertical="center"/>
    </xf>
    <xf numFmtId="0" fontId="1" fillId="7" borderId="8">
      <alignment horizontal="center"/>
    </xf>
    <xf numFmtId="0" fontId="12" fillId="0" borderId="0"/>
    <xf numFmtId="9" fontId="12" fillId="0" borderId="0" applyFont="0" applyFill="0" applyBorder="0" applyAlignment="0" applyProtection="0"/>
    <xf numFmtId="168" fontId="18" fillId="0" borderId="0"/>
    <xf numFmtId="0" fontId="22" fillId="0" borderId="0"/>
    <xf numFmtId="0" fontId="23" fillId="0" borderId="0" applyNumberFormat="0" applyFill="0" applyBorder="0" applyAlignment="0" applyProtection="0">
      <alignment vertical="top"/>
      <protection locked="0"/>
    </xf>
    <xf numFmtId="0" fontId="18" fillId="0" borderId="0" applyNumberFormat="0" applyFont="0" applyFill="0" applyBorder="0" applyAlignment="0" applyProtection="0"/>
    <xf numFmtId="0" fontId="1" fillId="0" borderId="0"/>
    <xf numFmtId="0" fontId="1" fillId="0" borderId="0"/>
    <xf numFmtId="0" fontId="18" fillId="0" borderId="0" applyNumberFormat="0" applyFont="0" applyFill="0" applyBorder="0" applyAlignment="0" applyProtection="0"/>
    <xf numFmtId="0" fontId="1" fillId="0" borderId="0"/>
    <xf numFmtId="0" fontId="35" fillId="0" borderId="0" applyNumberFormat="0" applyFill="0" applyBorder="0" applyAlignment="0" applyProtection="0"/>
    <xf numFmtId="0" fontId="12" fillId="0" borderId="0"/>
    <xf numFmtId="0" fontId="46" fillId="17" borderId="52" applyNumberFormat="0" applyAlignment="0" applyProtection="0"/>
    <xf numFmtId="0" fontId="18" fillId="0" borderId="0"/>
    <xf numFmtId="9" fontId="18" fillId="0" borderId="0" applyFont="0" applyFill="0" applyBorder="0" applyAlignment="0" applyProtection="0"/>
    <xf numFmtId="0" fontId="1" fillId="0" borderId="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76" fillId="0" borderId="0"/>
    <xf numFmtId="0" fontId="18" fillId="0" borderId="0"/>
    <xf numFmtId="0" fontId="18" fillId="0" borderId="0"/>
    <xf numFmtId="0" fontId="76" fillId="0" borderId="0"/>
    <xf numFmtId="0" fontId="76" fillId="0" borderId="0"/>
    <xf numFmtId="0" fontId="76" fillId="0" borderId="0"/>
    <xf numFmtId="171" fontId="18" fillId="0" borderId="0"/>
    <xf numFmtId="0" fontId="18" fillId="0" borderId="0"/>
    <xf numFmtId="0" fontId="75"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9" fontId="75" fillId="0" borderId="0" applyFont="0" applyFill="0" applyBorder="0" applyAlignment="0" applyProtection="0"/>
    <xf numFmtId="9" fontId="7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0" fontId="18" fillId="0" borderId="0"/>
    <xf numFmtId="0" fontId="1" fillId="0" borderId="0"/>
    <xf numFmtId="0" fontId="1" fillId="0" borderId="0"/>
    <xf numFmtId="9" fontId="1" fillId="0" borderId="0" applyFont="0" applyFill="0" applyBorder="0" applyAlignment="0" applyProtection="0"/>
    <xf numFmtId="0" fontId="1" fillId="0" borderId="0"/>
    <xf numFmtId="0" fontId="78" fillId="0" borderId="0"/>
    <xf numFmtId="0" fontId="1" fillId="0" borderId="0"/>
    <xf numFmtId="0" fontId="1" fillId="0" borderId="0"/>
    <xf numFmtId="0" fontId="1" fillId="0" borderId="0"/>
  </cellStyleXfs>
  <cellXfs count="688">
    <xf numFmtId="0" fontId="0" fillId="0" borderId="0" xfId="0"/>
    <xf numFmtId="0" fontId="0" fillId="0" borderId="0" xfId="0" applyAlignment="1">
      <alignment horizontal="center"/>
    </xf>
    <xf numFmtId="0" fontId="0" fillId="0" borderId="0" xfId="0" applyAlignment="1">
      <alignment horizontal="right" indent="1"/>
    </xf>
    <xf numFmtId="0" fontId="0" fillId="0" borderId="0" xfId="0" applyAlignment="1">
      <alignment horizontal="center" vertical="center"/>
    </xf>
    <xf numFmtId="0" fontId="0" fillId="0" borderId="3" xfId="0" applyBorder="1"/>
    <xf numFmtId="0" fontId="0" fillId="0" borderId="0" xfId="0" applyAlignment="1">
      <alignment horizontal="right"/>
    </xf>
    <xf numFmtId="0" fontId="4" fillId="0" borderId="0" xfId="0" applyFont="1" applyAlignment="1">
      <alignment horizontal="right"/>
    </xf>
    <xf numFmtId="0" fontId="7" fillId="0" borderId="0" xfId="0" applyFont="1" applyAlignment="1">
      <alignment horizontal="left" vertical="center" indent="1"/>
    </xf>
    <xf numFmtId="0" fontId="0" fillId="5" borderId="0" xfId="0" applyFill="1"/>
    <xf numFmtId="0" fontId="0" fillId="6" borderId="4" xfId="0" applyFill="1" applyBorder="1" applyAlignment="1">
      <alignment horizontal="center" vertical="center"/>
    </xf>
    <xf numFmtId="0" fontId="4" fillId="0" borderId="0" xfId="0" applyFont="1" applyAlignment="1">
      <alignment horizontal="center"/>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6" xfId="0" applyBorder="1"/>
    <xf numFmtId="0" fontId="7" fillId="0" borderId="0" xfId="0" applyFont="1" applyAlignment="1">
      <alignment horizontal="center"/>
    </xf>
    <xf numFmtId="0" fontId="4" fillId="0" borderId="0" xfId="0" applyFont="1"/>
    <xf numFmtId="1" fontId="0" fillId="0" borderId="0" xfId="0" applyNumberFormat="1" applyAlignment="1">
      <alignment horizontal="center"/>
    </xf>
    <xf numFmtId="0" fontId="4" fillId="0" borderId="0" xfId="0" applyFont="1" applyAlignment="1">
      <alignment horizontal="right" indent="1"/>
    </xf>
    <xf numFmtId="0" fontId="0" fillId="0" borderId="6" xfId="0" applyBorder="1" applyAlignment="1">
      <alignment horizontal="center"/>
    </xf>
    <xf numFmtId="0" fontId="0" fillId="0" borderId="3" xfId="0" applyBorder="1" applyAlignment="1">
      <alignment horizontal="center"/>
    </xf>
    <xf numFmtId="0" fontId="0" fillId="5" borderId="0" xfId="0" applyFill="1" applyAlignment="1">
      <alignment horizontal="center"/>
    </xf>
    <xf numFmtId="0" fontId="0" fillId="0" borderId="0" xfId="0" applyAlignment="1">
      <alignment horizontal="left"/>
    </xf>
    <xf numFmtId="3" fontId="0" fillId="7" borderId="4" xfId="0" applyNumberFormat="1" applyFill="1" applyBorder="1" applyAlignment="1">
      <alignment horizontal="center" vertical="center"/>
    </xf>
    <xf numFmtId="0" fontId="10" fillId="0" borderId="0" xfId="0" applyFont="1" applyAlignment="1">
      <alignment horizontal="right" indent="1"/>
    </xf>
    <xf numFmtId="1" fontId="11" fillId="5" borderId="0" xfId="0" applyNumberFormat="1" applyFont="1" applyFill="1" applyAlignment="1">
      <alignment horizontal="left"/>
    </xf>
    <xf numFmtId="0" fontId="4" fillId="0" borderId="10" xfId="0" applyFont="1" applyBorder="1" applyAlignment="1">
      <alignment horizontal="right" indent="1"/>
    </xf>
    <xf numFmtId="0" fontId="0" fillId="0" borderId="11" xfId="0" applyBorder="1" applyAlignment="1">
      <alignment horizontal="center"/>
    </xf>
    <xf numFmtId="3" fontId="1" fillId="10" borderId="4" xfId="4">
      <alignment horizontal="center" vertical="center"/>
    </xf>
    <xf numFmtId="0" fontId="5" fillId="9" borderId="9" xfId="3" applyBorder="1" applyAlignment="1">
      <alignment horizontal="center" vertical="center"/>
    </xf>
    <xf numFmtId="0" fontId="0" fillId="0" borderId="8" xfId="0" applyBorder="1" applyAlignment="1">
      <alignment horizontal="right" indent="1"/>
    </xf>
    <xf numFmtId="0" fontId="0" fillId="0" borderId="8" xfId="0" applyBorder="1"/>
    <xf numFmtId="0" fontId="2" fillId="2" borderId="1" xfId="2" applyAlignment="1">
      <alignment horizontal="center"/>
    </xf>
    <xf numFmtId="3" fontId="1" fillId="7" borderId="14" xfId="5" applyNumberFormat="1" applyBorder="1">
      <alignment horizontal="center"/>
    </xf>
    <xf numFmtId="3" fontId="0" fillId="0" borderId="0" xfId="0" applyNumberFormat="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0" fillId="0" borderId="20" xfId="0" applyBorder="1"/>
    <xf numFmtId="164" fontId="0" fillId="0" borderId="20" xfId="0" applyNumberFormat="1" applyBorder="1" applyAlignment="1">
      <alignment horizontal="center"/>
    </xf>
    <xf numFmtId="164" fontId="0" fillId="0" borderId="17" xfId="0" applyNumberFormat="1" applyBorder="1" applyAlignment="1">
      <alignment horizontal="center"/>
    </xf>
    <xf numFmtId="164" fontId="0" fillId="0" borderId="0" xfId="0" applyNumberFormat="1" applyAlignment="1">
      <alignment horizontal="center"/>
    </xf>
    <xf numFmtId="0" fontId="12" fillId="0" borderId="0" xfId="6"/>
    <xf numFmtId="0" fontId="13" fillId="0" borderId="0" xfId="6" applyFont="1"/>
    <xf numFmtId="0" fontId="14" fillId="0" borderId="0" xfId="6" applyFont="1"/>
    <xf numFmtId="2" fontId="12" fillId="0" borderId="0" xfId="6" applyNumberFormat="1"/>
    <xf numFmtId="10" fontId="13" fillId="0" borderId="0" xfId="6" applyNumberFormat="1" applyFont="1"/>
    <xf numFmtId="1" fontId="12" fillId="0" borderId="0" xfId="6" applyNumberFormat="1" applyAlignment="1">
      <alignment horizontal="center"/>
    </xf>
    <xf numFmtId="167" fontId="12" fillId="0" borderId="0" xfId="6" applyNumberFormat="1" applyAlignment="1">
      <alignment horizontal="center"/>
    </xf>
    <xf numFmtId="167" fontId="12" fillId="0" borderId="0" xfId="6" applyNumberFormat="1"/>
    <xf numFmtId="9" fontId="12" fillId="0" borderId="0" xfId="6" applyNumberFormat="1"/>
    <xf numFmtId="9" fontId="0" fillId="0" borderId="0" xfId="7" applyFont="1" applyFill="1" applyBorder="1"/>
    <xf numFmtId="1" fontId="12" fillId="0" borderId="0" xfId="6" applyNumberFormat="1"/>
    <xf numFmtId="9" fontId="15" fillId="0" borderId="0" xfId="7" applyFont="1" applyFill="1" applyBorder="1"/>
    <xf numFmtId="9" fontId="0" fillId="0" borderId="0" xfId="7" applyFont="1"/>
    <xf numFmtId="0" fontId="17" fillId="0" borderId="0" xfId="6" applyFont="1"/>
    <xf numFmtId="1" fontId="17" fillId="0" borderId="0" xfId="6" applyNumberFormat="1" applyFont="1"/>
    <xf numFmtId="9" fontId="0" fillId="0" borderId="0" xfId="7" applyFont="1" applyFill="1"/>
    <xf numFmtId="0" fontId="14" fillId="0" borderId="0" xfId="6" applyFont="1" applyAlignment="1">
      <alignment horizontal="left"/>
    </xf>
    <xf numFmtId="166" fontId="0" fillId="0" borderId="17" xfId="0" applyNumberFormat="1" applyBorder="1" applyAlignment="1">
      <alignment horizontal="center"/>
    </xf>
    <xf numFmtId="0" fontId="7" fillId="0" borderId="0" xfId="0" applyFont="1"/>
    <xf numFmtId="0" fontId="0" fillId="0" borderId="17" xfId="0" applyBorder="1" applyAlignment="1">
      <alignment horizontal="center"/>
    </xf>
    <xf numFmtId="0" fontId="0" fillId="0" borderId="20" xfId="0" applyBorder="1" applyAlignment="1">
      <alignment horizontal="center"/>
    </xf>
    <xf numFmtId="0" fontId="0" fillId="4" borderId="16" xfId="0" applyFill="1" applyBorder="1" applyAlignment="1">
      <alignment horizontal="center"/>
    </xf>
    <xf numFmtId="0" fontId="19" fillId="0" borderId="0" xfId="11" applyNumberFormat="1" applyFont="1" applyAlignment="1">
      <alignment horizontal="center" vertical="top"/>
    </xf>
    <xf numFmtId="0" fontId="4" fillId="13" borderId="0" xfId="0" applyFont="1" applyFill="1" applyAlignment="1">
      <alignment horizontal="left"/>
    </xf>
    <xf numFmtId="0" fontId="4" fillId="13" borderId="0" xfId="0" applyFont="1" applyFill="1"/>
    <xf numFmtId="0" fontId="18" fillId="0" borderId="0" xfId="11" applyNumberFormat="1" applyAlignment="1">
      <alignment horizontal="left"/>
    </xf>
    <xf numFmtId="167" fontId="0" fillId="0" borderId="0" xfId="1" applyNumberFormat="1" applyFont="1"/>
    <xf numFmtId="0" fontId="25" fillId="0" borderId="0" xfId="12" applyFont="1" applyAlignment="1" applyProtection="1">
      <alignment horizontal="left"/>
      <protection locked="0"/>
    </xf>
    <xf numFmtId="9" fontId="0" fillId="0" borderId="0" xfId="1" applyFont="1" applyAlignment="1">
      <alignment horizontal="left"/>
    </xf>
    <xf numFmtId="0" fontId="4" fillId="0" borderId="0" xfId="0" applyFont="1" applyAlignment="1">
      <alignment horizontal="left"/>
    </xf>
    <xf numFmtId="3" fontId="4" fillId="0" borderId="0" xfId="0" applyNumberFormat="1" applyFont="1" applyAlignment="1">
      <alignment horizontal="center"/>
    </xf>
    <xf numFmtId="9" fontId="0" fillId="0" borderId="0" xfId="0" applyNumberFormat="1" applyAlignment="1">
      <alignment horizontal="left"/>
    </xf>
    <xf numFmtId="9" fontId="0" fillId="0" borderId="0" xfId="1" applyFont="1" applyAlignment="1">
      <alignment horizontal="center"/>
    </xf>
    <xf numFmtId="0" fontId="12" fillId="0" borderId="22" xfId="6" applyBorder="1"/>
    <xf numFmtId="0" fontId="12" fillId="0" borderId="24" xfId="6" applyBorder="1"/>
    <xf numFmtId="0" fontId="20" fillId="0" borderId="22" xfId="8" quotePrefix="1" applyNumberFormat="1" applyFont="1" applyBorder="1"/>
    <xf numFmtId="0" fontId="24" fillId="0" borderId="0" xfId="0" applyFont="1"/>
    <xf numFmtId="1" fontId="0" fillId="0" borderId="17" xfId="0" applyNumberFormat="1" applyBorder="1" applyAlignment="1">
      <alignment horizontal="center"/>
    </xf>
    <xf numFmtId="0" fontId="0" fillId="0" borderId="30" xfId="0" applyBorder="1"/>
    <xf numFmtId="0" fontId="7" fillId="0" borderId="20" xfId="0" applyFont="1" applyBorder="1" applyAlignment="1">
      <alignment horizontal="right"/>
    </xf>
    <xf numFmtId="0" fontId="0" fillId="0" borderId="20" xfId="0" applyBorder="1" applyAlignment="1">
      <alignment horizontal="right"/>
    </xf>
    <xf numFmtId="0" fontId="0" fillId="0" borderId="16" xfId="0" applyBorder="1"/>
    <xf numFmtId="0" fontId="0" fillId="0" borderId="19" xfId="0" applyBorder="1"/>
    <xf numFmtId="0" fontId="28" fillId="0" borderId="0" xfId="0" applyFont="1"/>
    <xf numFmtId="0" fontId="4" fillId="0" borderId="0" xfId="0" applyFont="1" applyAlignment="1">
      <alignment horizontal="right" wrapText="1" indent="1"/>
    </xf>
    <xf numFmtId="4" fontId="0" fillId="7" borderId="4" xfId="0" applyNumberFormat="1" applyFill="1" applyBorder="1" applyAlignment="1">
      <alignment horizontal="center" vertical="center"/>
    </xf>
    <xf numFmtId="0" fontId="0" fillId="0" borderId="12" xfId="0" applyBorder="1" applyAlignment="1">
      <alignment horizontal="center"/>
    </xf>
    <xf numFmtId="0" fontId="5" fillId="9" borderId="4" xfId="3" applyBorder="1" applyAlignment="1">
      <alignment horizontal="center" vertical="center"/>
    </xf>
    <xf numFmtId="0" fontId="3" fillId="5" borderId="0" xfId="0" applyFont="1" applyFill="1" applyAlignment="1">
      <alignment horizontal="center"/>
    </xf>
    <xf numFmtId="1" fontId="0" fillId="0" borderId="0" xfId="0" applyNumberFormat="1"/>
    <xf numFmtId="167" fontId="0" fillId="0" borderId="17" xfId="1" applyNumberFormat="1" applyFont="1" applyBorder="1" applyAlignment="1">
      <alignment horizontal="center"/>
    </xf>
    <xf numFmtId="4" fontId="1" fillId="10" borderId="15" xfId="4" applyNumberFormat="1" applyBorder="1">
      <alignment horizontal="center" vertical="center"/>
    </xf>
    <xf numFmtId="4" fontId="1" fillId="10" borderId="4" xfId="4" applyNumberFormat="1">
      <alignment horizontal="center" vertical="center"/>
    </xf>
    <xf numFmtId="4" fontId="0" fillId="0" borderId="0" xfId="0" applyNumberFormat="1"/>
    <xf numFmtId="4" fontId="0" fillId="0" borderId="0" xfId="0" applyNumberFormat="1" applyAlignment="1">
      <alignment horizontal="center"/>
    </xf>
    <xf numFmtId="4" fontId="0" fillId="0" borderId="0" xfId="0" applyNumberFormat="1" applyAlignment="1">
      <alignment horizontal="right"/>
    </xf>
    <xf numFmtId="4" fontId="4" fillId="10" borderId="4" xfId="4" applyNumberFormat="1" applyFont="1">
      <alignment horizontal="center" vertical="center"/>
    </xf>
    <xf numFmtId="4" fontId="4" fillId="0" borderId="0" xfId="0" applyNumberFormat="1" applyFont="1"/>
    <xf numFmtId="3" fontId="45" fillId="0" borderId="0" xfId="0" applyNumberFormat="1" applyFont="1" applyAlignment="1">
      <alignment horizontal="center"/>
    </xf>
    <xf numFmtId="167" fontId="0" fillId="0" borderId="0" xfId="1" applyNumberFormat="1" applyFont="1" applyBorder="1"/>
    <xf numFmtId="3" fontId="4" fillId="7" borderId="0" xfId="0" applyNumberFormat="1" applyFont="1" applyFill="1" applyAlignment="1">
      <alignment horizontal="center"/>
    </xf>
    <xf numFmtId="3" fontId="45" fillId="7" borderId="0" xfId="0" applyNumberFormat="1" applyFont="1" applyFill="1" applyAlignment="1">
      <alignment horizontal="center"/>
    </xf>
    <xf numFmtId="0" fontId="0" fillId="5" borderId="0" xfId="0" applyFill="1" applyAlignment="1">
      <alignment horizontal="left"/>
    </xf>
    <xf numFmtId="0" fontId="4" fillId="5" borderId="0" xfId="0" applyFont="1" applyFill="1" applyAlignment="1">
      <alignment horizontal="left"/>
    </xf>
    <xf numFmtId="0" fontId="4" fillId="5" borderId="0" xfId="0" applyFont="1" applyFill="1"/>
    <xf numFmtId="0" fontId="7" fillId="0" borderId="0" xfId="0" applyFont="1" applyAlignment="1">
      <alignment horizontal="left"/>
    </xf>
    <xf numFmtId="0" fontId="4" fillId="13" borderId="0" xfId="0" applyFont="1" applyFill="1" applyAlignment="1">
      <alignment horizontal="center"/>
    </xf>
    <xf numFmtId="167" fontId="0" fillId="0" borderId="0" xfId="1" applyNumberFormat="1" applyFont="1" applyAlignment="1">
      <alignment horizontal="center"/>
    </xf>
    <xf numFmtId="167" fontId="0" fillId="0" borderId="0" xfId="0" applyNumberFormat="1" applyAlignment="1">
      <alignment horizontal="center"/>
    </xf>
    <xf numFmtId="167" fontId="4" fillId="13" borderId="0" xfId="0" applyNumberFormat="1" applyFont="1" applyFill="1" applyAlignment="1">
      <alignment horizontal="center"/>
    </xf>
    <xf numFmtId="0" fontId="4" fillId="5" borderId="0" xfId="0" applyFont="1" applyFill="1" applyAlignment="1">
      <alignment horizontal="center"/>
    </xf>
    <xf numFmtId="167" fontId="1" fillId="0" borderId="0" xfId="1" applyNumberFormat="1" applyFont="1" applyAlignment="1">
      <alignment horizontal="center"/>
    </xf>
    <xf numFmtId="9" fontId="46" fillId="17" borderId="52" xfId="18" applyNumberFormat="1" applyAlignment="1">
      <alignment horizontal="left"/>
    </xf>
    <xf numFmtId="3" fontId="46" fillId="17" borderId="52" xfId="18" applyNumberFormat="1" applyAlignment="1">
      <alignment horizontal="center"/>
    </xf>
    <xf numFmtId="3" fontId="46" fillId="17" borderId="52" xfId="18" applyNumberFormat="1" applyAlignment="1" applyProtection="1">
      <alignment horizontal="center"/>
      <protection locked="0"/>
    </xf>
    <xf numFmtId="1" fontId="46" fillId="17" borderId="52" xfId="18" applyNumberFormat="1" applyAlignment="1">
      <alignment horizontal="center"/>
    </xf>
    <xf numFmtId="0" fontId="47" fillId="13" borderId="0" xfId="0" applyFont="1" applyFill="1" applyAlignment="1">
      <alignment horizontal="left"/>
    </xf>
    <xf numFmtId="0" fontId="18" fillId="0" borderId="0" xfId="11" applyNumberFormat="1" applyAlignment="1">
      <alignment horizontal="center"/>
    </xf>
    <xf numFmtId="0" fontId="25" fillId="0" borderId="0" xfId="12" applyFont="1" applyAlignment="1" applyProtection="1">
      <alignment horizontal="center"/>
      <protection locked="0"/>
    </xf>
    <xf numFmtId="0" fontId="1" fillId="0" borderId="0" xfId="12" applyAlignment="1">
      <alignment horizontal="center"/>
    </xf>
    <xf numFmtId="9" fontId="0" fillId="0" borderId="0" xfId="0" applyNumberFormat="1" applyAlignment="1">
      <alignment horizontal="center"/>
    </xf>
    <xf numFmtId="0" fontId="19" fillId="0" borderId="17" xfId="11" applyNumberFormat="1" applyFont="1" applyBorder="1" applyAlignment="1">
      <alignment horizontal="center" vertical="top"/>
    </xf>
    <xf numFmtId="0" fontId="19" fillId="0" borderId="54" xfId="11" applyNumberFormat="1" applyFont="1" applyBorder="1" applyAlignment="1">
      <alignment horizontal="center" vertical="top"/>
    </xf>
    <xf numFmtId="1" fontId="46" fillId="17" borderId="56" xfId="18" applyNumberFormat="1" applyBorder="1" applyAlignment="1">
      <alignment horizontal="center"/>
    </xf>
    <xf numFmtId="3" fontId="46" fillId="17" borderId="56" xfId="18" applyNumberFormat="1" applyBorder="1" applyAlignment="1" applyProtection="1">
      <alignment horizontal="center"/>
      <protection locked="0"/>
    </xf>
    <xf numFmtId="3" fontId="46" fillId="17" borderId="56" xfId="18" applyNumberFormat="1" applyBorder="1" applyAlignment="1">
      <alignment horizontal="center"/>
    </xf>
    <xf numFmtId="1" fontId="46" fillId="17" borderId="57" xfId="18" applyNumberFormat="1" applyBorder="1" applyAlignment="1">
      <alignment horizontal="center"/>
    </xf>
    <xf numFmtId="3" fontId="46" fillId="17" borderId="57" xfId="18" applyNumberFormat="1" applyBorder="1" applyAlignment="1" applyProtection="1">
      <alignment horizontal="center"/>
      <protection locked="0"/>
    </xf>
    <xf numFmtId="3" fontId="46" fillId="17" borderId="57" xfId="18" applyNumberFormat="1" applyBorder="1" applyAlignment="1">
      <alignment horizontal="center"/>
    </xf>
    <xf numFmtId="0" fontId="0" fillId="0" borderId="54" xfId="0" applyBorder="1" applyAlignment="1">
      <alignment horizontal="center"/>
    </xf>
    <xf numFmtId="0" fontId="4" fillId="13" borderId="54" xfId="0" applyFont="1" applyFill="1" applyBorder="1" applyAlignment="1">
      <alignment horizontal="center"/>
    </xf>
    <xf numFmtId="1" fontId="46" fillId="17" borderId="58" xfId="18" applyNumberFormat="1" applyBorder="1" applyAlignment="1">
      <alignment horizontal="center"/>
    </xf>
    <xf numFmtId="0" fontId="1" fillId="0" borderId="54" xfId="12" applyBorder="1" applyAlignment="1">
      <alignment horizontal="center"/>
    </xf>
    <xf numFmtId="3" fontId="0" fillId="0" borderId="54" xfId="0" applyNumberFormat="1" applyBorder="1" applyAlignment="1">
      <alignment horizontal="center"/>
    </xf>
    <xf numFmtId="3" fontId="4" fillId="0" borderId="54" xfId="0" applyNumberFormat="1" applyFont="1" applyBorder="1" applyAlignment="1">
      <alignment horizontal="center"/>
    </xf>
    <xf numFmtId="3" fontId="45" fillId="0" borderId="54" xfId="0" applyNumberFormat="1" applyFont="1" applyBorder="1" applyAlignment="1">
      <alignment horizontal="center"/>
    </xf>
    <xf numFmtId="3" fontId="46" fillId="17" borderId="58" xfId="18" applyNumberFormat="1" applyBorder="1" applyAlignment="1" applyProtection="1">
      <alignment horizontal="center"/>
      <protection locked="0"/>
    </xf>
    <xf numFmtId="3" fontId="46" fillId="17" borderId="58" xfId="18" applyNumberFormat="1" applyBorder="1" applyAlignment="1">
      <alignment horizontal="center"/>
    </xf>
    <xf numFmtId="1" fontId="0" fillId="0" borderId="54" xfId="0" applyNumberFormat="1" applyBorder="1" applyAlignment="1">
      <alignment horizontal="center"/>
    </xf>
    <xf numFmtId="167" fontId="0" fillId="0" borderId="54" xfId="1" applyNumberFormat="1" applyFont="1" applyBorder="1" applyAlignment="1">
      <alignment horizontal="center"/>
    </xf>
    <xf numFmtId="0" fontId="4" fillId="13" borderId="17" xfId="0" applyFont="1" applyFill="1" applyBorder="1" applyAlignment="1">
      <alignment horizontal="center"/>
    </xf>
    <xf numFmtId="1" fontId="46" fillId="17" borderId="59" xfId="18" applyNumberFormat="1" applyBorder="1" applyAlignment="1">
      <alignment horizontal="center"/>
    </xf>
    <xf numFmtId="0" fontId="1" fillId="0" borderId="17" xfId="12" applyBorder="1" applyAlignment="1">
      <alignment horizontal="center"/>
    </xf>
    <xf numFmtId="3" fontId="0" fillId="0" borderId="17" xfId="0" applyNumberFormat="1" applyBorder="1" applyAlignment="1">
      <alignment horizontal="center"/>
    </xf>
    <xf numFmtId="3" fontId="4" fillId="0" borderId="17" xfId="0" applyNumberFormat="1" applyFont="1" applyBorder="1" applyAlignment="1">
      <alignment horizontal="center"/>
    </xf>
    <xf numFmtId="3" fontId="45" fillId="0" borderId="17" xfId="0" applyNumberFormat="1" applyFont="1" applyBorder="1" applyAlignment="1">
      <alignment horizontal="center"/>
    </xf>
    <xf numFmtId="3" fontId="46" fillId="17" borderId="59" xfId="18" applyNumberFormat="1" applyBorder="1" applyAlignment="1">
      <alignment horizontal="center"/>
    </xf>
    <xf numFmtId="3" fontId="4" fillId="7" borderId="54" xfId="0" applyNumberFormat="1" applyFont="1" applyFill="1" applyBorder="1" applyAlignment="1">
      <alignment horizontal="center"/>
    </xf>
    <xf numFmtId="3" fontId="45" fillId="7" borderId="54" xfId="0" applyNumberFormat="1" applyFont="1" applyFill="1" applyBorder="1" applyAlignment="1">
      <alignment horizontal="center"/>
    </xf>
    <xf numFmtId="0" fontId="4" fillId="5" borderId="54" xfId="0" applyFont="1" applyFill="1" applyBorder="1" applyAlignment="1">
      <alignment horizontal="center"/>
    </xf>
    <xf numFmtId="0" fontId="4" fillId="18" borderId="0" xfId="0" applyFont="1" applyFill="1" applyAlignment="1">
      <alignment horizontal="center"/>
    </xf>
    <xf numFmtId="0" fontId="4" fillId="18" borderId="54" xfId="0" applyFont="1" applyFill="1" applyBorder="1" applyAlignment="1">
      <alignment horizontal="center"/>
    </xf>
    <xf numFmtId="167" fontId="4" fillId="18" borderId="0" xfId="0" applyNumberFormat="1" applyFont="1" applyFill="1" applyAlignment="1">
      <alignment horizontal="center"/>
    </xf>
    <xf numFmtId="0" fontId="4" fillId="18" borderId="0" xfId="0" applyFont="1" applyFill="1"/>
    <xf numFmtId="0" fontId="4" fillId="18" borderId="0" xfId="0" applyFont="1" applyFill="1" applyAlignment="1">
      <alignment horizontal="left"/>
    </xf>
    <xf numFmtId="0" fontId="47" fillId="18" borderId="0" xfId="0" applyFont="1" applyFill="1" applyAlignment="1">
      <alignment horizontal="left"/>
    </xf>
    <xf numFmtId="0" fontId="0" fillId="0" borderId="0" xfId="0" applyAlignment="1">
      <alignment horizontal="left" indent="2"/>
    </xf>
    <xf numFmtId="10" fontId="8" fillId="0" borderId="0" xfId="1" applyNumberFormat="1" applyFont="1" applyBorder="1" applyAlignment="1">
      <alignment horizontal="left"/>
    </xf>
    <xf numFmtId="10" fontId="8" fillId="0" borderId="0" xfId="1" applyNumberFormat="1" applyFont="1" applyBorder="1" applyAlignment="1">
      <alignment horizontal="center"/>
    </xf>
    <xf numFmtId="170" fontId="4" fillId="0" borderId="0" xfId="1" applyNumberFormat="1" applyFont="1" applyBorder="1" applyAlignment="1">
      <alignment horizontal="center"/>
    </xf>
    <xf numFmtId="9" fontId="4" fillId="0" borderId="0" xfId="1" applyFont="1" applyBorder="1" applyAlignment="1">
      <alignment horizontal="center"/>
    </xf>
    <xf numFmtId="0" fontId="4" fillId="0" borderId="16" xfId="0" applyFont="1" applyBorder="1" applyAlignment="1">
      <alignment horizontal="left"/>
    </xf>
    <xf numFmtId="10" fontId="8" fillId="0" borderId="16" xfId="1" applyNumberFormat="1" applyFont="1" applyBorder="1" applyAlignment="1">
      <alignment horizontal="left"/>
    </xf>
    <xf numFmtId="10" fontId="8" fillId="0" borderId="16" xfId="1" applyNumberFormat="1" applyFont="1" applyBorder="1" applyAlignment="1">
      <alignment horizontal="center"/>
    </xf>
    <xf numFmtId="170" fontId="4" fillId="0" borderId="16" xfId="1" applyNumberFormat="1" applyFont="1" applyBorder="1" applyAlignment="1">
      <alignment horizontal="center"/>
    </xf>
    <xf numFmtId="9" fontId="4" fillId="0" borderId="16" xfId="1" applyFont="1" applyBorder="1" applyAlignment="1">
      <alignment horizontal="center"/>
    </xf>
    <xf numFmtId="3" fontId="4" fillId="0" borderId="55" xfId="0" applyNumberFormat="1" applyFont="1" applyBorder="1" applyAlignment="1">
      <alignment horizontal="center"/>
    </xf>
    <xf numFmtId="3" fontId="4" fillId="0" borderId="16" xfId="0" applyNumberFormat="1" applyFont="1" applyBorder="1" applyAlignment="1">
      <alignment horizontal="center"/>
    </xf>
    <xf numFmtId="9" fontId="4" fillId="0" borderId="0" xfId="0" applyNumberFormat="1" applyFont="1" applyAlignment="1">
      <alignment horizontal="left"/>
    </xf>
    <xf numFmtId="0" fontId="4" fillId="18" borderId="17" xfId="0" applyFont="1" applyFill="1" applyBorder="1" applyAlignment="1">
      <alignment horizontal="center"/>
    </xf>
    <xf numFmtId="9" fontId="0" fillId="0" borderId="0" xfId="1" applyFont="1" applyBorder="1" applyAlignment="1">
      <alignment horizontal="center"/>
    </xf>
    <xf numFmtId="0" fontId="0" fillId="0" borderId="16" xfId="0" applyBorder="1" applyAlignment="1">
      <alignment horizontal="left"/>
    </xf>
    <xf numFmtId="9" fontId="0" fillId="0" borderId="16" xfId="1" applyFont="1" applyBorder="1" applyAlignment="1">
      <alignment horizontal="center"/>
    </xf>
    <xf numFmtId="3" fontId="0" fillId="0" borderId="55" xfId="0" applyNumberFormat="1" applyBorder="1" applyAlignment="1">
      <alignment horizontal="center"/>
    </xf>
    <xf numFmtId="3" fontId="0" fillId="0" borderId="16" xfId="0" applyNumberFormat="1" applyBorder="1" applyAlignment="1">
      <alignment horizontal="center"/>
    </xf>
    <xf numFmtId="167" fontId="0" fillId="0" borderId="0" xfId="1" applyNumberFormat="1" applyFont="1" applyBorder="1" applyAlignment="1">
      <alignment horizontal="center"/>
    </xf>
    <xf numFmtId="167" fontId="1" fillId="0" borderId="0" xfId="1" applyNumberFormat="1" applyFont="1" applyBorder="1" applyAlignment="1">
      <alignment horizontal="center"/>
    </xf>
    <xf numFmtId="3" fontId="0" fillId="0" borderId="18" xfId="0" applyNumberFormat="1" applyBorder="1" applyAlignment="1">
      <alignment horizontal="center"/>
    </xf>
    <xf numFmtId="167" fontId="0" fillId="0" borderId="16" xfId="1" applyNumberFormat="1" applyFont="1" applyBorder="1" applyAlignment="1">
      <alignment horizontal="center"/>
    </xf>
    <xf numFmtId="167" fontId="1" fillId="0" borderId="16" xfId="1" applyNumberFormat="1" applyFont="1" applyBorder="1" applyAlignment="1">
      <alignment horizontal="center"/>
    </xf>
    <xf numFmtId="167" fontId="0" fillId="0" borderId="16" xfId="1" applyNumberFormat="1" applyFont="1" applyBorder="1"/>
    <xf numFmtId="3" fontId="45" fillId="0" borderId="55" xfId="0" applyNumberFormat="1" applyFont="1" applyBorder="1" applyAlignment="1">
      <alignment horizontal="center"/>
    </xf>
    <xf numFmtId="3" fontId="45" fillId="0" borderId="16" xfId="0" applyNumberFormat="1" applyFont="1" applyBorder="1" applyAlignment="1">
      <alignment horizontal="center"/>
    </xf>
    <xf numFmtId="3" fontId="45" fillId="0" borderId="18" xfId="0" applyNumberFormat="1" applyFont="1" applyBorder="1" applyAlignment="1">
      <alignment horizontal="center"/>
    </xf>
    <xf numFmtId="0" fontId="0" fillId="0" borderId="21" xfId="0" applyBorder="1" applyAlignment="1">
      <alignment horizontal="left"/>
    </xf>
    <xf numFmtId="3" fontId="45" fillId="0" borderId="53" xfId="0" applyNumberFormat="1" applyFont="1" applyBorder="1" applyAlignment="1">
      <alignment horizontal="center"/>
    </xf>
    <xf numFmtId="3" fontId="45" fillId="0" borderId="21" xfId="0" applyNumberFormat="1" applyFont="1" applyBorder="1" applyAlignment="1">
      <alignment horizontal="center"/>
    </xf>
    <xf numFmtId="3" fontId="0" fillId="0" borderId="53" xfId="0" applyNumberFormat="1" applyBorder="1" applyAlignment="1">
      <alignment horizontal="center"/>
    </xf>
    <xf numFmtId="3" fontId="45" fillId="0" borderId="51" xfId="0" applyNumberFormat="1" applyFont="1" applyBorder="1" applyAlignment="1">
      <alignment horizontal="center"/>
    </xf>
    <xf numFmtId="167" fontId="0" fillId="0" borderId="21" xfId="1" applyNumberFormat="1" applyFont="1" applyBorder="1" applyAlignment="1">
      <alignment horizontal="center"/>
    </xf>
    <xf numFmtId="167" fontId="1" fillId="0" borderId="21" xfId="1" applyNumberFormat="1" applyFont="1" applyBorder="1" applyAlignment="1">
      <alignment horizontal="center"/>
    </xf>
    <xf numFmtId="167" fontId="0" fillId="0" borderId="21" xfId="1" applyNumberFormat="1" applyFont="1" applyBorder="1"/>
    <xf numFmtId="3" fontId="4" fillId="0" borderId="18" xfId="0" applyNumberFormat="1" applyFont="1" applyBorder="1" applyAlignment="1">
      <alignment horizontal="center"/>
    </xf>
    <xf numFmtId="0" fontId="27" fillId="0" borderId="0" xfId="0" applyFont="1" applyAlignment="1">
      <alignment horizontal="left" vertical="center" indent="1"/>
    </xf>
    <xf numFmtId="0" fontId="21" fillId="0" borderId="0" xfId="0" applyFont="1" applyAlignment="1">
      <alignment horizontal="center"/>
    </xf>
    <xf numFmtId="166" fontId="0" fillId="0" borderId="0" xfId="0" applyNumberFormat="1" applyAlignment="1">
      <alignment horizontal="center"/>
    </xf>
    <xf numFmtId="9" fontId="0" fillId="6" borderId="4" xfId="1" applyFont="1" applyFill="1" applyBorder="1" applyAlignment="1">
      <alignment horizontal="center" vertical="center"/>
    </xf>
    <xf numFmtId="164" fontId="0" fillId="19" borderId="16" xfId="0" applyNumberFormat="1" applyFill="1" applyBorder="1" applyAlignment="1">
      <alignment horizontal="center"/>
    </xf>
    <xf numFmtId="166" fontId="0" fillId="19" borderId="16" xfId="0" applyNumberFormat="1" applyFill="1" applyBorder="1" applyAlignment="1">
      <alignment horizontal="center"/>
    </xf>
    <xf numFmtId="164" fontId="0" fillId="19" borderId="19" xfId="0" applyNumberFormat="1" applyFill="1" applyBorder="1" applyAlignment="1">
      <alignment horizontal="center"/>
    </xf>
    <xf numFmtId="1" fontId="0" fillId="19" borderId="16" xfId="0" applyNumberFormat="1" applyFill="1" applyBorder="1" applyAlignment="1">
      <alignment horizontal="center"/>
    </xf>
    <xf numFmtId="3" fontId="0" fillId="19" borderId="23" xfId="0" applyNumberFormat="1" applyFill="1" applyBorder="1" applyAlignment="1">
      <alignment horizontal="center"/>
    </xf>
    <xf numFmtId="0" fontId="7" fillId="0" borderId="20" xfId="0" applyFont="1" applyBorder="1"/>
    <xf numFmtId="3" fontId="7" fillId="0" borderId="0" xfId="0" applyNumberFormat="1" applyFont="1" applyAlignment="1">
      <alignment horizontal="center"/>
    </xf>
    <xf numFmtId="9" fontId="7" fillId="0" borderId="0" xfId="1" applyFont="1" applyBorder="1" applyAlignment="1">
      <alignment horizontal="center"/>
    </xf>
    <xf numFmtId="171" fontId="0" fillId="0" borderId="0" xfId="0" applyNumberFormat="1" applyAlignment="1">
      <alignment horizontal="left"/>
    </xf>
    <xf numFmtId="0" fontId="48" fillId="0" borderId="0" xfId="0" applyFont="1"/>
    <xf numFmtId="0" fontId="49" fillId="0" borderId="0" xfId="0" applyFont="1" applyAlignment="1">
      <alignment horizontal="left"/>
    </xf>
    <xf numFmtId="166" fontId="0" fillId="0" borderId="54" xfId="0" applyNumberFormat="1" applyBorder="1" applyAlignment="1">
      <alignment horizontal="center"/>
    </xf>
    <xf numFmtId="0" fontId="48" fillId="0" borderId="0" xfId="0" applyFont="1" applyAlignment="1">
      <alignment horizontal="left" indent="2"/>
    </xf>
    <xf numFmtId="0" fontId="50" fillId="0" borderId="0" xfId="0" applyFont="1" applyAlignment="1">
      <alignment horizontal="right" wrapText="1"/>
    </xf>
    <xf numFmtId="3" fontId="0" fillId="7" borderId="23" xfId="0" applyNumberFormat="1" applyFill="1" applyBorder="1" applyAlignment="1">
      <alignment horizontal="center" vertical="center"/>
    </xf>
    <xf numFmtId="3" fontId="0" fillId="7" borderId="9" xfId="0" applyNumberFormat="1" applyFill="1" applyBorder="1" applyAlignment="1">
      <alignment horizontal="center" vertical="center"/>
    </xf>
    <xf numFmtId="0" fontId="52" fillId="0" borderId="0" xfId="0" applyFont="1"/>
    <xf numFmtId="2" fontId="52" fillId="0" borderId="0" xfId="0" applyNumberFormat="1" applyFont="1"/>
    <xf numFmtId="3" fontId="1" fillId="10" borderId="5" xfId="4" applyBorder="1">
      <alignment horizontal="center" vertical="center"/>
    </xf>
    <xf numFmtId="0" fontId="0" fillId="0" borderId="61" xfId="0" applyBorder="1"/>
    <xf numFmtId="0" fontId="0" fillId="0" borderId="25" xfId="0" applyBorder="1" applyAlignment="1">
      <alignment horizontal="center"/>
    </xf>
    <xf numFmtId="0" fontId="0" fillId="0" borderId="25" xfId="0" applyBorder="1"/>
    <xf numFmtId="0" fontId="0" fillId="0" borderId="62" xfId="0" applyBorder="1"/>
    <xf numFmtId="0" fontId="4" fillId="0" borderId="63" xfId="0" applyFont="1" applyBorder="1" applyAlignment="1">
      <alignment horizontal="right" indent="1"/>
    </xf>
    <xf numFmtId="0" fontId="0" fillId="0" borderId="64" xfId="0" applyBorder="1"/>
    <xf numFmtId="0" fontId="4" fillId="0" borderId="63" xfId="0" applyFont="1" applyBorder="1" applyAlignment="1">
      <alignment horizontal="right"/>
    </xf>
    <xf numFmtId="0" fontId="0" fillId="0" borderId="22" xfId="0" applyBorder="1"/>
    <xf numFmtId="10" fontId="0" fillId="0" borderId="0" xfId="1" applyNumberFormat="1" applyFont="1"/>
    <xf numFmtId="0" fontId="0" fillId="0" borderId="63" xfId="0" applyBorder="1"/>
    <xf numFmtId="0" fontId="0" fillId="0" borderId="65" xfId="0" applyBorder="1"/>
    <xf numFmtId="9" fontId="0" fillId="7" borderId="4" xfId="1" applyFont="1" applyFill="1" applyBorder="1" applyAlignment="1">
      <alignment horizontal="center" vertical="center"/>
    </xf>
    <xf numFmtId="0" fontId="49" fillId="0" borderId="0" xfId="0" applyFont="1" applyAlignment="1">
      <alignment horizontal="right" indent="1"/>
    </xf>
    <xf numFmtId="0" fontId="0" fillId="5" borderId="0" xfId="0" applyFill="1" applyAlignment="1">
      <alignment horizontal="left" vertical="center" wrapText="1"/>
    </xf>
    <xf numFmtId="0" fontId="0" fillId="5" borderId="63" xfId="0" applyFill="1" applyBorder="1"/>
    <xf numFmtId="0" fontId="0" fillId="0" borderId="0" xfId="0" applyAlignment="1">
      <alignment vertical="center"/>
    </xf>
    <xf numFmtId="0" fontId="0" fillId="0" borderId="20" xfId="0" applyBorder="1" applyAlignment="1">
      <alignment vertical="center"/>
    </xf>
    <xf numFmtId="0" fontId="48" fillId="0" borderId="0" xfId="0" applyFont="1" applyAlignment="1">
      <alignment horizontal="left" indent="1"/>
    </xf>
    <xf numFmtId="0" fontId="48" fillId="0" borderId="0" xfId="0" applyFont="1" applyAlignment="1">
      <alignment horizontal="left" wrapText="1" indent="1"/>
    </xf>
    <xf numFmtId="0" fontId="48" fillId="0" borderId="64" xfId="0" applyFont="1" applyBorder="1" applyAlignment="1">
      <alignment horizontal="left" wrapText="1" indent="1"/>
    </xf>
    <xf numFmtId="0" fontId="12" fillId="0" borderId="0" xfId="0" applyFont="1" applyAlignment="1">
      <alignment horizontal="left"/>
    </xf>
    <xf numFmtId="10" fontId="1" fillId="10" borderId="7" xfId="1" applyNumberFormat="1" applyFill="1" applyBorder="1" applyAlignment="1">
      <alignment horizontal="center" vertical="center"/>
    </xf>
    <xf numFmtId="0" fontId="4" fillId="0" borderId="0" xfId="0" applyFont="1" applyAlignment="1">
      <alignment horizontal="center" wrapText="1"/>
    </xf>
    <xf numFmtId="0" fontId="54" fillId="12" borderId="0" xfId="6" applyFont="1" applyFill="1"/>
    <xf numFmtId="0" fontId="54" fillId="0" borderId="0" xfId="6" applyFont="1"/>
    <xf numFmtId="0" fontId="54" fillId="0" borderId="22" xfId="6" applyFont="1" applyBorder="1"/>
    <xf numFmtId="1" fontId="54" fillId="0" borderId="22" xfId="6" applyNumberFormat="1" applyFont="1" applyBorder="1"/>
    <xf numFmtId="0" fontId="55" fillId="0" borderId="0" xfId="0" applyFont="1" applyAlignment="1">
      <alignment horizontal="left"/>
    </xf>
    <xf numFmtId="0" fontId="58" fillId="0" borderId="0" xfId="0" applyFont="1"/>
    <xf numFmtId="3" fontId="58" fillId="7" borderId="4" xfId="0" applyNumberFormat="1" applyFont="1" applyFill="1" applyBorder="1" applyAlignment="1">
      <alignment horizontal="center" vertical="center"/>
    </xf>
    <xf numFmtId="0" fontId="58" fillId="6" borderId="4" xfId="0" applyFont="1" applyFill="1" applyBorder="1" applyAlignment="1">
      <alignment horizontal="center" vertical="center"/>
    </xf>
    <xf numFmtId="3" fontId="58" fillId="10" borderId="4" xfId="4" applyFont="1">
      <alignment horizontal="center" vertical="center"/>
    </xf>
    <xf numFmtId="0" fontId="22" fillId="0" borderId="6" xfId="0" applyFont="1" applyBorder="1" applyAlignment="1" applyProtection="1">
      <alignment vertical="center"/>
      <protection hidden="1"/>
    </xf>
    <xf numFmtId="0" fontId="2" fillId="7" borderId="1" xfId="2" applyFill="1"/>
    <xf numFmtId="0" fontId="31" fillId="0" borderId="23" xfId="0" applyFont="1" applyBorder="1"/>
    <xf numFmtId="4" fontId="31" fillId="0" borderId="23" xfId="0" applyNumberFormat="1" applyFont="1" applyBorder="1"/>
    <xf numFmtId="4" fontId="31" fillId="0" borderId="23" xfId="0" applyNumberFormat="1" applyFont="1" applyBorder="1" applyAlignment="1">
      <alignment horizontal="left" indent="2"/>
    </xf>
    <xf numFmtId="0" fontId="31" fillId="0" borderId="0" xfId="0" applyFont="1"/>
    <xf numFmtId="0" fontId="41" fillId="0" borderId="0" xfId="0" applyFont="1" applyAlignment="1">
      <alignment horizontal="center"/>
    </xf>
    <xf numFmtId="0" fontId="31" fillId="0" borderId="23" xfId="0" applyFont="1" applyBorder="1" applyAlignment="1">
      <alignment horizontal="center"/>
    </xf>
    <xf numFmtId="1" fontId="0" fillId="0" borderId="23" xfId="0" applyNumberFormat="1" applyBorder="1" applyAlignment="1">
      <alignment horizontal="center"/>
    </xf>
    <xf numFmtId="0" fontId="63" fillId="0" borderId="23" xfId="0" applyFont="1" applyBorder="1" applyAlignment="1">
      <alignment vertical="center" readingOrder="1"/>
    </xf>
    <xf numFmtId="0" fontId="34" fillId="0" borderId="23" xfId="0" applyFont="1" applyBorder="1" applyAlignment="1">
      <alignment vertical="center" readingOrder="1"/>
    </xf>
    <xf numFmtId="1" fontId="34" fillId="0" borderId="23" xfId="0" applyNumberFormat="1" applyFont="1" applyBorder="1" applyAlignment="1">
      <alignment horizontal="center"/>
    </xf>
    <xf numFmtId="0" fontId="30" fillId="0" borderId="23" xfId="0" applyFont="1" applyBorder="1"/>
    <xf numFmtId="1" fontId="30" fillId="0" borderId="23" xfId="0" applyNumberFormat="1" applyFont="1" applyBorder="1" applyAlignment="1">
      <alignment horizontal="center"/>
    </xf>
    <xf numFmtId="0" fontId="41" fillId="0" borderId="0" xfId="0" applyFont="1"/>
    <xf numFmtId="1" fontId="31" fillId="0" borderId="0" xfId="0" applyNumberFormat="1" applyFont="1" applyAlignment="1">
      <alignment horizontal="center"/>
    </xf>
    <xf numFmtId="0" fontId="33" fillId="8" borderId="31" xfId="0" applyFont="1" applyFill="1" applyBorder="1" applyAlignment="1">
      <alignment horizontal="center" vertical="center"/>
    </xf>
    <xf numFmtId="0" fontId="33" fillId="8" borderId="32" xfId="0" applyFont="1" applyFill="1" applyBorder="1" applyAlignment="1">
      <alignment horizontal="center" vertical="center"/>
    </xf>
    <xf numFmtId="0" fontId="33" fillId="8" borderId="33" xfId="0" applyFont="1" applyFill="1" applyBorder="1" applyAlignment="1">
      <alignment horizontal="center" vertical="center"/>
    </xf>
    <xf numFmtId="0" fontId="31" fillId="0" borderId="0" xfId="17" applyFont="1"/>
    <xf numFmtId="172" fontId="66" fillId="0" borderId="0" xfId="17" applyNumberFormat="1" applyFont="1"/>
    <xf numFmtId="164" fontId="66" fillId="0" borderId="0" xfId="17" applyNumberFormat="1" applyFont="1"/>
    <xf numFmtId="11" fontId="66" fillId="0" borderId="0" xfId="17" applyNumberFormat="1" applyFont="1"/>
    <xf numFmtId="1" fontId="66" fillId="0" borderId="0" xfId="17" applyNumberFormat="1" applyFont="1"/>
    <xf numFmtId="0" fontId="66" fillId="0" borderId="0" xfId="17" applyFont="1"/>
    <xf numFmtId="0" fontId="66" fillId="5" borderId="23" xfId="17" applyFont="1" applyFill="1" applyBorder="1" applyAlignment="1">
      <alignment horizontal="center"/>
    </xf>
    <xf numFmtId="164" fontId="66" fillId="0" borderId="23" xfId="17" applyNumberFormat="1" applyFont="1" applyBorder="1" applyAlignment="1">
      <alignment horizontal="center"/>
    </xf>
    <xf numFmtId="0" fontId="31" fillId="0" borderId="0" xfId="17" applyFont="1" applyAlignment="1">
      <alignment horizontal="center"/>
    </xf>
    <xf numFmtId="172" fontId="66" fillId="5" borderId="23" xfId="17" applyNumberFormat="1" applyFont="1" applyFill="1" applyBorder="1" applyAlignment="1">
      <alignment horizontal="center"/>
    </xf>
    <xf numFmtId="172" fontId="66" fillId="0" borderId="23" xfId="17" applyNumberFormat="1" applyFont="1" applyBorder="1" applyAlignment="1">
      <alignment horizontal="center"/>
    </xf>
    <xf numFmtId="11" fontId="66" fillId="5" borderId="23" xfId="17" applyNumberFormat="1" applyFont="1" applyFill="1" applyBorder="1" applyAlignment="1">
      <alignment horizontal="center"/>
    </xf>
    <xf numFmtId="11" fontId="66" fillId="0" borderId="23" xfId="17" applyNumberFormat="1" applyFont="1" applyBorder="1" applyAlignment="1">
      <alignment horizontal="center"/>
    </xf>
    <xf numFmtId="1" fontId="66" fillId="0" borderId="23" xfId="17" applyNumberFormat="1" applyFont="1" applyBorder="1" applyAlignment="1">
      <alignment horizontal="center"/>
    </xf>
    <xf numFmtId="0" fontId="66" fillId="0" borderId="23" xfId="17" applyFont="1" applyBorder="1" applyAlignment="1">
      <alignment horizontal="center"/>
    </xf>
    <xf numFmtId="0" fontId="33" fillId="8" borderId="23" xfId="0" applyFont="1" applyFill="1" applyBorder="1"/>
    <xf numFmtId="0" fontId="31" fillId="8" borderId="23" xfId="0" applyFont="1" applyFill="1" applyBorder="1"/>
    <xf numFmtId="0" fontId="41" fillId="0" borderId="23" xfId="0" applyFont="1" applyBorder="1"/>
    <xf numFmtId="0" fontId="41" fillId="0" borderId="23" xfId="0" applyFont="1" applyBorder="1" applyAlignment="1">
      <alignment horizontal="center"/>
    </xf>
    <xf numFmtId="1" fontId="31" fillId="0" borderId="23" xfId="0" applyNumberFormat="1" applyFont="1" applyBorder="1" applyAlignment="1">
      <alignment horizontal="center"/>
    </xf>
    <xf numFmtId="3" fontId="31" fillId="0" borderId="23" xfId="0" applyNumberFormat="1" applyFont="1" applyBorder="1" applyAlignment="1">
      <alignment horizontal="center"/>
    </xf>
    <xf numFmtId="1" fontId="31" fillId="0" borderId="66" xfId="0" applyNumberFormat="1" applyFont="1" applyBorder="1" applyAlignment="1">
      <alignment horizontal="center"/>
    </xf>
    <xf numFmtId="1" fontId="31" fillId="0" borderId="23" xfId="0" applyNumberFormat="1" applyFont="1" applyBorder="1" applyAlignment="1">
      <alignment horizontal="left"/>
    </xf>
    <xf numFmtId="1" fontId="16" fillId="0" borderId="24" xfId="6" applyNumberFormat="1" applyFont="1" applyBorder="1" applyAlignment="1">
      <alignment horizontal="center"/>
    </xf>
    <xf numFmtId="1" fontId="12" fillId="0" borderId="24" xfId="6" applyNumberFormat="1" applyBorder="1" applyAlignment="1">
      <alignment horizontal="center"/>
    </xf>
    <xf numFmtId="1" fontId="16" fillId="0" borderId="0" xfId="6" applyNumberFormat="1" applyFont="1" applyAlignment="1">
      <alignment horizontal="center"/>
    </xf>
    <xf numFmtId="1" fontId="54" fillId="12" borderId="0" xfId="6" applyNumberFormat="1" applyFont="1" applyFill="1" applyAlignment="1">
      <alignment horizontal="center"/>
    </xf>
    <xf numFmtId="1" fontId="54" fillId="0" borderId="0" xfId="6" applyNumberFormat="1" applyFont="1" applyAlignment="1">
      <alignment horizontal="center"/>
    </xf>
    <xf numFmtId="1" fontId="54" fillId="0" borderId="22" xfId="6" applyNumberFormat="1" applyFont="1" applyBorder="1" applyAlignment="1">
      <alignment horizontal="center"/>
    </xf>
    <xf numFmtId="3" fontId="12" fillId="0" borderId="0" xfId="6" applyNumberFormat="1" applyAlignment="1">
      <alignment horizontal="center"/>
    </xf>
    <xf numFmtId="0" fontId="4" fillId="0" borderId="0" xfId="0" applyFont="1" applyAlignment="1">
      <alignment horizontal="right" vertical="center" wrapText="1" indent="1"/>
    </xf>
    <xf numFmtId="9" fontId="0" fillId="6" borderId="13" xfId="0" applyNumberFormat="1" applyFill="1" applyBorder="1" applyAlignment="1">
      <alignment horizontal="center" vertical="center"/>
    </xf>
    <xf numFmtId="10" fontId="0" fillId="6" borderId="13" xfId="1" applyNumberFormat="1" applyFont="1" applyFill="1" applyBorder="1" applyAlignment="1">
      <alignment horizontal="center"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10" fontId="0" fillId="6" borderId="4" xfId="0" applyNumberFormat="1" applyFill="1" applyBorder="1" applyAlignment="1">
      <alignment horizontal="center" vertical="center"/>
    </xf>
    <xf numFmtId="0" fontId="7" fillId="4" borderId="4" xfId="0" applyFont="1" applyFill="1" applyBorder="1" applyAlignment="1">
      <alignment horizontal="center"/>
    </xf>
    <xf numFmtId="0" fontId="0" fillId="0" borderId="0" xfId="0" applyAlignment="1">
      <alignment horizontal="center" wrapText="1"/>
    </xf>
    <xf numFmtId="0" fontId="4" fillId="0" borderId="0" xfId="0" applyFont="1" applyAlignment="1">
      <alignment horizontal="right" vertical="center" indent="1"/>
    </xf>
    <xf numFmtId="165" fontId="2" fillId="7" borderId="4" xfId="2" applyNumberFormat="1" applyFill="1" applyBorder="1" applyAlignment="1">
      <alignment horizontal="center" vertical="center"/>
    </xf>
    <xf numFmtId="10" fontId="1" fillId="7" borderId="4" xfId="1" applyNumberFormat="1" applyFill="1" applyBorder="1" applyAlignment="1">
      <alignment horizontal="center" vertical="center"/>
    </xf>
    <xf numFmtId="0" fontId="4" fillId="0" borderId="63" xfId="0" applyFont="1" applyBorder="1" applyAlignment="1">
      <alignment horizontal="right" vertical="center" wrapText="1" indent="1"/>
    </xf>
    <xf numFmtId="0" fontId="7" fillId="0" borderId="0" xfId="0" applyFont="1" applyAlignment="1">
      <alignment horizontal="right" vertical="center" indent="1"/>
    </xf>
    <xf numFmtId="1" fontId="10" fillId="5" borderId="0" xfId="0" applyNumberFormat="1" applyFont="1" applyFill="1" applyAlignment="1">
      <alignment horizontal="left"/>
    </xf>
    <xf numFmtId="0" fontId="4" fillId="0" borderId="23" xfId="0" applyFont="1" applyBorder="1" applyAlignment="1">
      <alignment horizontal="center" wrapText="1"/>
    </xf>
    <xf numFmtId="0" fontId="0" fillId="0" borderId="23" xfId="0" applyBorder="1" applyAlignment="1">
      <alignment horizontal="center"/>
    </xf>
    <xf numFmtId="0" fontId="37" fillId="16" borderId="26" xfId="17" applyFont="1" applyFill="1" applyBorder="1" applyAlignment="1">
      <alignment horizontal="right" vertical="center" indent="3"/>
    </xf>
    <xf numFmtId="4" fontId="22" fillId="12" borderId="26" xfId="17" applyNumberFormat="1" applyFont="1" applyFill="1" applyBorder="1" applyAlignment="1">
      <alignment horizontal="center" vertical="center"/>
    </xf>
    <xf numFmtId="9" fontId="22" fillId="12" borderId="26" xfId="1" applyFont="1" applyFill="1" applyBorder="1" applyAlignment="1" applyProtection="1">
      <alignment horizontal="center" vertical="center"/>
    </xf>
    <xf numFmtId="0" fontId="64" fillId="16" borderId="6" xfId="0" applyFont="1" applyFill="1" applyBorder="1" applyAlignment="1" applyProtection="1">
      <alignment horizontal="center" vertical="center"/>
      <protection hidden="1"/>
    </xf>
    <xf numFmtId="0" fontId="67" fillId="0" borderId="6" xfId="0" applyFont="1" applyBorder="1" applyAlignment="1" applyProtection="1">
      <alignment horizontal="left" vertical="center" indent="1"/>
      <protection hidden="1"/>
    </xf>
    <xf numFmtId="0" fontId="68" fillId="0" borderId="0" xfId="0" applyFont="1" applyAlignment="1" applyProtection="1">
      <alignment horizontal="left" vertical="center"/>
      <protection hidden="1"/>
    </xf>
    <xf numFmtId="0" fontId="69" fillId="0" borderId="0" xfId="0" applyFont="1" applyAlignment="1">
      <alignment horizontal="left" indent="2"/>
    </xf>
    <xf numFmtId="0" fontId="69" fillId="0" borderId="0" xfId="0" applyFont="1"/>
    <xf numFmtId="0" fontId="0" fillId="0" borderId="63" xfId="0" applyBorder="1" applyAlignment="1">
      <alignment vertical="center"/>
    </xf>
    <xf numFmtId="0" fontId="7" fillId="0" borderId="0" xfId="0" applyFont="1" applyAlignment="1">
      <alignment horizontal="right" vertical="center"/>
    </xf>
    <xf numFmtId="0" fontId="37" fillId="16" borderId="26" xfId="17" applyFont="1" applyFill="1" applyBorder="1" applyAlignment="1">
      <alignment horizontal="right" vertical="center" indent="1"/>
    </xf>
    <xf numFmtId="0" fontId="4" fillId="0" borderId="0" xfId="0" applyFont="1" applyAlignment="1">
      <alignment horizontal="right" vertical="center" indent="2"/>
    </xf>
    <xf numFmtId="0" fontId="51" fillId="9" borderId="4" xfId="3" applyFont="1" applyBorder="1" applyAlignment="1">
      <alignment horizontal="center" vertical="center"/>
    </xf>
    <xf numFmtId="0" fontId="70" fillId="3" borderId="3" xfId="0" applyFont="1" applyFill="1" applyBorder="1" applyAlignment="1">
      <alignment horizontal="center" vertical="center"/>
    </xf>
    <xf numFmtId="0" fontId="65" fillId="0" borderId="3" xfId="0" applyFont="1" applyBorder="1" applyAlignment="1">
      <alignment horizontal="left" vertical="center" indent="1"/>
    </xf>
    <xf numFmtId="0" fontId="58" fillId="0" borderId="3" xfId="0" applyFont="1" applyBorder="1"/>
    <xf numFmtId="0" fontId="65" fillId="18" borderId="3" xfId="0" applyFont="1" applyFill="1" applyBorder="1" applyAlignment="1">
      <alignment horizontal="center" vertical="center"/>
    </xf>
    <xf numFmtId="0" fontId="2" fillId="7" borderId="4" xfId="2" applyFill="1" applyBorder="1" applyAlignment="1">
      <alignment horizontal="center" vertical="center"/>
    </xf>
    <xf numFmtId="0" fontId="2" fillId="7" borderId="1" xfId="2" applyFill="1" applyAlignment="1">
      <alignment horizontal="center"/>
    </xf>
    <xf numFmtId="0" fontId="0" fillId="0" borderId="0" xfId="0" applyAlignment="1">
      <alignment horizontal="left" indent="1"/>
    </xf>
    <xf numFmtId="0" fontId="71" fillId="0" borderId="3" xfId="0" applyFont="1" applyBorder="1" applyAlignment="1">
      <alignment horizontal="left" vertical="center" indent="1"/>
    </xf>
    <xf numFmtId="0" fontId="72" fillId="3" borderId="3" xfId="0" applyFont="1" applyFill="1" applyBorder="1" applyAlignment="1">
      <alignment horizontal="center" vertical="center"/>
    </xf>
    <xf numFmtId="0" fontId="73" fillId="0" borderId="6" xfId="0" applyFont="1" applyBorder="1" applyAlignment="1" applyProtection="1">
      <alignment horizontal="left" vertical="center" indent="1"/>
      <protection hidden="1"/>
    </xf>
    <xf numFmtId="0" fontId="74" fillId="16" borderId="6" xfId="0" applyFont="1" applyFill="1" applyBorder="1" applyAlignment="1" applyProtection="1">
      <alignment horizontal="center" vertical="top"/>
      <protection hidden="1"/>
    </xf>
    <xf numFmtId="3" fontId="4" fillId="19" borderId="0" xfId="0" applyNumberFormat="1" applyFont="1" applyFill="1" applyAlignment="1">
      <alignment horizontal="center"/>
    </xf>
    <xf numFmtId="3" fontId="4" fillId="19" borderId="53" xfId="0" applyNumberFormat="1" applyFont="1" applyFill="1" applyBorder="1" applyAlignment="1">
      <alignment horizontal="center"/>
    </xf>
    <xf numFmtId="9" fontId="52" fillId="19" borderId="54" xfId="1" applyFont="1" applyFill="1" applyBorder="1" applyAlignment="1">
      <alignment horizontal="center"/>
    </xf>
    <xf numFmtId="3" fontId="4" fillId="19" borderId="54" xfId="0" applyNumberFormat="1" applyFont="1" applyFill="1" applyBorder="1" applyAlignment="1">
      <alignment horizontal="center"/>
    </xf>
    <xf numFmtId="3" fontId="45" fillId="19" borderId="0" xfId="0" applyNumberFormat="1" applyFont="1" applyFill="1" applyAlignment="1">
      <alignment horizontal="center"/>
    </xf>
    <xf numFmtId="3" fontId="45" fillId="19" borderId="54" xfId="0" applyNumberFormat="1" applyFont="1" applyFill="1" applyBorder="1" applyAlignment="1">
      <alignment horizontal="center"/>
    </xf>
    <xf numFmtId="167" fontId="22" fillId="12" borderId="26" xfId="1" applyNumberFormat="1" applyFont="1" applyFill="1" applyBorder="1" applyAlignment="1" applyProtection="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36" fillId="5" borderId="0" xfId="9" applyFont="1" applyFill="1" applyAlignment="1">
      <alignment vertical="center"/>
    </xf>
    <xf numFmtId="0" fontId="56" fillId="0" borderId="0" xfId="0" applyFont="1"/>
    <xf numFmtId="0" fontId="57" fillId="16" borderId="37" xfId="9" applyFont="1" applyFill="1" applyBorder="1" applyAlignment="1">
      <alignment horizontal="left" vertical="center" wrapText="1" indent="3"/>
    </xf>
    <xf numFmtId="0" fontId="51" fillId="16" borderId="38" xfId="9" applyFont="1" applyFill="1" applyBorder="1" applyAlignment="1">
      <alignment horizontal="left" vertical="center" wrapText="1" indent="1"/>
    </xf>
    <xf numFmtId="0" fontId="18" fillId="20" borderId="38" xfId="9" applyFont="1" applyFill="1" applyBorder="1" applyAlignment="1">
      <alignment horizontal="left" vertical="center" wrapText="1"/>
    </xf>
    <xf numFmtId="0" fontId="57" fillId="16" borderId="39" xfId="9" quotePrefix="1" applyFont="1" applyFill="1" applyBorder="1" applyAlignment="1">
      <alignment horizontal="left" vertical="center" wrapText="1" indent="3"/>
    </xf>
    <xf numFmtId="0" fontId="57" fillId="16" borderId="60" xfId="9" applyFont="1" applyFill="1" applyBorder="1" applyAlignment="1">
      <alignment horizontal="left" vertical="center" wrapText="1" indent="3"/>
    </xf>
    <xf numFmtId="0" fontId="37" fillId="5" borderId="0" xfId="0" applyFont="1" applyFill="1" applyAlignment="1">
      <alignment horizontal="center" vertical="center" wrapText="1"/>
    </xf>
    <xf numFmtId="0" fontId="36" fillId="5" borderId="35" xfId="9" applyFont="1" applyFill="1" applyBorder="1" applyAlignment="1">
      <alignment vertical="center"/>
    </xf>
    <xf numFmtId="0" fontId="37" fillId="5" borderId="0" xfId="0" applyFont="1" applyFill="1" applyAlignment="1">
      <alignment horizontal="left" vertical="center" wrapText="1"/>
    </xf>
    <xf numFmtId="0" fontId="36" fillId="5" borderId="35" xfId="0" applyFont="1" applyFill="1" applyBorder="1" applyAlignment="1">
      <alignment vertical="center"/>
    </xf>
    <xf numFmtId="0" fontId="38" fillId="5" borderId="35" xfId="9" applyFont="1" applyFill="1" applyBorder="1" applyAlignment="1">
      <alignment vertical="center"/>
    </xf>
    <xf numFmtId="0" fontId="40" fillId="16" borderId="37" xfId="9" applyFont="1" applyFill="1" applyBorder="1" applyAlignment="1">
      <alignment horizontal="center" vertical="center"/>
    </xf>
    <xf numFmtId="0" fontId="39" fillId="16" borderId="39" xfId="9" quotePrefix="1" applyFont="1" applyFill="1" applyBorder="1" applyAlignment="1">
      <alignment horizontal="center" vertical="center"/>
    </xf>
    <xf numFmtId="0" fontId="7" fillId="4" borderId="34" xfId="0" applyFont="1" applyFill="1" applyBorder="1" applyAlignment="1">
      <alignment horizontal="left"/>
    </xf>
    <xf numFmtId="0" fontId="12" fillId="5" borderId="0" xfId="6" applyFill="1"/>
    <xf numFmtId="0" fontId="31" fillId="0" borderId="0" xfId="6" applyFont="1"/>
    <xf numFmtId="0" fontId="42" fillId="7" borderId="1" xfId="2" applyFont="1" applyFill="1" applyAlignment="1" applyProtection="1">
      <alignment horizontal="right"/>
    </xf>
    <xf numFmtId="1" fontId="31" fillId="0" borderId="0" xfId="6" applyNumberFormat="1" applyFont="1"/>
    <xf numFmtId="0" fontId="32" fillId="0" borderId="0" xfId="6" applyFont="1"/>
    <xf numFmtId="0" fontId="42" fillId="7" borderId="1" xfId="2" applyFont="1" applyFill="1" applyProtection="1"/>
    <xf numFmtId="0" fontId="26" fillId="0" borderId="0" xfId="6" applyFont="1"/>
    <xf numFmtId="9" fontId="31" fillId="0" borderId="0" xfId="7" applyFont="1" applyProtection="1"/>
    <xf numFmtId="167" fontId="12" fillId="0" borderId="0" xfId="1" applyNumberFormat="1" applyFont="1" applyProtection="1"/>
    <xf numFmtId="0" fontId="31" fillId="5" borderId="0" xfId="6" applyFont="1" applyFill="1"/>
    <xf numFmtId="0" fontId="26" fillId="5" borderId="0" xfId="6" applyFont="1" applyFill="1"/>
    <xf numFmtId="1" fontId="31" fillId="5" borderId="0" xfId="6" applyNumberFormat="1" applyFont="1" applyFill="1"/>
    <xf numFmtId="9" fontId="31" fillId="5" borderId="0" xfId="7" applyFont="1" applyFill="1" applyProtection="1"/>
    <xf numFmtId="167" fontId="12" fillId="5" borderId="0" xfId="1" applyNumberFormat="1" applyFont="1" applyFill="1" applyProtection="1"/>
    <xf numFmtId="0" fontId="43" fillId="0" borderId="0" xfId="6" applyFont="1"/>
    <xf numFmtId="1" fontId="44" fillId="0" borderId="20" xfId="8" quotePrefix="1" applyNumberFormat="1" applyFont="1" applyBorder="1" applyAlignment="1">
      <alignment horizontal="center"/>
    </xf>
    <xf numFmtId="1" fontId="44" fillId="0" borderId="0" xfId="8" quotePrefix="1" applyNumberFormat="1" applyFont="1" applyAlignment="1">
      <alignment horizontal="center"/>
    </xf>
    <xf numFmtId="1" fontId="19" fillId="0" borderId="0" xfId="8" quotePrefix="1" applyNumberFormat="1" applyFont="1" applyAlignment="1">
      <alignment horizontal="center"/>
    </xf>
    <xf numFmtId="0" fontId="43" fillId="0" borderId="0" xfId="6" applyFont="1" applyAlignment="1">
      <alignment horizontal="right"/>
    </xf>
    <xf numFmtId="167" fontId="41" fillId="0" borderId="0" xfId="1" applyNumberFormat="1" applyFont="1" applyProtection="1"/>
    <xf numFmtId="0" fontId="34" fillId="0" borderId="0" xfId="6" applyFont="1"/>
    <xf numFmtId="0" fontId="33" fillId="11" borderId="26" xfId="6" applyFont="1" applyFill="1" applyBorder="1"/>
    <xf numFmtId="0" fontId="17" fillId="11" borderId="26" xfId="6" applyFont="1" applyFill="1" applyBorder="1"/>
    <xf numFmtId="1" fontId="33" fillId="11" borderId="27" xfId="6" applyNumberFormat="1" applyFont="1" applyFill="1" applyBorder="1" applyAlignment="1">
      <alignment horizontal="center"/>
    </xf>
    <xf numFmtId="1" fontId="33" fillId="11" borderId="26" xfId="6" applyNumberFormat="1" applyFont="1" applyFill="1" applyBorder="1" applyAlignment="1">
      <alignment horizontal="center"/>
    </xf>
    <xf numFmtId="167" fontId="33" fillId="11" borderId="26" xfId="1" applyNumberFormat="1" applyFont="1" applyFill="1" applyBorder="1" applyAlignment="1" applyProtection="1">
      <alignment horizontal="center"/>
    </xf>
    <xf numFmtId="0" fontId="31" fillId="0" borderId="22" xfId="6" applyFont="1" applyBorder="1"/>
    <xf numFmtId="0" fontId="30" fillId="0" borderId="22" xfId="6" applyFont="1" applyBorder="1"/>
    <xf numFmtId="1" fontId="30" fillId="0" borderId="22" xfId="6" applyNumberFormat="1" applyFont="1" applyBorder="1" applyAlignment="1">
      <alignment horizontal="center"/>
    </xf>
    <xf numFmtId="167" fontId="30" fillId="0" borderId="22" xfId="1" applyNumberFormat="1" applyFont="1" applyBorder="1" applyAlignment="1" applyProtection="1">
      <alignment horizontal="center"/>
    </xf>
    <xf numFmtId="0" fontId="31" fillId="0" borderId="24" xfId="6" applyFont="1" applyBorder="1"/>
    <xf numFmtId="0" fontId="30" fillId="0" borderId="24" xfId="6" applyFont="1" applyBorder="1"/>
    <xf numFmtId="9" fontId="29" fillId="0" borderId="0" xfId="1" applyFont="1" applyProtection="1"/>
    <xf numFmtId="9" fontId="30" fillId="0" borderId="0" xfId="1" applyFont="1" applyProtection="1"/>
    <xf numFmtId="9" fontId="29" fillId="0" borderId="20" xfId="1" applyFont="1" applyBorder="1" applyAlignment="1" applyProtection="1">
      <alignment horizontal="center"/>
    </xf>
    <xf numFmtId="9" fontId="29" fillId="0" borderId="0" xfId="1" applyFont="1" applyBorder="1" applyAlignment="1" applyProtection="1">
      <alignment horizontal="center"/>
    </xf>
    <xf numFmtId="167" fontId="29" fillId="0" borderId="0" xfId="1" applyNumberFormat="1" applyFont="1" applyBorder="1" applyAlignment="1" applyProtection="1">
      <alignment horizontal="center"/>
    </xf>
    <xf numFmtId="0" fontId="29" fillId="0" borderId="0" xfId="6" applyFont="1"/>
    <xf numFmtId="0" fontId="30" fillId="0" borderId="0" xfId="6" applyFont="1"/>
    <xf numFmtId="1" fontId="29" fillId="0" borderId="20" xfId="6" applyNumberFormat="1" applyFont="1" applyBorder="1" applyAlignment="1">
      <alignment horizontal="center"/>
    </xf>
    <xf numFmtId="1" fontId="29" fillId="0" borderId="0" xfId="6" applyNumberFormat="1" applyFont="1" applyAlignment="1">
      <alignment horizontal="center"/>
    </xf>
    <xf numFmtId="0" fontId="30" fillId="0" borderId="25" xfId="6" applyFont="1" applyBorder="1"/>
    <xf numFmtId="1" fontId="30" fillId="0" borderId="29" xfId="6" applyNumberFormat="1" applyFont="1" applyBorder="1" applyAlignment="1">
      <alignment horizontal="center"/>
    </xf>
    <xf numFmtId="1" fontId="30" fillId="0" borderId="25" xfId="6" applyNumberFormat="1" applyFont="1" applyBorder="1" applyAlignment="1">
      <alignment horizontal="center"/>
    </xf>
    <xf numFmtId="167" fontId="30" fillId="0" borderId="25" xfId="1" applyNumberFormat="1" applyFont="1" applyBorder="1" applyAlignment="1" applyProtection="1">
      <alignment horizontal="center"/>
    </xf>
    <xf numFmtId="1" fontId="30" fillId="0" borderId="0" xfId="6" applyNumberFormat="1" applyFont="1" applyAlignment="1">
      <alignment horizontal="center"/>
    </xf>
    <xf numFmtId="167" fontId="30" fillId="0" borderId="0" xfId="1" applyNumberFormat="1" applyFont="1" applyBorder="1" applyAlignment="1" applyProtection="1">
      <alignment horizontal="center"/>
    </xf>
    <xf numFmtId="1" fontId="30" fillId="0" borderId="28" xfId="6" applyNumberFormat="1" applyFont="1" applyBorder="1" applyAlignment="1">
      <alignment horizontal="center"/>
    </xf>
    <xf numFmtId="0" fontId="29" fillId="0" borderId="25" xfId="6" applyFont="1" applyBorder="1"/>
    <xf numFmtId="2" fontId="30" fillId="0" borderId="29" xfId="6" applyNumberFormat="1" applyFont="1" applyBorder="1" applyAlignment="1">
      <alignment horizontal="center"/>
    </xf>
    <xf numFmtId="2" fontId="30" fillId="0" borderId="25" xfId="6" applyNumberFormat="1" applyFont="1" applyBorder="1" applyAlignment="1">
      <alignment horizontal="center"/>
    </xf>
    <xf numFmtId="1" fontId="30" fillId="0" borderId="20" xfId="6" applyNumberFormat="1" applyFont="1" applyBorder="1" applyAlignment="1">
      <alignment horizontal="center"/>
    </xf>
    <xf numFmtId="0" fontId="30" fillId="0" borderId="21" xfId="6" applyFont="1" applyBorder="1"/>
    <xf numFmtId="1" fontId="30" fillId="0" borderId="21" xfId="6" applyNumberFormat="1" applyFont="1" applyBorder="1" applyAlignment="1">
      <alignment horizontal="center"/>
    </xf>
    <xf numFmtId="167" fontId="30" fillId="0" borderId="21" xfId="1" applyNumberFormat="1" applyFont="1" applyBorder="1" applyAlignment="1" applyProtection="1">
      <alignment horizontal="center"/>
    </xf>
    <xf numFmtId="9" fontId="29" fillId="0" borderId="25" xfId="1" applyFont="1" applyBorder="1" applyProtection="1"/>
    <xf numFmtId="164" fontId="30" fillId="0" borderId="25" xfId="6" applyNumberFormat="1" applyFont="1" applyBorder="1" applyAlignment="1">
      <alignment horizontal="center"/>
    </xf>
    <xf numFmtId="0" fontId="29" fillId="0" borderId="22" xfId="6" applyFont="1" applyBorder="1"/>
    <xf numFmtId="1" fontId="29" fillId="0" borderId="28" xfId="6" applyNumberFormat="1" applyFont="1" applyBorder="1" applyAlignment="1">
      <alignment horizontal="center"/>
    </xf>
    <xf numFmtId="1" fontId="29" fillId="0" borderId="22" xfId="6" applyNumberFormat="1" applyFont="1" applyBorder="1" applyAlignment="1">
      <alignment horizontal="center"/>
    </xf>
    <xf numFmtId="0" fontId="33" fillId="14" borderId="26" xfId="6" applyFont="1" applyFill="1" applyBorder="1"/>
    <xf numFmtId="0" fontId="33" fillId="14" borderId="26" xfId="6" applyFont="1" applyFill="1" applyBorder="1" applyAlignment="1">
      <alignment horizontal="center"/>
    </xf>
    <xf numFmtId="167" fontId="33" fillId="14" borderId="26" xfId="1" applyNumberFormat="1" applyFont="1" applyFill="1" applyBorder="1" applyAlignment="1" applyProtection="1">
      <alignment horizontal="center"/>
    </xf>
    <xf numFmtId="0" fontId="30" fillId="0" borderId="45" xfId="6" applyFont="1" applyBorder="1"/>
    <xf numFmtId="0" fontId="30" fillId="0" borderId="44" xfId="6" applyFont="1" applyBorder="1"/>
    <xf numFmtId="0" fontId="30" fillId="0" borderId="43" xfId="6" applyFont="1" applyBorder="1"/>
    <xf numFmtId="164" fontId="30" fillId="0" borderId="28" xfId="6" applyNumberFormat="1" applyFont="1" applyBorder="1" applyAlignment="1">
      <alignment horizontal="center"/>
    </xf>
    <xf numFmtId="164" fontId="30" fillId="0" borderId="22" xfId="6" applyNumberFormat="1" applyFont="1" applyBorder="1" applyAlignment="1">
      <alignment horizontal="center"/>
    </xf>
    <xf numFmtId="0" fontId="30" fillId="0" borderId="46" xfId="6" applyFont="1" applyBorder="1"/>
    <xf numFmtId="0" fontId="30" fillId="0" borderId="47" xfId="6" applyFont="1" applyBorder="1"/>
    <xf numFmtId="1" fontId="30" fillId="0" borderId="48" xfId="6" applyNumberFormat="1" applyFont="1" applyBorder="1" applyAlignment="1">
      <alignment horizontal="center"/>
    </xf>
    <xf numFmtId="1" fontId="30" fillId="0" borderId="46" xfId="6" applyNumberFormat="1" applyFont="1" applyBorder="1" applyAlignment="1">
      <alignment horizontal="center"/>
    </xf>
    <xf numFmtId="167" fontId="30" fillId="0" borderId="46" xfId="1" applyNumberFormat="1" applyFont="1" applyBorder="1" applyAlignment="1" applyProtection="1">
      <alignment horizontal="center"/>
    </xf>
    <xf numFmtId="0" fontId="30" fillId="0" borderId="2" xfId="6" applyFont="1" applyBorder="1"/>
    <xf numFmtId="0" fontId="30" fillId="0" borderId="49" xfId="6" applyFont="1" applyBorder="1"/>
    <xf numFmtId="1" fontId="30" fillId="0" borderId="50" xfId="6" applyNumberFormat="1" applyFont="1" applyBorder="1" applyAlignment="1">
      <alignment horizontal="center"/>
    </xf>
    <xf numFmtId="1" fontId="30" fillId="0" borderId="2" xfId="6" applyNumberFormat="1" applyFont="1" applyBorder="1" applyAlignment="1">
      <alignment horizontal="center"/>
    </xf>
    <xf numFmtId="167" fontId="29" fillId="0" borderId="2" xfId="1" applyNumberFormat="1" applyFont="1" applyBorder="1" applyAlignment="1" applyProtection="1">
      <alignment horizontal="center"/>
    </xf>
    <xf numFmtId="0" fontId="31" fillId="0" borderId="43" xfId="6" applyFont="1" applyBorder="1"/>
    <xf numFmtId="1" fontId="31" fillId="0" borderId="22" xfId="6" applyNumberFormat="1" applyFont="1" applyBorder="1"/>
    <xf numFmtId="1" fontId="31" fillId="0" borderId="24" xfId="6" applyNumberFormat="1" applyFont="1" applyBorder="1"/>
    <xf numFmtId="167" fontId="30" fillId="0" borderId="24" xfId="1" applyNumberFormat="1" applyFont="1" applyBorder="1" applyAlignment="1" applyProtection="1">
      <alignment horizontal="center"/>
    </xf>
    <xf numFmtId="0" fontId="31" fillId="0" borderId="46" xfId="6" applyFont="1" applyBorder="1"/>
    <xf numFmtId="1" fontId="31" fillId="0" borderId="46" xfId="6" applyNumberFormat="1" applyFont="1" applyBorder="1"/>
    <xf numFmtId="1" fontId="34" fillId="0" borderId="22" xfId="6" applyNumberFormat="1" applyFont="1" applyBorder="1" applyAlignment="1">
      <alignment horizontal="center"/>
    </xf>
    <xf numFmtId="167" fontId="29" fillId="0" borderId="22" xfId="1" applyNumberFormat="1" applyFont="1" applyBorder="1" applyAlignment="1" applyProtection="1">
      <alignment horizontal="center"/>
    </xf>
    <xf numFmtId="1" fontId="34" fillId="0" borderId="24" xfId="6" applyNumberFormat="1" applyFont="1" applyBorder="1" applyAlignment="1">
      <alignment horizontal="center"/>
    </xf>
    <xf numFmtId="1" fontId="34" fillId="0" borderId="0" xfId="6" applyNumberFormat="1" applyFont="1" applyAlignment="1">
      <alignment horizontal="center"/>
    </xf>
    <xf numFmtId="0" fontId="33" fillId="15" borderId="0" xfId="6" applyFont="1" applyFill="1"/>
    <xf numFmtId="1" fontId="33" fillId="15" borderId="20" xfId="6" applyNumberFormat="1" applyFont="1" applyFill="1" applyBorder="1" applyAlignment="1">
      <alignment horizontal="center"/>
    </xf>
    <xf numFmtId="1" fontId="33" fillId="15" borderId="0" xfId="6" applyNumberFormat="1" applyFont="1" applyFill="1" applyAlignment="1">
      <alignment horizontal="center"/>
    </xf>
    <xf numFmtId="1" fontId="30" fillId="0" borderId="42" xfId="6" applyNumberFormat="1" applyFont="1" applyBorder="1" applyAlignment="1">
      <alignment horizontal="center"/>
    </xf>
    <xf numFmtId="1" fontId="30" fillId="0" borderId="24" xfId="6" applyNumberFormat="1" applyFont="1" applyBorder="1" applyAlignment="1">
      <alignment horizontal="center"/>
    </xf>
    <xf numFmtId="0" fontId="33" fillId="21" borderId="26" xfId="6" applyFont="1" applyFill="1" applyBorder="1"/>
    <xf numFmtId="1" fontId="33" fillId="21" borderId="27" xfId="6" applyNumberFormat="1" applyFont="1" applyFill="1" applyBorder="1" applyAlignment="1">
      <alignment horizontal="center"/>
    </xf>
    <xf numFmtId="1" fontId="33" fillId="21" borderId="26" xfId="6" applyNumberFormat="1" applyFont="1" applyFill="1" applyBorder="1" applyAlignment="1">
      <alignment horizontal="center"/>
    </xf>
    <xf numFmtId="167" fontId="33" fillId="21" borderId="26" xfId="1" applyNumberFormat="1" applyFont="1" applyFill="1" applyBorder="1" applyAlignment="1" applyProtection="1">
      <alignment horizontal="center"/>
    </xf>
    <xf numFmtId="2" fontId="30" fillId="0" borderId="0" xfId="6" applyNumberFormat="1" applyFont="1" applyAlignment="1">
      <alignment horizontal="center"/>
    </xf>
    <xf numFmtId="0" fontId="12" fillId="0" borderId="21" xfId="6" applyBorder="1"/>
    <xf numFmtId="9" fontId="30" fillId="0" borderId="25" xfId="1" applyFont="1" applyBorder="1" applyAlignment="1" applyProtection="1">
      <alignment horizontal="center"/>
    </xf>
    <xf numFmtId="3" fontId="30" fillId="0" borderId="25" xfId="1" applyNumberFormat="1" applyFont="1" applyBorder="1" applyAlignment="1" applyProtection="1">
      <alignment horizontal="center"/>
    </xf>
    <xf numFmtId="164" fontId="30" fillId="0" borderId="0" xfId="6" applyNumberFormat="1" applyFont="1" applyAlignment="1">
      <alignment horizontal="center"/>
    </xf>
    <xf numFmtId="3" fontId="30" fillId="0" borderId="0" xfId="1" applyNumberFormat="1" applyFont="1" applyBorder="1" applyAlignment="1" applyProtection="1">
      <alignment horizontal="center"/>
    </xf>
    <xf numFmtId="164" fontId="30" fillId="0" borderId="0" xfId="1" applyNumberFormat="1" applyFont="1" applyBorder="1" applyAlignment="1" applyProtection="1">
      <alignment horizontal="center"/>
    </xf>
    <xf numFmtId="0" fontId="33" fillId="22" borderId="26" xfId="6" applyFont="1" applyFill="1" applyBorder="1"/>
    <xf numFmtId="1" fontId="33" fillId="22" borderId="27" xfId="6" applyNumberFormat="1" applyFont="1" applyFill="1" applyBorder="1" applyAlignment="1">
      <alignment horizontal="center"/>
    </xf>
    <xf numFmtId="1" fontId="33" fillId="22" borderId="26" xfId="6" applyNumberFormat="1" applyFont="1" applyFill="1" applyBorder="1" applyAlignment="1">
      <alignment horizontal="center"/>
    </xf>
    <xf numFmtId="167" fontId="33" fillId="22" borderId="26" xfId="1" applyNumberFormat="1" applyFont="1" applyFill="1" applyBorder="1" applyAlignment="1" applyProtection="1">
      <alignment horizontal="center"/>
    </xf>
    <xf numFmtId="0" fontId="48" fillId="0" borderId="0" xfId="0" applyFont="1" applyAlignment="1">
      <alignment horizontal="left"/>
    </xf>
    <xf numFmtId="0" fontId="0" fillId="0" borderId="0" xfId="0" quotePrefix="1"/>
    <xf numFmtId="0" fontId="22" fillId="0" borderId="6" xfId="0" quotePrefix="1" applyFont="1" applyBorder="1" applyAlignment="1" applyProtection="1">
      <alignment vertical="center"/>
      <protection hidden="1"/>
    </xf>
    <xf numFmtId="1" fontId="0" fillId="0" borderId="0" xfId="0" quotePrefix="1" applyNumberFormat="1" applyAlignment="1">
      <alignment horizontal="center"/>
    </xf>
    <xf numFmtId="0" fontId="4" fillId="0" borderId="0" xfId="0" applyFont="1" applyAlignment="1">
      <alignment horizontal="right" vertical="center"/>
    </xf>
    <xf numFmtId="0" fontId="0" fillId="0" borderId="0" xfId="0" applyAlignment="1">
      <alignment wrapText="1"/>
    </xf>
    <xf numFmtId="0" fontId="57" fillId="16" borderId="67" xfId="9" applyFont="1" applyFill="1" applyBorder="1" applyAlignment="1">
      <alignment horizontal="left" vertical="center" wrapText="1" indent="3"/>
    </xf>
    <xf numFmtId="165" fontId="2" fillId="7" borderId="4" xfId="2" applyNumberFormat="1" applyFill="1" applyBorder="1" applyAlignment="1">
      <alignment horizontal="center" vertical="center" wrapText="1"/>
    </xf>
    <xf numFmtId="171" fontId="16" fillId="0" borderId="0" xfId="6" applyNumberFormat="1" applyFont="1" applyAlignment="1">
      <alignment horizontal="center"/>
    </xf>
    <xf numFmtId="174" fontId="77" fillId="24" borderId="0" xfId="19" applyNumberFormat="1" applyFont="1" applyFill="1" applyAlignment="1">
      <alignment horizontal="right" vertical="center"/>
    </xf>
    <xf numFmtId="174" fontId="77" fillId="26" borderId="0" xfId="19" applyNumberFormat="1" applyFont="1" applyFill="1" applyAlignment="1">
      <alignment horizontal="right" vertical="center"/>
    </xf>
    <xf numFmtId="167" fontId="12" fillId="0" borderId="0" xfId="1" applyNumberFormat="1" applyFont="1"/>
    <xf numFmtId="176" fontId="0" fillId="0" borderId="54" xfId="0" applyNumberFormat="1" applyBorder="1" applyAlignment="1">
      <alignment horizontal="center"/>
    </xf>
    <xf numFmtId="175" fontId="53" fillId="25" borderId="68" xfId="19" applyNumberFormat="1" applyFont="1" applyFill="1" applyBorder="1" applyAlignment="1">
      <alignment horizontal="right" vertical="center"/>
    </xf>
    <xf numFmtId="3" fontId="30" fillId="0" borderId="25" xfId="6" applyNumberFormat="1" applyFont="1" applyBorder="1" applyAlignment="1">
      <alignment horizontal="center"/>
    </xf>
    <xf numFmtId="0" fontId="12" fillId="28" borderId="69" xfId="6" applyFill="1" applyBorder="1"/>
    <xf numFmtId="0" fontId="12" fillId="28" borderId="70" xfId="6" applyFill="1" applyBorder="1"/>
    <xf numFmtId="1" fontId="16" fillId="28" borderId="70" xfId="6" applyNumberFormat="1" applyFont="1" applyFill="1" applyBorder="1" applyAlignment="1">
      <alignment horizontal="center"/>
    </xf>
    <xf numFmtId="1" fontId="16" fillId="28" borderId="71" xfId="6" applyNumberFormat="1" applyFont="1" applyFill="1" applyBorder="1" applyAlignment="1">
      <alignment horizontal="center"/>
    </xf>
    <xf numFmtId="0" fontId="12" fillId="0" borderId="69" xfId="6" applyBorder="1"/>
    <xf numFmtId="0" fontId="12" fillId="0" borderId="70" xfId="6" applyBorder="1"/>
    <xf numFmtId="1" fontId="16" fillId="0" borderId="70" xfId="6" applyNumberFormat="1" applyFont="1" applyBorder="1" applyAlignment="1">
      <alignment horizontal="center"/>
    </xf>
    <xf numFmtId="1" fontId="16" fillId="0" borderId="71" xfId="6" applyNumberFormat="1" applyFont="1" applyBorder="1" applyAlignment="1">
      <alignment horizontal="center"/>
    </xf>
    <xf numFmtId="0" fontId="54" fillId="0" borderId="72" xfId="6" applyFont="1" applyBorder="1"/>
    <xf numFmtId="0" fontId="54" fillId="0" borderId="73" xfId="6" applyFont="1" applyBorder="1"/>
    <xf numFmtId="1" fontId="54" fillId="0" borderId="73" xfId="6" applyNumberFormat="1" applyFont="1" applyBorder="1" applyAlignment="1">
      <alignment horizontal="center"/>
    </xf>
    <xf numFmtId="0" fontId="12" fillId="0" borderId="0" xfId="0" applyFont="1"/>
    <xf numFmtId="0" fontId="54" fillId="0" borderId="0" xfId="0" applyFont="1"/>
    <xf numFmtId="0" fontId="12" fillId="28" borderId="70" xfId="0" applyFont="1" applyFill="1" applyBorder="1"/>
    <xf numFmtId="0" fontId="12" fillId="0" borderId="70" xfId="0" applyFont="1" applyBorder="1"/>
    <xf numFmtId="0" fontId="54" fillId="0" borderId="70" xfId="0" applyFont="1" applyBorder="1"/>
    <xf numFmtId="2" fontId="0" fillId="0" borderId="0" xfId="0" applyNumberFormat="1"/>
    <xf numFmtId="9" fontId="0" fillId="0" borderId="0" xfId="1" applyFont="1"/>
    <xf numFmtId="9" fontId="0" fillId="0" borderId="0" xfId="1" applyNumberFormat="1" applyFont="1"/>
    <xf numFmtId="2" fontId="0" fillId="0" borderId="0" xfId="0" applyNumberFormat="1" applyFill="1"/>
    <xf numFmtId="9" fontId="0" fillId="0" borderId="0" xfId="1" applyFont="1" applyFill="1"/>
    <xf numFmtId="167" fontId="0" fillId="0" borderId="0" xfId="1" applyNumberFormat="1" applyFont="1" applyFill="1"/>
    <xf numFmtId="0" fontId="0" fillId="0" borderId="0" xfId="0"/>
    <xf numFmtId="3" fontId="0" fillId="7" borderId="4" xfId="0" applyNumberFormat="1" applyFill="1" applyBorder="1" applyAlignment="1">
      <alignment horizontal="center" vertical="center"/>
    </xf>
    <xf numFmtId="9" fontId="0" fillId="6" borderId="13" xfId="0" applyNumberFormat="1" applyFill="1" applyBorder="1" applyAlignment="1">
      <alignment horizontal="center" vertical="center"/>
    </xf>
    <xf numFmtId="0" fontId="0" fillId="0" borderId="0" xfId="0"/>
    <xf numFmtId="0" fontId="12" fillId="5" borderId="0" xfId="6" applyFill="1"/>
    <xf numFmtId="0" fontId="31" fillId="0" borderId="0" xfId="6" applyFont="1"/>
    <xf numFmtId="1" fontId="31" fillId="0" borderId="0" xfId="6" applyNumberFormat="1" applyFont="1"/>
    <xf numFmtId="0" fontId="32" fillId="0" borderId="0" xfId="6" applyFont="1"/>
    <xf numFmtId="0" fontId="26" fillId="0" borderId="0" xfId="6" applyFont="1"/>
    <xf numFmtId="0" fontId="31" fillId="5" borderId="0" xfId="6" applyFont="1" applyFill="1"/>
    <xf numFmtId="0" fontId="26" fillId="5" borderId="0" xfId="6" applyFont="1" applyFill="1"/>
    <xf numFmtId="1" fontId="31" fillId="5" borderId="0" xfId="6" applyNumberFormat="1" applyFont="1" applyFill="1"/>
    <xf numFmtId="0" fontId="43" fillId="0" borderId="0" xfId="6" applyFont="1"/>
    <xf numFmtId="1" fontId="44" fillId="0" borderId="20" xfId="8" quotePrefix="1" applyNumberFormat="1" applyFont="1" applyBorder="1" applyAlignment="1">
      <alignment horizontal="center"/>
    </xf>
    <xf numFmtId="1" fontId="44" fillId="0" borderId="0" xfId="8" quotePrefix="1" applyNumberFormat="1" applyFont="1" applyAlignment="1">
      <alignment horizontal="center"/>
    </xf>
    <xf numFmtId="1" fontId="19" fillId="0" borderId="0" xfId="8" quotePrefix="1" applyNumberFormat="1" applyFont="1" applyAlignment="1">
      <alignment horizontal="center"/>
    </xf>
    <xf numFmtId="0" fontId="43" fillId="0" borderId="0" xfId="6" applyFont="1" applyAlignment="1">
      <alignment horizontal="right"/>
    </xf>
    <xf numFmtId="0" fontId="34" fillId="0" borderId="0" xfId="6" applyFont="1"/>
    <xf numFmtId="0" fontId="33" fillId="11" borderId="26" xfId="6" applyFont="1" applyFill="1" applyBorder="1"/>
    <xf numFmtId="0" fontId="17" fillId="11" borderId="26" xfId="6" applyFont="1" applyFill="1" applyBorder="1"/>
    <xf numFmtId="1" fontId="33" fillId="11" borderId="27" xfId="6" applyNumberFormat="1" applyFont="1" applyFill="1" applyBorder="1" applyAlignment="1">
      <alignment horizontal="center"/>
    </xf>
    <xf numFmtId="1" fontId="33" fillId="11" borderId="26" xfId="6" applyNumberFormat="1" applyFont="1" applyFill="1" applyBorder="1" applyAlignment="1">
      <alignment horizontal="center"/>
    </xf>
    <xf numFmtId="0" fontId="31" fillId="0" borderId="22" xfId="6" applyFont="1" applyBorder="1"/>
    <xf numFmtId="0" fontId="30" fillId="0" borderId="22" xfId="6" applyFont="1" applyBorder="1"/>
    <xf numFmtId="1" fontId="30" fillId="0" borderId="22" xfId="6" applyNumberFormat="1" applyFont="1" applyBorder="1" applyAlignment="1">
      <alignment horizontal="center"/>
    </xf>
    <xf numFmtId="0" fontId="31" fillId="0" borderId="24" xfId="6" applyFont="1" applyBorder="1"/>
    <xf numFmtId="0" fontId="30" fillId="0" borderId="24" xfId="6" applyFont="1" applyBorder="1"/>
    <xf numFmtId="0" fontId="29" fillId="0" borderId="0" xfId="6" applyFont="1"/>
    <xf numFmtId="0" fontId="30" fillId="0" borderId="0" xfId="6" applyFont="1"/>
    <xf numFmtId="1" fontId="29" fillId="0" borderId="20" xfId="6" applyNumberFormat="1" applyFont="1" applyBorder="1" applyAlignment="1">
      <alignment horizontal="center"/>
    </xf>
    <xf numFmtId="1" fontId="29" fillId="0" borderId="0" xfId="6" applyNumberFormat="1" applyFont="1" applyAlignment="1">
      <alignment horizontal="center"/>
    </xf>
    <xf numFmtId="0" fontId="30" fillId="0" borderId="25" xfId="6" applyFont="1" applyBorder="1"/>
    <xf numFmtId="1" fontId="30" fillId="0" borderId="29" xfId="6" applyNumberFormat="1" applyFont="1" applyBorder="1" applyAlignment="1">
      <alignment horizontal="center"/>
    </xf>
    <xf numFmtId="1" fontId="30" fillId="0" borderId="25" xfId="6" applyNumberFormat="1" applyFont="1" applyBorder="1" applyAlignment="1">
      <alignment horizontal="center"/>
    </xf>
    <xf numFmtId="1" fontId="30" fillId="0" borderId="0" xfId="6" applyNumberFormat="1" applyFont="1" applyAlignment="1">
      <alignment horizontal="center"/>
    </xf>
    <xf numFmtId="1" fontId="30" fillId="0" borderId="28" xfId="6" applyNumberFormat="1" applyFont="1" applyBorder="1" applyAlignment="1">
      <alignment horizontal="center"/>
    </xf>
    <xf numFmtId="0" fontId="29" fillId="0" borderId="25" xfId="6" applyFont="1" applyBorder="1"/>
    <xf numFmtId="2" fontId="30" fillId="0" borderId="29" xfId="6" applyNumberFormat="1" applyFont="1" applyBorder="1" applyAlignment="1">
      <alignment horizontal="center"/>
    </xf>
    <xf numFmtId="2" fontId="30" fillId="0" borderId="25" xfId="6" applyNumberFormat="1" applyFont="1" applyBorder="1" applyAlignment="1">
      <alignment horizontal="center"/>
    </xf>
    <xf numFmtId="1" fontId="30" fillId="0" borderId="20" xfId="6" applyNumberFormat="1" applyFont="1" applyBorder="1" applyAlignment="1">
      <alignment horizontal="center"/>
    </xf>
    <xf numFmtId="0" fontId="30" fillId="0" borderId="21" xfId="6" applyFont="1" applyBorder="1"/>
    <xf numFmtId="1" fontId="30" fillId="0" borderId="21" xfId="6" applyNumberFormat="1" applyFont="1" applyBorder="1" applyAlignment="1">
      <alignment horizontal="center"/>
    </xf>
    <xf numFmtId="164" fontId="30" fillId="0" borderId="25" xfId="6" applyNumberFormat="1" applyFont="1" applyBorder="1" applyAlignment="1">
      <alignment horizontal="center"/>
    </xf>
    <xf numFmtId="0" fontId="29" fillId="0" borderId="22" xfId="6" applyFont="1" applyBorder="1"/>
    <xf numFmtId="1" fontId="29" fillId="0" borderId="28" xfId="6" applyNumberFormat="1" applyFont="1" applyBorder="1" applyAlignment="1">
      <alignment horizontal="center"/>
    </xf>
    <xf numFmtId="1" fontId="29" fillId="0" borderId="22" xfId="6" applyNumberFormat="1" applyFont="1" applyBorder="1" applyAlignment="1">
      <alignment horizontal="center"/>
    </xf>
    <xf numFmtId="0" fontId="33" fillId="14" borderId="26" xfId="6" applyFont="1" applyFill="1" applyBorder="1"/>
    <xf numFmtId="0" fontId="33" fillId="14" borderId="26" xfId="6" applyFont="1" applyFill="1" applyBorder="1" applyAlignment="1">
      <alignment horizontal="center"/>
    </xf>
    <xf numFmtId="0" fontId="30" fillId="0" borderId="45" xfId="6" applyFont="1" applyBorder="1"/>
    <xf numFmtId="0" fontId="30" fillId="0" borderId="44" xfId="6" applyFont="1" applyBorder="1"/>
    <xf numFmtId="0" fontId="30" fillId="0" borderId="43" xfId="6" applyFont="1" applyBorder="1"/>
    <xf numFmtId="164" fontId="30" fillId="0" borderId="28" xfId="6" applyNumberFormat="1" applyFont="1" applyBorder="1" applyAlignment="1">
      <alignment horizontal="center"/>
    </xf>
    <xf numFmtId="164" fontId="30" fillId="0" borderId="22" xfId="6" applyNumberFormat="1" applyFont="1" applyBorder="1" applyAlignment="1">
      <alignment horizontal="center"/>
    </xf>
    <xf numFmtId="0" fontId="30" fillId="0" borderId="46" xfId="6" applyFont="1" applyBorder="1"/>
    <xf numFmtId="0" fontId="30" fillId="0" borderId="47" xfId="6" applyFont="1" applyBorder="1"/>
    <xf numFmtId="1" fontId="30" fillId="0" borderId="48" xfId="6" applyNumberFormat="1" applyFont="1" applyBorder="1" applyAlignment="1">
      <alignment horizontal="center"/>
    </xf>
    <xf numFmtId="1" fontId="30" fillId="0" borderId="46" xfId="6" applyNumberFormat="1" applyFont="1" applyBorder="1" applyAlignment="1">
      <alignment horizontal="center"/>
    </xf>
    <xf numFmtId="0" fontId="30" fillId="0" borderId="2" xfId="6" applyFont="1" applyBorder="1"/>
    <xf numFmtId="0" fontId="30" fillId="0" borderId="49" xfId="6" applyFont="1" applyBorder="1"/>
    <xf numFmtId="1" fontId="30" fillId="0" borderId="50" xfId="6" applyNumberFormat="1" applyFont="1" applyBorder="1" applyAlignment="1">
      <alignment horizontal="center"/>
    </xf>
    <xf numFmtId="1" fontId="30" fillId="0" borderId="2" xfId="6" applyNumberFormat="1" applyFont="1" applyBorder="1" applyAlignment="1">
      <alignment horizontal="center"/>
    </xf>
    <xf numFmtId="0" fontId="31" fillId="0" borderId="43" xfId="6" applyFont="1" applyBorder="1"/>
    <xf numFmtId="1" fontId="31" fillId="0" borderId="28" xfId="6" applyNumberFormat="1" applyFont="1" applyBorder="1"/>
    <xf numFmtId="1" fontId="31" fillId="0" borderId="22" xfId="6" applyNumberFormat="1" applyFont="1" applyBorder="1"/>
    <xf numFmtId="1" fontId="31" fillId="0" borderId="24" xfId="6" applyNumberFormat="1" applyFont="1" applyBorder="1"/>
    <xf numFmtId="0" fontId="31" fillId="0" borderId="46" xfId="6" applyFont="1" applyBorder="1"/>
    <xf numFmtId="1" fontId="31" fillId="0" borderId="46" xfId="6" applyNumberFormat="1" applyFont="1" applyBorder="1"/>
    <xf numFmtId="1" fontId="34" fillId="0" borderId="22" xfId="6" applyNumberFormat="1" applyFont="1" applyBorder="1" applyAlignment="1">
      <alignment horizontal="center"/>
    </xf>
    <xf numFmtId="1" fontId="34" fillId="0" borderId="24" xfId="6" applyNumberFormat="1" applyFont="1" applyBorder="1" applyAlignment="1">
      <alignment horizontal="center"/>
    </xf>
    <xf numFmtId="1" fontId="34" fillId="0" borderId="0" xfId="6" applyNumberFormat="1" applyFont="1" applyAlignment="1">
      <alignment horizontal="center"/>
    </xf>
    <xf numFmtId="0" fontId="33" fillId="15" borderId="0" xfId="6" applyFont="1" applyFill="1"/>
    <xf numFmtId="1" fontId="33" fillId="15" borderId="20" xfId="6" applyNumberFormat="1" applyFont="1" applyFill="1" applyBorder="1" applyAlignment="1">
      <alignment horizontal="center"/>
    </xf>
    <xf numFmtId="1" fontId="33" fillId="15" borderId="0" xfId="6" applyNumberFormat="1" applyFont="1" applyFill="1" applyAlignment="1">
      <alignment horizontal="center"/>
    </xf>
    <xf numFmtId="1" fontId="30" fillId="0" borderId="42" xfId="6" applyNumberFormat="1" applyFont="1" applyBorder="1" applyAlignment="1">
      <alignment horizontal="center"/>
    </xf>
    <xf numFmtId="1" fontId="30" fillId="0" borderId="24" xfId="6" applyNumberFormat="1" applyFont="1" applyBorder="1" applyAlignment="1">
      <alignment horizontal="center"/>
    </xf>
    <xf numFmtId="0" fontId="33" fillId="21" borderId="26" xfId="6" applyFont="1" applyFill="1" applyBorder="1"/>
    <xf numFmtId="1" fontId="33" fillId="21" borderId="27" xfId="6" applyNumberFormat="1" applyFont="1" applyFill="1" applyBorder="1" applyAlignment="1">
      <alignment horizontal="center"/>
    </xf>
    <xf numFmtId="1" fontId="33" fillId="21" borderId="26" xfId="6" applyNumberFormat="1" applyFont="1" applyFill="1" applyBorder="1" applyAlignment="1">
      <alignment horizontal="center"/>
    </xf>
    <xf numFmtId="2" fontId="30" fillId="0" borderId="0" xfId="6" applyNumberFormat="1" applyFont="1" applyAlignment="1">
      <alignment horizontal="center"/>
    </xf>
    <xf numFmtId="0" fontId="12" fillId="0" borderId="21" xfId="6" applyBorder="1"/>
    <xf numFmtId="164" fontId="30" fillId="0" borderId="0" xfId="6" applyNumberFormat="1" applyFont="1" applyAlignment="1">
      <alignment horizontal="center"/>
    </xf>
    <xf numFmtId="0" fontId="33" fillId="22" borderId="26" xfId="6" applyFont="1" applyFill="1" applyBorder="1"/>
    <xf numFmtId="1" fontId="33" fillId="22" borderId="27" xfId="6" applyNumberFormat="1" applyFont="1" applyFill="1" applyBorder="1" applyAlignment="1">
      <alignment horizontal="center"/>
    </xf>
    <xf numFmtId="1" fontId="33" fillId="22" borderId="26" xfId="6" applyNumberFormat="1" applyFont="1" applyFill="1" applyBorder="1" applyAlignment="1">
      <alignment horizontal="center"/>
    </xf>
    <xf numFmtId="0" fontId="0" fillId="0" borderId="0" xfId="0" applyFill="1"/>
    <xf numFmtId="3" fontId="0" fillId="7" borderId="4" xfId="0" applyNumberFormat="1" applyFill="1" applyBorder="1" applyAlignment="1">
      <alignment horizontal="center" vertical="center"/>
    </xf>
    <xf numFmtId="9" fontId="0" fillId="6" borderId="13" xfId="0" applyNumberFormat="1" applyFill="1" applyBorder="1" applyAlignment="1">
      <alignment horizontal="center" vertical="center"/>
    </xf>
    <xf numFmtId="0" fontId="0" fillId="0" borderId="0" xfId="0"/>
    <xf numFmtId="3" fontId="0" fillId="7" borderId="4" xfId="0" applyNumberFormat="1" applyFill="1" applyBorder="1" applyAlignment="1">
      <alignment horizontal="center" vertical="center"/>
    </xf>
    <xf numFmtId="0" fontId="12" fillId="0" borderId="0" xfId="6"/>
    <xf numFmtId="167" fontId="0" fillId="0" borderId="0" xfId="1" applyNumberFormat="1" applyFont="1"/>
    <xf numFmtId="0" fontId="24" fillId="0" borderId="0" xfId="0" applyFont="1"/>
    <xf numFmtId="0" fontId="3" fillId="5" borderId="0" xfId="0" applyFont="1" applyFill="1" applyAlignment="1">
      <alignment horizontal="center"/>
    </xf>
    <xf numFmtId="0" fontId="33" fillId="8" borderId="23" xfId="0" applyFont="1" applyFill="1" applyBorder="1"/>
    <xf numFmtId="1" fontId="31" fillId="0" borderId="66" xfId="0" applyNumberFormat="1" applyFont="1" applyBorder="1" applyAlignment="1">
      <alignment horizontal="center"/>
    </xf>
    <xf numFmtId="1" fontId="16" fillId="0" borderId="0" xfId="6" applyNumberFormat="1" applyFont="1" applyAlignment="1">
      <alignment horizontal="center"/>
    </xf>
    <xf numFmtId="1" fontId="54" fillId="0" borderId="22" xfId="6" applyNumberFormat="1" applyFont="1" applyBorder="1" applyAlignment="1">
      <alignment horizontal="center"/>
    </xf>
    <xf numFmtId="10" fontId="0" fillId="6" borderId="4" xfId="0" applyNumberFormat="1" applyFill="1" applyBorder="1" applyAlignment="1">
      <alignment horizontal="center" vertical="center"/>
    </xf>
    <xf numFmtId="0" fontId="42" fillId="7" borderId="1" xfId="2" applyFont="1" applyFill="1" applyAlignment="1" applyProtection="1">
      <alignment horizontal="right"/>
    </xf>
    <xf numFmtId="0" fontId="42" fillId="7" borderId="1" xfId="2" applyFont="1" applyFill="1" applyProtection="1"/>
    <xf numFmtId="9" fontId="31" fillId="0" borderId="0" xfId="7" applyFont="1" applyProtection="1"/>
    <xf numFmtId="167" fontId="12" fillId="0" borderId="0" xfId="1" applyNumberFormat="1" applyFont="1" applyProtection="1"/>
    <xf numFmtId="9" fontId="31" fillId="5" borderId="0" xfId="7" applyFont="1" applyFill="1" applyProtection="1"/>
    <xf numFmtId="167" fontId="12" fillId="5" borderId="0" xfId="1" applyNumberFormat="1" applyFont="1" applyFill="1" applyProtection="1"/>
    <xf numFmtId="167" fontId="41" fillId="0" borderId="0" xfId="1" applyNumberFormat="1" applyFont="1" applyProtection="1"/>
    <xf numFmtId="167" fontId="33" fillId="11" borderId="26" xfId="1" applyNumberFormat="1" applyFont="1" applyFill="1" applyBorder="1" applyAlignment="1" applyProtection="1">
      <alignment horizontal="center"/>
    </xf>
    <xf numFmtId="167" fontId="30" fillId="0" borderId="22" xfId="1" applyNumberFormat="1" applyFont="1" applyBorder="1" applyAlignment="1" applyProtection="1">
      <alignment horizontal="center"/>
    </xf>
    <xf numFmtId="9" fontId="29" fillId="0" borderId="0" xfId="1" applyFont="1" applyProtection="1"/>
    <xf numFmtId="9" fontId="30" fillId="0" borderId="0" xfId="1" applyFont="1" applyProtection="1"/>
    <xf numFmtId="9" fontId="29" fillId="0" borderId="20" xfId="1" applyFont="1" applyBorder="1" applyAlignment="1" applyProtection="1">
      <alignment horizontal="center"/>
    </xf>
    <xf numFmtId="9" fontId="29" fillId="0" borderId="0" xfId="1" applyFont="1" applyBorder="1" applyAlignment="1" applyProtection="1">
      <alignment horizontal="center"/>
    </xf>
    <xf numFmtId="167" fontId="29" fillId="0" borderId="0" xfId="1" applyNumberFormat="1" applyFont="1" applyBorder="1" applyAlignment="1" applyProtection="1">
      <alignment horizontal="center"/>
    </xf>
    <xf numFmtId="167" fontId="30" fillId="0" borderId="25" xfId="1" applyNumberFormat="1" applyFont="1" applyBorder="1" applyAlignment="1" applyProtection="1">
      <alignment horizontal="center"/>
    </xf>
    <xf numFmtId="167" fontId="30" fillId="0" borderId="0" xfId="1" applyNumberFormat="1" applyFont="1" applyBorder="1" applyAlignment="1" applyProtection="1">
      <alignment horizontal="center"/>
    </xf>
    <xf numFmtId="167" fontId="30" fillId="0" borderId="21" xfId="1" applyNumberFormat="1" applyFont="1" applyBorder="1" applyAlignment="1" applyProtection="1">
      <alignment horizontal="center"/>
    </xf>
    <xf numFmtId="9" fontId="29" fillId="0" borderId="25" xfId="1" applyFont="1" applyBorder="1" applyProtection="1"/>
    <xf numFmtId="167" fontId="33" fillId="14" borderId="26" xfId="1" applyNumberFormat="1" applyFont="1" applyFill="1" applyBorder="1" applyAlignment="1" applyProtection="1">
      <alignment horizontal="center"/>
    </xf>
    <xf numFmtId="167" fontId="30" fillId="0" borderId="46" xfId="1" applyNumberFormat="1" applyFont="1" applyBorder="1" applyAlignment="1" applyProtection="1">
      <alignment horizontal="center"/>
    </xf>
    <xf numFmtId="167" fontId="29" fillId="0" borderId="2" xfId="1" applyNumberFormat="1" applyFont="1" applyBorder="1" applyAlignment="1" applyProtection="1">
      <alignment horizontal="center"/>
    </xf>
    <xf numFmtId="167" fontId="30" fillId="0" borderId="24" xfId="1" applyNumberFormat="1" applyFont="1" applyBorder="1" applyAlignment="1" applyProtection="1">
      <alignment horizontal="center"/>
    </xf>
    <xf numFmtId="167" fontId="29" fillId="0" borderId="22" xfId="1" applyNumberFormat="1" applyFont="1" applyBorder="1" applyAlignment="1" applyProtection="1">
      <alignment horizontal="center"/>
    </xf>
    <xf numFmtId="167" fontId="33" fillId="21" borderId="26" xfId="1" applyNumberFormat="1" applyFont="1" applyFill="1" applyBorder="1" applyAlignment="1" applyProtection="1">
      <alignment horizontal="center"/>
    </xf>
    <xf numFmtId="9" fontId="30" fillId="0" borderId="25" xfId="1" applyFont="1" applyBorder="1" applyAlignment="1" applyProtection="1">
      <alignment horizontal="center"/>
    </xf>
    <xf numFmtId="3" fontId="30" fillId="0" borderId="25" xfId="1" applyNumberFormat="1" applyFont="1" applyBorder="1" applyAlignment="1" applyProtection="1">
      <alignment horizontal="center"/>
    </xf>
    <xf numFmtId="3" fontId="30" fillId="0" borderId="0" xfId="1" applyNumberFormat="1" applyFont="1" applyBorder="1" applyAlignment="1" applyProtection="1">
      <alignment horizontal="center"/>
    </xf>
    <xf numFmtId="164" fontId="30" fillId="0" borderId="0" xfId="1" applyNumberFormat="1" applyFont="1" applyBorder="1" applyAlignment="1" applyProtection="1">
      <alignment horizontal="center"/>
    </xf>
    <xf numFmtId="167" fontId="33" fillId="22" borderId="26" xfId="1" applyNumberFormat="1" applyFont="1" applyFill="1" applyBorder="1" applyAlignment="1" applyProtection="1">
      <alignment horizontal="center"/>
    </xf>
    <xf numFmtId="1" fontId="42" fillId="7" borderId="1" xfId="2" applyNumberFormat="1" applyFont="1" applyFill="1" applyAlignment="1" applyProtection="1">
      <alignment horizontal="right"/>
    </xf>
    <xf numFmtId="1" fontId="12" fillId="0" borderId="0" xfId="0" applyNumberFormat="1" applyFont="1" applyAlignment="1">
      <alignment horizontal="center"/>
    </xf>
    <xf numFmtId="1" fontId="54" fillId="0" borderId="0" xfId="0" applyNumberFormat="1" applyFont="1" applyAlignment="1">
      <alignment horizontal="center"/>
    </xf>
    <xf numFmtId="0" fontId="54" fillId="12" borderId="70" xfId="6" applyNumberFormat="1" applyFont="1" applyFill="1" applyBorder="1" applyAlignment="1"/>
    <xf numFmtId="10" fontId="12" fillId="0" borderId="0" xfId="1" applyNumberFormat="1" applyFont="1"/>
    <xf numFmtId="0" fontId="60" fillId="5" borderId="0" xfId="17" applyFont="1" applyFill="1" applyAlignment="1">
      <alignment horizontal="left" vertical="top" wrapText="1"/>
    </xf>
    <xf numFmtId="0" fontId="51" fillId="16" borderId="36" xfId="9" applyFont="1" applyFill="1" applyBorder="1" applyAlignment="1">
      <alignment horizontal="left" vertical="center" wrapText="1" indent="1"/>
    </xf>
    <xf numFmtId="0" fontId="3" fillId="5" borderId="0" xfId="0" applyFont="1" applyFill="1" applyAlignment="1">
      <alignment horizontal="center"/>
    </xf>
    <xf numFmtId="0" fontId="51" fillId="16" borderId="36" xfId="0" applyFont="1" applyFill="1" applyBorder="1" applyAlignment="1">
      <alignment horizontal="left" vertical="center" wrapText="1" indent="1"/>
    </xf>
    <xf numFmtId="169" fontId="39" fillId="16" borderId="40" xfId="9" quotePrefix="1" applyNumberFormat="1" applyFont="1" applyFill="1" applyBorder="1" applyAlignment="1">
      <alignment horizontal="center" vertical="center"/>
    </xf>
    <xf numFmtId="169" fontId="39" fillId="16" borderId="39" xfId="9" quotePrefix="1" applyNumberFormat="1" applyFont="1" applyFill="1" applyBorder="1" applyAlignment="1">
      <alignment horizontal="center" vertical="center"/>
    </xf>
    <xf numFmtId="17" fontId="39" fillId="16" borderId="40" xfId="9" quotePrefix="1" applyNumberFormat="1" applyFont="1" applyFill="1" applyBorder="1" applyAlignment="1">
      <alignment horizontal="center" vertical="center"/>
    </xf>
    <xf numFmtId="0" fontId="39" fillId="16" borderId="39" xfId="9" quotePrefix="1" applyFont="1" applyFill="1" applyBorder="1" applyAlignment="1">
      <alignment horizontal="center" vertical="center"/>
    </xf>
    <xf numFmtId="0" fontId="39" fillId="16" borderId="36" xfId="9" applyFont="1" applyFill="1" applyBorder="1" applyAlignment="1">
      <alignment horizontal="left" vertical="center" wrapText="1" indent="2"/>
    </xf>
    <xf numFmtId="0" fontId="40" fillId="16" borderId="38" xfId="9" applyFont="1" applyFill="1" applyBorder="1" applyAlignment="1">
      <alignment horizontal="center" vertical="center"/>
    </xf>
    <xf numFmtId="0" fontId="40" fillId="16" borderId="37" xfId="9" applyFont="1" applyFill="1" applyBorder="1" applyAlignment="1">
      <alignment horizontal="center" vertical="center"/>
    </xf>
    <xf numFmtId="0" fontId="40" fillId="16" borderId="38" xfId="9" applyFont="1" applyFill="1" applyBorder="1" applyAlignment="1">
      <alignment horizontal="center" vertical="center" wrapText="1"/>
    </xf>
    <xf numFmtId="0" fontId="40" fillId="16" borderId="26" xfId="9" applyFont="1" applyFill="1" applyBorder="1" applyAlignment="1">
      <alignment horizontal="center" vertical="center" wrapText="1"/>
    </xf>
    <xf numFmtId="0" fontId="40" fillId="16" borderId="37" xfId="9" applyFont="1" applyFill="1" applyBorder="1" applyAlignment="1">
      <alignment horizontal="center" vertical="center" wrapText="1"/>
    </xf>
    <xf numFmtId="0" fontId="40" fillId="16" borderId="38" xfId="9" applyFont="1" applyFill="1" applyBorder="1" applyAlignment="1">
      <alignment horizontal="left" vertical="center" wrapText="1" indent="1"/>
    </xf>
    <xf numFmtId="0" fontId="40" fillId="16" borderId="26" xfId="9" applyFont="1" applyFill="1" applyBorder="1" applyAlignment="1">
      <alignment horizontal="left" vertical="center" wrapText="1" indent="1"/>
    </xf>
    <xf numFmtId="0" fontId="40" fillId="16" borderId="37" xfId="9" applyFont="1" applyFill="1" applyBorder="1" applyAlignment="1">
      <alignment horizontal="left" vertical="center" wrapText="1" indent="1"/>
    </xf>
    <xf numFmtId="0" fontId="36" fillId="5" borderId="0" xfId="9" applyFont="1" applyFill="1" applyAlignment="1">
      <alignment horizontal="left" vertical="center"/>
    </xf>
    <xf numFmtId="0" fontId="62" fillId="23" borderId="0" xfId="0" applyFont="1" applyFill="1" applyAlignment="1">
      <alignment horizontal="left" vertical="center" wrapText="1" indent="1"/>
    </xf>
    <xf numFmtId="0" fontId="50" fillId="0" borderId="0" xfId="0" applyFont="1" applyAlignment="1">
      <alignment horizontal="right" wrapText="1"/>
    </xf>
    <xf numFmtId="0" fontId="3" fillId="5" borderId="20" xfId="0" applyFont="1" applyFill="1" applyBorder="1" applyAlignment="1">
      <alignment horizontal="center"/>
    </xf>
    <xf numFmtId="0" fontId="0" fillId="4" borderId="16"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0" fillId="4" borderId="9" xfId="0" applyFill="1" applyBorder="1" applyAlignment="1">
      <alignment horizontal="center" vertical="center"/>
    </xf>
    <xf numFmtId="0" fontId="0" fillId="4" borderId="13" xfId="0" applyFill="1" applyBorder="1" applyAlignment="1">
      <alignment horizontal="center" vertical="center"/>
    </xf>
    <xf numFmtId="0" fontId="4" fillId="0" borderId="0" xfId="0" applyFont="1" applyAlignment="1">
      <alignment horizontal="center"/>
    </xf>
    <xf numFmtId="0" fontId="2" fillId="7" borderId="9" xfId="2" applyFill="1" applyBorder="1" applyAlignment="1">
      <alignment horizontal="center" vertical="center"/>
    </xf>
    <xf numFmtId="0" fontId="2" fillId="7" borderId="13" xfId="2" applyFill="1" applyBorder="1" applyAlignment="1">
      <alignment horizontal="center" vertical="center"/>
    </xf>
    <xf numFmtId="0" fontId="2" fillId="7" borderId="9" xfId="2" applyFill="1" applyBorder="1" applyAlignment="1">
      <alignment horizontal="center" vertical="center" wrapText="1"/>
    </xf>
    <xf numFmtId="0" fontId="2" fillId="7" borderId="13" xfId="2" applyFill="1" applyBorder="1" applyAlignment="1">
      <alignment horizontal="center" vertical="center" wrapText="1"/>
    </xf>
    <xf numFmtId="0" fontId="2" fillId="29" borderId="9" xfId="2" applyFill="1" applyBorder="1" applyAlignment="1" applyProtection="1">
      <alignment horizontal="center" vertical="center"/>
    </xf>
    <xf numFmtId="0" fontId="2" fillId="29" borderId="13" xfId="2" applyFill="1" applyBorder="1" applyAlignment="1" applyProtection="1">
      <alignment horizontal="center" vertical="center"/>
    </xf>
    <xf numFmtId="0" fontId="2" fillId="27" borderId="9" xfId="2" applyFill="1" applyBorder="1" applyAlignment="1">
      <alignment horizontal="center" vertical="center"/>
    </xf>
    <xf numFmtId="0" fontId="2" fillId="27" borderId="13" xfId="2" applyFill="1" applyBorder="1" applyAlignment="1">
      <alignment horizontal="center" vertical="center"/>
    </xf>
    <xf numFmtId="0" fontId="4" fillId="0" borderId="0" xfId="0" applyFont="1" applyAlignment="1">
      <alignment horizontal="right" vertical="center" wrapText="1" indent="1"/>
    </xf>
    <xf numFmtId="0" fontId="4" fillId="0" borderId="41" xfId="0" applyFont="1" applyBorder="1" applyAlignment="1">
      <alignment horizontal="right" vertical="center" wrapText="1" indent="1"/>
    </xf>
    <xf numFmtId="0" fontId="2" fillId="7" borderId="9" xfId="2" applyFill="1" applyBorder="1" applyAlignment="1">
      <alignment horizontal="left"/>
    </xf>
    <xf numFmtId="0" fontId="2" fillId="7" borderId="13" xfId="2" applyFill="1" applyBorder="1" applyAlignment="1">
      <alignment horizontal="left"/>
    </xf>
    <xf numFmtId="0" fontId="58" fillId="23" borderId="0" xfId="0" applyFont="1" applyFill="1" applyAlignment="1">
      <alignment horizontal="left" vertical="center" wrapText="1" indent="1"/>
    </xf>
    <xf numFmtId="0" fontId="0" fillId="4" borderId="0" xfId="0" applyFill="1" applyAlignment="1">
      <alignment horizontal="center" vertical="center"/>
    </xf>
    <xf numFmtId="0" fontId="58" fillId="5" borderId="0" xfId="0" applyFont="1" applyFill="1" applyAlignment="1">
      <alignment horizontal="left" vertical="center" wrapText="1" indent="1"/>
    </xf>
    <xf numFmtId="0" fontId="33" fillId="8" borderId="23" xfId="0" applyFont="1" applyFill="1" applyBorder="1" applyAlignment="1">
      <alignment horizontal="center"/>
    </xf>
    <xf numFmtId="0" fontId="33" fillId="8" borderId="0" xfId="0" applyFont="1" applyFill="1" applyAlignment="1">
      <alignment horizontal="center" vertical="center"/>
    </xf>
    <xf numFmtId="0" fontId="0" fillId="0" borderId="0" xfId="0" applyAlignment="1">
      <alignment horizontal="center"/>
    </xf>
    <xf numFmtId="0" fontId="2" fillId="30" borderId="9" xfId="2" applyFill="1" applyBorder="1" applyAlignment="1">
      <alignment horizontal="center" vertical="center"/>
    </xf>
    <xf numFmtId="0" fontId="2" fillId="30" borderId="13" xfId="2" applyFill="1" applyBorder="1" applyAlignment="1">
      <alignment horizontal="center" vertical="center"/>
    </xf>
  </cellXfs>
  <cellStyles count="69">
    <cellStyle name="Accent3" xfId="3" builtinId="37"/>
    <cellStyle name="Comma 2" xfId="22" xr:uid="{255290F2-39AE-4003-BE71-1F50E3487A7A}"/>
    <cellStyle name="Comma 3" xfId="23" xr:uid="{780F2C2F-6AEA-43D8-9BA8-7F50B801F991}"/>
    <cellStyle name="Comma 4" xfId="24" xr:uid="{DF69D280-F18A-417C-9617-551CE0B91019}"/>
    <cellStyle name="Comma 5" xfId="25" xr:uid="{0256CC08-A3A5-4F99-861D-C8551A051797}"/>
    <cellStyle name="Comma0" xfId="26" xr:uid="{6629D47F-2FF2-45B5-942D-38B8CB48BA8F}"/>
    <cellStyle name="Currency0" xfId="27" xr:uid="{D84F5921-7F55-42ED-9C65-D76F0A3FF5D6}"/>
    <cellStyle name="Date" xfId="28" xr:uid="{7A097025-450A-463D-B903-A79A2C3B8BCB}"/>
    <cellStyle name="Fixed" xfId="29" xr:uid="{559C7CB2-A7D0-4EC9-96EB-EE1B0E4036A4}"/>
    <cellStyle name="Hyperlink 2" xfId="10" xr:uid="{00000000-0005-0000-0000-000001000000}"/>
    <cellStyle name="Hyperlink 3" xfId="16" xr:uid="{00000000-0005-0000-0000-000002000000}"/>
    <cellStyle name="Input" xfId="2" builtinId="20"/>
    <cellStyle name="Normal" xfId="0" builtinId="0"/>
    <cellStyle name="Normal 10" xfId="30" xr:uid="{DA61FF66-81A0-438B-849D-A13972CAE7A0}"/>
    <cellStyle name="Normal 11" xfId="31" xr:uid="{A58A6359-FFB4-447E-AA1F-2724831034DF}"/>
    <cellStyle name="Normal 12" xfId="32" xr:uid="{7BA11D12-2C4A-490F-9355-1870623D85F5}"/>
    <cellStyle name="Normal 13" xfId="13" xr:uid="{00000000-0005-0000-0000-000005000000}"/>
    <cellStyle name="Normal 13 2" xfId="17" xr:uid="{00000000-0005-0000-0000-000006000000}"/>
    <cellStyle name="Normal 13 2 2" xfId="62" xr:uid="{7CA3839B-DD1C-49BE-A59F-67DFDBF82E85}"/>
    <cellStyle name="Normal 14" xfId="65" xr:uid="{65D8A3B3-616A-4BF6-B08B-FB5FBE045AA5}"/>
    <cellStyle name="Normal 15" xfId="66" xr:uid="{D04BEA0F-3AA4-4773-8541-832BF94E8210}"/>
    <cellStyle name="Normal 16" xfId="67" xr:uid="{2E99D84A-AEED-45A7-B59C-69AFA06E91EE}"/>
    <cellStyle name="Normal 17" xfId="68" xr:uid="{3A0690FD-50AE-49AA-A0C0-B2B4166FACCF}"/>
    <cellStyle name="Normal 2" xfId="6" xr:uid="{00000000-0005-0000-0000-000007000000}"/>
    <cellStyle name="Normal 2 2" xfId="11" xr:uid="{00000000-0005-0000-0000-000008000000}"/>
    <cellStyle name="Normal 2 2 2" xfId="12" xr:uid="{00000000-0005-0000-0000-000009000000}"/>
    <cellStyle name="Normal 2 2 3" xfId="19" xr:uid="{00000000-0005-0000-0000-00000A000000}"/>
    <cellStyle name="Normal 2 3" xfId="33" xr:uid="{9A1588A0-9B5D-4103-B247-6699195ED794}"/>
    <cellStyle name="Normal 2 4" xfId="34" xr:uid="{0F1924F9-DC2A-4DEE-BB24-61E9FE2515F3}"/>
    <cellStyle name="Normal 2 5" xfId="35" xr:uid="{C600F960-ACC2-4FEE-9C7F-C2ECB8A36D09}"/>
    <cellStyle name="Normal 2 6" xfId="36" xr:uid="{8DF40D5E-ED6A-4380-B824-E14044F021D0}"/>
    <cellStyle name="Normal 2 6 2" xfId="37" xr:uid="{87B29261-93FD-48E5-960B-0EA8B1C9B019}"/>
    <cellStyle name="Normal 2_Co2 table for 450" xfId="38" xr:uid="{305F6EA7-B096-4FD2-8F83-2DFC8F02AB5C}"/>
    <cellStyle name="Normal 3" xfId="9" xr:uid="{00000000-0005-0000-0000-00000B000000}"/>
    <cellStyle name="Normal 3 2" xfId="14" xr:uid="{00000000-0005-0000-0000-00000C000000}"/>
    <cellStyle name="Normal 3 2 2" xfId="39" xr:uid="{9327C79C-2193-426D-8CCF-4A3933FA5CF0}"/>
    <cellStyle name="Normal 3 3" xfId="40" xr:uid="{F4C37CFF-D6D1-4908-A43D-6DC76A0C94C0}"/>
    <cellStyle name="Normal 3 4" xfId="41" xr:uid="{A0AACEA8-45B0-4EC4-A684-E629C73C9968}"/>
    <cellStyle name="Normal 3 5" xfId="42" xr:uid="{94FDE585-BB36-4FE7-B558-FACC6D03C6E6}"/>
    <cellStyle name="Normal 3 6" xfId="61" xr:uid="{FAB8F993-5B69-4A63-9D75-CC420015A070}"/>
    <cellStyle name="Normal 3 7" xfId="64" xr:uid="{716E1123-A87A-49C6-A32D-071788EE357E}"/>
    <cellStyle name="Normal 3 8" xfId="21" xr:uid="{F583571F-9C54-4930-92E5-86F33ACB3023}"/>
    <cellStyle name="Normal 3_Support file - Capital stock_final" xfId="43" xr:uid="{EFAB339E-FE75-460A-A3E1-2E5C3898892E}"/>
    <cellStyle name="Normal 4" xfId="15" xr:uid="{00000000-0005-0000-0000-00000D000000}"/>
    <cellStyle name="Normal 4 2" xfId="44" xr:uid="{1C3C4DAC-3160-4DC9-9468-A4238E3F9EDB}"/>
    <cellStyle name="Normal 5" xfId="45" xr:uid="{49D8EE15-A32E-4BC4-BEDF-0374A7FD6B79}"/>
    <cellStyle name="Normal 6" xfId="46" xr:uid="{FE20C90A-5144-4769-AAEC-BAA2F37DE788}"/>
    <cellStyle name="Normal 7" xfId="47" xr:uid="{7852F141-1A35-4819-A477-81F76F017A0E}"/>
    <cellStyle name="Normal 8" xfId="48" xr:uid="{93DDD638-8F86-4C2E-922E-E79483718D43}"/>
    <cellStyle name="Normal 9" xfId="49" xr:uid="{DC79E534-6D40-4EE1-8E5D-F152B106ADB5}"/>
    <cellStyle name="Normal_IEA_ETP model 1.23 HS Scenarios 1.0_Model 1.45a 3 cases 1.3" xfId="8" xr:uid="{00000000-0005-0000-0000-00000E000000}"/>
    <cellStyle name="Output" xfId="18" builtinId="21"/>
    <cellStyle name="Percent" xfId="1" builtinId="5"/>
    <cellStyle name="Percent 10" xfId="20" xr:uid="{00000000-0005-0000-0000-000011000000}"/>
    <cellStyle name="Percent 2" xfId="7" xr:uid="{00000000-0005-0000-0000-000012000000}"/>
    <cellStyle name="Percent 2 2" xfId="51" xr:uid="{18DA0C58-CFC1-4CCD-9CD0-9E8C43E8F177}"/>
    <cellStyle name="Percent 2 3" xfId="52" xr:uid="{15F927FC-27AF-44D1-8AA2-E0F4EBC5E803}"/>
    <cellStyle name="Percent 2 4" xfId="50" xr:uid="{8B3A2B96-B6BD-40A5-9D26-2CA3FBD658FB}"/>
    <cellStyle name="Percent 3" xfId="53" xr:uid="{6398E6FE-2872-4D26-BA32-37666F26B601}"/>
    <cellStyle name="Percent 4" xfId="54" xr:uid="{65B13B87-991A-436F-9C23-8836630C91AA}"/>
    <cellStyle name="Percent 5" xfId="55" xr:uid="{C52F4EE8-2B69-46B2-8AB8-30C870CE336E}"/>
    <cellStyle name="Percent 6" xfId="56" xr:uid="{CED84468-C660-47E3-BB2F-1B13BB79729B}"/>
    <cellStyle name="Percent 7" xfId="57" xr:uid="{CD1E7682-45BE-41E0-8AAD-C0B1841E0521}"/>
    <cellStyle name="Percent 8" xfId="58" xr:uid="{2018EA89-0215-447C-B5D7-3FFEE8FB0DCF}"/>
    <cellStyle name="Percent 9" xfId="59" xr:uid="{77BF9324-3EB9-4AA3-AB42-664EA38C3085}"/>
    <cellStyle name="Percent 9 2" xfId="63" xr:uid="{FB72325A-57D6-41C4-AD93-865F9C30D202}"/>
    <cellStyle name="Standard_WEO 2008 - RE Technology Cost (status 27-03-2008)-ext" xfId="60" xr:uid="{B8A54C90-1235-4DBB-8DC1-92AA508A2532}"/>
    <cellStyle name="Style 1" xfId="4" xr:uid="{00000000-0005-0000-0000-000013000000}"/>
    <cellStyle name="Style 2" xfId="5" xr:uid="{00000000-0005-0000-0000-000014000000}"/>
  </cellStyles>
  <dxfs count="265">
    <dxf>
      <font>
        <strike val="0"/>
        <outline val="0"/>
        <shadow val="0"/>
        <u val="none"/>
        <vertAlign val="baseline"/>
        <sz val="10"/>
        <color auto="1"/>
        <name val="Calibri"/>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rgb="FFD0CCCD"/>
        </patternFill>
      </fill>
      <alignment horizontal="right"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rgb="FFD0CCCD"/>
        </patternFill>
      </fill>
      <alignment horizontal="right"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rgb="FFD0CCCD"/>
        </patternFill>
      </fill>
      <alignment horizontal="left"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4D1434"/>
        </patternFill>
      </fill>
      <alignment horizontal="general"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border outline="0">
        <left style="medium">
          <color rgb="FFFFFFFF"/>
        </left>
        <top style="medium">
          <color rgb="FFFFFFFF"/>
        </top>
      </border>
    </dxf>
    <dxf>
      <font>
        <strike val="0"/>
        <outline val="0"/>
        <shadow val="0"/>
        <u val="none"/>
        <vertAlign val="baseline"/>
        <sz val="10"/>
        <name val="Calibri"/>
        <scheme val="minor"/>
      </font>
    </dxf>
    <dxf>
      <font>
        <b/>
        <i val="0"/>
        <strike val="0"/>
        <condense val="0"/>
        <extend val="0"/>
        <outline val="0"/>
        <shadow val="0"/>
        <u val="none"/>
        <vertAlign val="baseline"/>
        <sz val="10"/>
        <color rgb="FFFFFFFF"/>
        <name val="Calibri"/>
        <scheme val="minor"/>
      </font>
      <fill>
        <patternFill patternType="solid">
          <fgColor indexed="64"/>
          <bgColor rgb="FF4D1434"/>
        </patternFill>
      </fill>
      <alignment horizontal="general" vertical="center" textRotation="0" wrapText="0"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0"/>
        <name val="Calibri"/>
        <scheme val="minor"/>
      </font>
      <numFmt numFmtId="1" formatCode="0"/>
      <alignment horizontal="center" vertical="bottom" textRotation="0" wrapText="0" indent="0" justifyLastLine="0" shrinkToFit="0" readingOrder="0"/>
    </dxf>
    <dxf>
      <font>
        <strike val="0"/>
        <outline val="0"/>
        <shadow val="0"/>
        <u val="none"/>
        <vertAlign val="baseline"/>
        <sz val="10"/>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 formatCode="0"/>
      <alignment horizontal="center" vertical="bottom" textRotation="0" wrapText="0" indent="0" justifyLastLine="0" shrinkToFit="0" readingOrder="0"/>
    </dxf>
    <dxf>
      <font>
        <strike val="0"/>
        <outline val="0"/>
        <shadow val="0"/>
        <u val="none"/>
        <vertAlign val="baseline"/>
        <sz val="10"/>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 formatCode="0"/>
      <alignment horizontal="center" vertical="bottom" textRotation="0" wrapText="0" indent="0" justifyLastLine="0" shrinkToFit="0" readingOrder="0"/>
    </dxf>
    <dxf>
      <font>
        <strike val="0"/>
        <outline val="0"/>
        <shadow val="0"/>
        <u val="none"/>
        <vertAlign val="baseline"/>
        <sz val="10"/>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67" formatCode="0.0%"/>
    </dxf>
    <dxf>
      <numFmt numFmtId="167" formatCode="0.0%"/>
    </dxf>
    <dxf>
      <border outline="0">
        <bottom style="thin">
          <color indexed="64"/>
        </bottom>
      </border>
    </dxf>
    <dxf>
      <border outline="0">
        <bottom style="dotted">
          <color indexed="64"/>
        </bottom>
      </border>
    </dxf>
    <dxf>
      <font>
        <b/>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dxf>
    <dxf>
      <border outline="0">
        <bottom style="dotted">
          <color indexed="64"/>
        </bottom>
      </border>
    </dxf>
    <dxf>
      <font>
        <b/>
        <i val="0"/>
        <strike val="0"/>
        <condense val="0"/>
        <extend val="0"/>
        <outline val="0"/>
        <shadow val="0"/>
        <u val="none"/>
        <vertAlign val="baseline"/>
        <sz val="10"/>
        <color auto="1"/>
        <name val="Arial"/>
        <scheme val="none"/>
      </font>
      <numFmt numFmtId="0" formatCode="Genera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ont>
        <b val="0"/>
        <i/>
      </font>
    </dxf>
    <dxf>
      <font>
        <b val="0"/>
        <i/>
      </font>
    </dxf>
    <dxf>
      <font>
        <b val="0"/>
        <i/>
      </font>
    </dxf>
    <dxf>
      <font>
        <b val="0"/>
        <i/>
      </font>
    </dxf>
    <dxf>
      <font>
        <b val="0"/>
        <i/>
      </font>
    </dxf>
    <dxf>
      <font>
        <b val="0"/>
        <i/>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499984740745262"/>
      </font>
      <fill>
        <patternFill>
          <bgColor theme="0" tint="-0.499984740745262"/>
        </patternFill>
      </fill>
      <border>
        <left style="thin">
          <color auto="1"/>
        </left>
        <right style="thin">
          <color auto="1"/>
        </right>
        <top style="thin">
          <color auto="1"/>
        </top>
        <bottom style="thin">
          <color auto="1"/>
        </bottom>
        <vertical/>
        <horizontal/>
      </border>
    </dxf>
    <dxf>
      <font>
        <color theme="0" tint="-0.499984740745262"/>
      </font>
      <fill>
        <patternFill>
          <bgColor theme="0" tint="-0.499984740745262"/>
        </patternFill>
      </fill>
      <border>
        <left style="thin">
          <color auto="1"/>
        </left>
        <right style="thin">
          <color auto="1"/>
        </right>
        <top style="thin">
          <color auto="1"/>
        </top>
        <bottom style="thin">
          <color auto="1"/>
        </bottom>
        <vertical/>
        <horizontal/>
      </border>
    </dxf>
    <dxf>
      <font>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theme="0"/>
        </patternFill>
      </fill>
      <border>
        <left/>
        <right/>
        <top/>
        <bottom/>
      </border>
    </dxf>
    <dxf>
      <font>
        <color theme="0"/>
      </font>
      <fill>
        <patternFill>
          <fgColor theme="0"/>
          <bgColor theme="0"/>
        </patternFill>
      </fill>
      <border>
        <left/>
        <right/>
        <top/>
        <bottom/>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right/>
        <top/>
        <bottom/>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b val="0"/>
        <i/>
      </font>
    </dxf>
    <dxf>
      <font>
        <b val="0"/>
        <i/>
      </font>
    </dxf>
    <dxf>
      <font>
        <b val="0"/>
        <i/>
      </font>
    </dxf>
    <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dxf>
    <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dxf>
    <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dxf>
    <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fgColor theme="0"/>
        </patternFill>
      </fill>
    </dxf>
    <dxf>
      <font>
        <color theme="0"/>
      </font>
      <fill>
        <patternFill>
          <fgColor theme="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fgColor theme="0"/>
          <bgColor theme="0"/>
        </patternFill>
      </fill>
      <border>
        <left/>
        <right/>
        <top/>
        <bottom/>
        <vertical/>
        <horizontal/>
      </border>
    </dxf>
    <dxf>
      <font>
        <color theme="0"/>
      </font>
      <fill>
        <patternFill patternType="solid">
          <bgColor theme="0"/>
        </patternFill>
      </fill>
      <border>
        <left/>
        <right/>
        <top/>
        <bottom/>
      </border>
    </dxf>
    <dxf>
      <font>
        <color theme="0"/>
      </font>
      <fill>
        <patternFill patternType="solid">
          <fgColor theme="0"/>
          <bgColor theme="0"/>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fill>
        <patternFill patternType="solid">
          <fgColor theme="0"/>
          <bgColor theme="0"/>
        </patternFill>
      </fill>
      <border>
        <left/>
        <right/>
        <top/>
        <bottom/>
        <vertical/>
        <horizontal/>
      </border>
    </dxf>
    <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dxf>
    <dxf>
      <font>
        <color theme="0"/>
      </font>
      <fill>
        <patternFill patternType="solid">
          <fgColor theme="0"/>
          <bgColor theme="0"/>
        </patternFill>
      </fill>
      <border>
        <left/>
        <right/>
        <top/>
        <bottom/>
        <vertical/>
        <horizontal/>
      </border>
    </dxf>
    <dxf>
      <font>
        <color theme="0" tint="-0.34998626667073579"/>
      </font>
      <fill>
        <patternFill>
          <bgColor theme="0" tint="-0.34998626667073579"/>
        </patternFill>
      </fill>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patternFill>
      </fill>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ill>
        <patternFill patternType="darkUp">
          <fgColor theme="0" tint="-0.34998626667073579"/>
          <bgColor theme="0"/>
        </patternFill>
      </fill>
    </dxf>
    <dxf>
      <fill>
        <patternFill patternType="darkDown">
          <fgColor theme="0" tint="-0.34998626667073579"/>
        </patternFill>
      </fill>
    </dxf>
    <dxf>
      <font>
        <b val="0"/>
        <i/>
      </font>
    </dxf>
    <dxf>
      <font>
        <b val="0"/>
        <i/>
      </font>
    </dxf>
    <dxf>
      <font>
        <b val="0"/>
        <i/>
      </font>
    </dxf>
    <dxf>
      <font>
        <b val="0"/>
        <i/>
      </font>
    </dxf>
    <dxf>
      <font>
        <b val="0"/>
        <i/>
      </font>
    </dxf>
    <dxf>
      <font>
        <b val="0"/>
        <i/>
      </font>
    </dxf>
    <dxf>
      <font>
        <b val="0"/>
        <i/>
      </font>
    </dxf>
    <dxf>
      <font>
        <b val="0"/>
        <i/>
      </font>
    </dxf>
    <dxf>
      <fill>
        <patternFill patternType="darkDown">
          <fgColor theme="0" tint="-0.34998626667073579"/>
        </patternFill>
      </fill>
    </dxf>
    <dxf>
      <fill>
        <patternFill patternType="darkDown">
          <fgColor theme="0" tint="-0.34998626667073579"/>
        </patternFill>
      </fill>
    </dxf>
    <dxf>
      <fill>
        <patternFill patternType="darkUp">
          <fgColor theme="0" tint="-0.34998626667073579"/>
          <bgColor theme="0"/>
        </patternFill>
      </fill>
    </dxf>
    <dxf>
      <fill>
        <patternFill patternType="darkDown">
          <fgColor theme="0" tint="-0.34998626667073579"/>
        </patternFill>
      </fill>
    </dxf>
  </dxfs>
  <tableStyles count="0" defaultTableStyle="TableStyleMedium2" defaultPivotStyle="PivotStyleLight16"/>
  <colors>
    <mruColors>
      <color rgb="FF00546E"/>
      <color rgb="FF006699"/>
      <color rgb="FFB5395F"/>
      <color rgb="FFDF99AF"/>
      <color rgb="FFCDACE6"/>
      <color rgb="FFFFF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Catalogues!$AL$7</c:f>
          <c:strCache>
            <c:ptCount val="1"/>
            <c:pt idx="0">
              <c:v> WTW intensity target</c:v>
            </c:pt>
          </c:strCache>
        </c:strRef>
      </c:tx>
      <c:layout>
        <c:manualLayout>
          <c:xMode val="edge"/>
          <c:yMode val="edge"/>
          <c:x val="0.27371331638693513"/>
          <c:y val="4.553304551815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MX"/>
        </a:p>
      </c:txPr>
    </c:title>
    <c:autoTitleDeleted val="0"/>
    <c:plotArea>
      <c:layout>
        <c:manualLayout>
          <c:layoutTarget val="inner"/>
          <c:xMode val="edge"/>
          <c:yMode val="edge"/>
          <c:x val="0.13587488164917516"/>
          <c:y val="0.16242086875175471"/>
          <c:w val="0.82140907703424737"/>
          <c:h val="0.56525742492819786"/>
        </c:manualLayout>
      </c:layout>
      <c:lineChart>
        <c:grouping val="standard"/>
        <c:varyColors val="0"/>
        <c:ser>
          <c:idx val="1"/>
          <c:order val="0"/>
          <c:tx>
            <c:v>Sector Intensity</c:v>
          </c:tx>
          <c:spPr>
            <a:ln w="28575" cap="rnd">
              <a:solidFill>
                <a:schemeClr val="accent4"/>
              </a:solidFill>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Calculations!$H$96:$AN$96</c:f>
              <c:numCache>
                <c:formatCode>0</c:formatCode>
                <c:ptCount val="33"/>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96D8-442F-9674-9E470CDE30B5}"/>
            </c:ext>
          </c:extLst>
        </c:ser>
        <c:ser>
          <c:idx val="0"/>
          <c:order val="1"/>
          <c:tx>
            <c:v>Company Intensity</c:v>
          </c:tx>
          <c:spPr>
            <a:ln w="28575" cap="rnd">
              <a:solidFill>
                <a:srgbClr val="00546E"/>
              </a:solidFill>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Calculations!$H$93:$AN$93</c:f>
              <c:numCache>
                <c:formatCode>0</c:formatCode>
                <c:ptCount val="33"/>
                <c:pt idx="0">
                  <c:v>#N/A</c:v>
                </c:pt>
                <c:pt idx="1">
                  <c:v>0</c:v>
                </c:pt>
                <c:pt idx="2">
                  <c:v>#N/A</c:v>
                </c:pt>
                <c:pt idx="3">
                  <c:v>#N/A</c:v>
                </c:pt>
                <c:pt idx="4">
                  <c:v>#N/A</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96D8-442F-9674-9E470CDE30B5}"/>
            </c:ext>
          </c:extLst>
        </c:ser>
        <c:ser>
          <c:idx val="4"/>
          <c:order val="2"/>
          <c:tx>
            <c:v>COVID Sector Correction</c:v>
          </c:tx>
          <c:spPr>
            <a:ln w="28575" cap="rnd">
              <a:solidFill>
                <a:schemeClr val="accent4"/>
              </a:solidFill>
              <a:prstDash val="sysDash"/>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Calculations!$H$101:$AN$101</c:f>
              <c:numCache>
                <c:formatCode>0</c:formatCode>
                <c:ptCount val="33"/>
                <c:pt idx="0">
                  <c:v>#N/A</c:v>
                </c:pt>
                <c:pt idx="1">
                  <c:v>0</c:v>
                </c:pt>
                <c:pt idx="2">
                  <c:v>0</c:v>
                </c:pt>
                <c:pt idx="3">
                  <c:v>0</c:v>
                </c:pt>
                <c:pt idx="4">
                  <c:v>0</c:v>
                </c:pt>
                <c:pt idx="5">
                  <c:v>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1-B697-4402-A71E-09D6F4362277}"/>
            </c:ext>
          </c:extLst>
        </c:ser>
        <c:ser>
          <c:idx val="3"/>
          <c:order val="3"/>
          <c:tx>
            <c:v>COVID Company Correction</c:v>
          </c:tx>
          <c:spPr>
            <a:ln w="28575" cap="rnd">
              <a:solidFill>
                <a:schemeClr val="accent1"/>
              </a:solidFill>
              <a:prstDash val="sysDash"/>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Calculations!$H$99:$AN$99</c:f>
              <c:numCache>
                <c:formatCode>0</c:formatCode>
                <c:ptCount val="33"/>
                <c:pt idx="0">
                  <c:v>#N/A</c:v>
                </c:pt>
                <c:pt idx="1">
                  <c:v>0</c:v>
                </c:pt>
                <c:pt idx="2">
                  <c:v>0</c:v>
                </c:pt>
                <c:pt idx="3">
                  <c:v>0</c:v>
                </c:pt>
                <c:pt idx="4">
                  <c:v>0</c:v>
                </c:pt>
                <c:pt idx="5">
                  <c:v>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0-B697-4402-A71E-09D6F4362277}"/>
            </c:ext>
          </c:extLst>
        </c:ser>
        <c:ser>
          <c:idx val="2"/>
          <c:order val="4"/>
          <c:tx>
            <c:v>Target Year</c:v>
          </c:tx>
          <c:spPr>
            <a:ln w="28575" cap="rnd">
              <a:solidFill>
                <a:schemeClr val="bg1">
                  <a:lumMod val="50000"/>
                </a:schemeClr>
              </a:solidFill>
              <a:round/>
            </a:ln>
            <a:effectLst/>
          </c:spPr>
          <c:marker>
            <c:symbol val="circle"/>
            <c:size val="7"/>
            <c:spPr>
              <a:solidFill>
                <a:schemeClr val="accent3"/>
              </a:solidFill>
              <a:ln w="9525">
                <a:solidFill>
                  <a:schemeClr val="accent3"/>
                </a:solidFill>
              </a:ln>
              <a:effectLst/>
            </c:spPr>
          </c:marker>
          <c:dLbls>
            <c:dLbl>
              <c:idx val="17"/>
              <c:layout>
                <c:manualLayout>
                  <c:x val="6.1749069509592337E-2"/>
                  <c:y val="-5.7791804493071856E-2"/>
                </c:manualLayout>
              </c:layout>
              <c:numFmt formatCode="&quot;Target Intensity: &quot;\ 0.0\ &quot;gCO2/RTK&quot;" sourceLinked="0"/>
              <c:spPr>
                <a:solidFill>
                  <a:sysClr val="window" lastClr="FFFFFF"/>
                </a:solidFill>
                <a:ln w="6350">
                  <a:solidFill>
                    <a:sysClr val="windowText" lastClr="000000">
                      <a:lumMod val="25000"/>
                      <a:lumOff val="75000"/>
                    </a:sysClr>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extLst>
                <c:ext xmlns:c15="http://schemas.microsoft.com/office/drawing/2012/chart" uri="{CE6537A1-D6FC-4f65-9D91-7224C49458BB}">
                  <c15:layout>
                    <c:manualLayout>
                      <c:w val="0.25385992461078172"/>
                      <c:h val="9.4411156506261279E-2"/>
                    </c:manualLayout>
                  </c15:layout>
                </c:ext>
                <c:ext xmlns:c16="http://schemas.microsoft.com/office/drawing/2014/chart" uri="{C3380CC4-5D6E-409C-BE32-E72D297353CC}">
                  <c16:uniqueId val="{00000000-6568-A641-B1DB-6D9E6960D0AC}"/>
                </c:ext>
              </c:extLst>
            </c:dLbl>
            <c:spPr>
              <a:noFill/>
              <a:ln w="6350">
                <a:solidFill>
                  <a:sysClr val="windowText" lastClr="000000">
                    <a:lumMod val="25000"/>
                    <a:lumOff val="75000"/>
                  </a:sys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Calculations!$H$94:$AN$94</c:f>
              <c:numCache>
                <c:formatCode>0</c:formatCode>
                <c:ptCount val="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2-96D8-442F-9674-9E470CDE30B5}"/>
            </c:ext>
          </c:extLst>
        </c:ser>
        <c:dLbls>
          <c:showLegendKey val="0"/>
          <c:showVal val="0"/>
          <c:showCatName val="0"/>
          <c:showSerName val="0"/>
          <c:showPercent val="0"/>
          <c:showBubbleSize val="0"/>
        </c:dLbls>
        <c:smooth val="0"/>
        <c:axId val="547283712"/>
        <c:axId val="832546368"/>
      </c:lineChart>
      <c:catAx>
        <c:axId val="547283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46368"/>
        <c:crosses val="autoZero"/>
        <c:auto val="0"/>
        <c:lblAlgn val="ctr"/>
        <c:lblOffset val="100"/>
        <c:tickLblSkip val="5"/>
        <c:tickMarkSkip val="5"/>
        <c:noMultiLvlLbl val="0"/>
      </c:catAx>
      <c:valAx>
        <c:axId val="832546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Intensity</a:t>
                </a:r>
                <a:r>
                  <a:rPr lang="en-US" baseline="0">
                    <a:solidFill>
                      <a:schemeClr val="tx1"/>
                    </a:solidFill>
                  </a:rPr>
                  <a:t> gCO2/RTK</a:t>
                </a:r>
                <a:endParaRPr lang="en-US">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47283712"/>
        <c:crosses val="autoZero"/>
        <c:crossBetween val="between"/>
      </c:valAx>
      <c:spPr>
        <a:noFill/>
        <a:ln>
          <a:noFill/>
        </a:ln>
        <a:effectLst/>
      </c:spPr>
    </c:plotArea>
    <c:legend>
      <c:legendPos val="b"/>
      <c:legendEntry>
        <c:idx val="2"/>
        <c:delete val="1"/>
      </c:legendEntry>
      <c:legendEntry>
        <c:idx val="3"/>
        <c:delete val="1"/>
      </c:legendEntry>
      <c:legendEntry>
        <c:idx val="4"/>
        <c:delete val="1"/>
      </c:legendEntry>
      <c:layout>
        <c:manualLayout>
          <c:xMode val="edge"/>
          <c:yMode val="edge"/>
          <c:x val="0.11046045436381353"/>
          <c:y val="0.84623786888131358"/>
          <c:w val="0.8049699407603037"/>
          <c:h val="0.124746670857600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Absolute emissions target</a:t>
            </a:r>
          </a:p>
        </c:rich>
      </c:tx>
      <c:layout>
        <c:manualLayout>
          <c:xMode val="edge"/>
          <c:yMode val="edge"/>
          <c:x val="0.32260406719362911"/>
          <c:y val="4.1997539671691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MX"/>
        </a:p>
      </c:txPr>
    </c:title>
    <c:autoTitleDeleted val="0"/>
    <c:plotArea>
      <c:layout>
        <c:manualLayout>
          <c:layoutTarget val="inner"/>
          <c:xMode val="edge"/>
          <c:yMode val="edge"/>
          <c:x val="0.11611210590470433"/>
          <c:y val="0.17544637542493577"/>
          <c:w val="0.6846925815529088"/>
          <c:h val="0.56608620590569936"/>
        </c:manualLayout>
      </c:layout>
      <c:scatterChart>
        <c:scatterStyle val="smoothMarker"/>
        <c:varyColors val="0"/>
        <c:ser>
          <c:idx val="1"/>
          <c:order val="0"/>
          <c:tx>
            <c:v>Company Emissions</c:v>
          </c:tx>
          <c:spPr>
            <a:ln w="28575" cap="rnd">
              <a:solidFill>
                <a:srgbClr val="00546E"/>
              </a:solidFill>
              <a:round/>
            </a:ln>
            <a:effectLst/>
          </c:spPr>
          <c:marker>
            <c:symbol val="none"/>
          </c:marker>
          <c:xVal>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Calculations!$H$91:$AN$91</c:f>
              <c:numCache>
                <c:formatCode>0</c:formatCode>
                <c:ptCount val="33"/>
                <c:pt idx="0">
                  <c:v>#N/A</c:v>
                </c:pt>
                <c:pt idx="1">
                  <c:v>0</c:v>
                </c:pt>
                <c:pt idx="2">
                  <c:v>#N/A</c:v>
                </c:pt>
                <c:pt idx="3">
                  <c:v>#N/A</c:v>
                </c:pt>
                <c:pt idx="4">
                  <c:v>#N/A</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yVal>
          <c:smooth val="1"/>
          <c:extLst>
            <c:ext xmlns:c16="http://schemas.microsoft.com/office/drawing/2014/chart" uri="{C3380CC4-5D6E-409C-BE32-E72D297353CC}">
              <c16:uniqueId val="{00000001-CC60-4C2E-B310-F91F0BCA5717}"/>
            </c:ext>
          </c:extLst>
        </c:ser>
        <c:ser>
          <c:idx val="0"/>
          <c:order val="1"/>
          <c:tx>
            <c:v>Target Year</c:v>
          </c:tx>
          <c:spPr>
            <a:ln w="28575" cap="rnd">
              <a:solidFill>
                <a:schemeClr val="accent1"/>
              </a:solidFill>
              <a:round/>
            </a:ln>
            <a:effectLst/>
          </c:spPr>
          <c:marker>
            <c:symbol val="circle"/>
            <c:size val="5"/>
            <c:spPr>
              <a:solidFill>
                <a:schemeClr val="bg1">
                  <a:lumMod val="50000"/>
                </a:schemeClr>
              </a:solidFill>
              <a:ln w="9525">
                <a:solidFill>
                  <a:schemeClr val="accent1"/>
                </a:solidFill>
              </a:ln>
              <a:effectLst/>
            </c:spPr>
          </c:marker>
          <c:dLbls>
            <c:dLbl>
              <c:idx val="17"/>
              <c:layout>
                <c:manualLayout>
                  <c:x val="-0.18729218195406999"/>
                  <c:y val="0.1032439516929087"/>
                </c:manualLayout>
              </c:layout>
              <c:numFmt formatCode="&quot;Target Year Emissions: &quot;0&quot; MTCO2e&quot;" sourceLinked="0"/>
              <c:spPr>
                <a:solidFill>
                  <a:sysClr val="window" lastClr="FFFFFF"/>
                </a:solidFill>
                <a:ln w="6350">
                  <a:solidFill>
                    <a:sysClr val="windowText" lastClr="000000">
                      <a:lumMod val="25000"/>
                      <a:lumOff val="75000"/>
                    </a:sysClr>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0.22039222683357351"/>
                      <c:h val="9.4337111274741065E-2"/>
                    </c:manualLayout>
                  </c15:layout>
                </c:ext>
                <c:ext xmlns:c16="http://schemas.microsoft.com/office/drawing/2014/chart" uri="{C3380CC4-5D6E-409C-BE32-E72D297353CC}">
                  <c16:uniqueId val="{00000000-2287-4F3E-8493-35E1F9C1064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Calculations!$H$95:$AN$95</c:f>
              <c:numCache>
                <c:formatCode>0</c:formatCode>
                <c:ptCount val="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yVal>
          <c:smooth val="1"/>
          <c:extLst>
            <c:ext xmlns:c16="http://schemas.microsoft.com/office/drawing/2014/chart" uri="{C3380CC4-5D6E-409C-BE32-E72D297353CC}">
              <c16:uniqueId val="{00000004-CC60-4C2E-B310-F91F0BCA5717}"/>
            </c:ext>
          </c:extLst>
        </c:ser>
        <c:ser>
          <c:idx val="2"/>
          <c:order val="2"/>
          <c:tx>
            <c:v>COVID</c:v>
          </c:tx>
          <c:spPr>
            <a:ln w="28575" cap="rnd">
              <a:solidFill>
                <a:schemeClr val="accent1"/>
              </a:solidFill>
              <a:prstDash val="sysDash"/>
              <a:round/>
            </a:ln>
            <a:effectLst/>
          </c:spPr>
          <c:marker>
            <c:symbol val="none"/>
          </c:marker>
          <c:xVal>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Calculations!$H$100:$AN$100</c:f>
              <c:numCache>
                <c:formatCode>0</c:formatCode>
                <c:ptCount val="33"/>
                <c:pt idx="0">
                  <c:v>#N/A</c:v>
                </c:pt>
                <c:pt idx="1">
                  <c:v>0</c:v>
                </c:pt>
                <c:pt idx="2">
                  <c:v>0</c:v>
                </c:pt>
                <c:pt idx="3">
                  <c:v>0</c:v>
                </c:pt>
                <c:pt idx="4">
                  <c:v>0</c:v>
                </c:pt>
                <c:pt idx="5">
                  <c:v>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yVal>
          <c:smooth val="1"/>
          <c:extLst>
            <c:ext xmlns:c16="http://schemas.microsoft.com/office/drawing/2014/chart" uri="{C3380CC4-5D6E-409C-BE32-E72D297353CC}">
              <c16:uniqueId val="{00000002-FF14-45FA-8CB9-737927DFB2D6}"/>
            </c:ext>
          </c:extLst>
        </c:ser>
        <c:dLbls>
          <c:showLegendKey val="0"/>
          <c:showVal val="0"/>
          <c:showCatName val="0"/>
          <c:showSerName val="0"/>
          <c:showPercent val="0"/>
          <c:showBubbleSize val="0"/>
        </c:dLbls>
        <c:axId val="832557792"/>
        <c:axId val="832553440"/>
      </c:scatterChart>
      <c:scatterChart>
        <c:scatterStyle val="smoothMarker"/>
        <c:varyColors val="0"/>
        <c:ser>
          <c:idx val="3"/>
          <c:order val="3"/>
          <c:tx>
            <c:v>Sector Emissions</c:v>
          </c:tx>
          <c:spPr>
            <a:ln w="28575" cap="rnd">
              <a:solidFill>
                <a:schemeClr val="accent4"/>
              </a:solidFill>
              <a:round/>
            </a:ln>
            <a:effectLst/>
          </c:spPr>
          <c:marker>
            <c:symbol val="none"/>
          </c:marker>
          <c:xVal>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Calculations!$H$104:$AN$104</c:f>
              <c:numCache>
                <c:formatCode>0</c:formatCode>
                <c:ptCount val="33"/>
                <c:pt idx="0">
                  <c:v>1093.0484849290001</c:v>
                </c:pt>
                <c:pt idx="1">
                  <c:v>1113.2430097929002</c:v>
                </c:pt>
                <c:pt idx="2">
                  <c:v>#N/A</c:v>
                </c:pt>
                <c:pt idx="3">
                  <c:v>#N/A</c:v>
                </c:pt>
                <c:pt idx="4">
                  <c:v>#N/A</c:v>
                </c:pt>
                <c:pt idx="5">
                  <c:v>1095.5032268106504</c:v>
                </c:pt>
                <c:pt idx="6">
                  <c:v>1091.0682810650885</c:v>
                </c:pt>
                <c:pt idx="7">
                  <c:v>1086.6333353195259</c:v>
                </c:pt>
                <c:pt idx="8">
                  <c:v>1082.1983895739638</c:v>
                </c:pt>
                <c:pt idx="9">
                  <c:v>1077.7634438284013</c:v>
                </c:pt>
                <c:pt idx="10">
                  <c:v>1073.3284980828385</c:v>
                </c:pt>
                <c:pt idx="11">
                  <c:v>1068.8935523372763</c:v>
                </c:pt>
                <c:pt idx="12">
                  <c:v>1064.4586065917129</c:v>
                </c:pt>
                <c:pt idx="13">
                  <c:v>1053.2736495455192</c:v>
                </c:pt>
                <c:pt idx="14">
                  <c:v>1006.6285652598915</c:v>
                </c:pt>
                <c:pt idx="15">
                  <c:v>963.95113701174796</c:v>
                </c:pt>
                <c:pt idx="16">
                  <c:v>920.60826820254408</c:v>
                </c:pt>
                <c:pt idx="17">
                  <c:v>858.84756126518107</c:v>
                </c:pt>
                <c:pt idx="18">
                  <c:v>795.40212499321615</c:v>
                </c:pt>
                <c:pt idx="19">
                  <c:v>731.61083873248515</c:v>
                </c:pt>
                <c:pt idx="20">
                  <c:v>667.75401808030836</c:v>
                </c:pt>
                <c:pt idx="21">
                  <c:v>604.10737387225402</c:v>
                </c:pt>
                <c:pt idx="22">
                  <c:v>540.86370582476513</c:v>
                </c:pt>
                <c:pt idx="23">
                  <c:v>485.07628547795809</c:v>
                </c:pt>
                <c:pt idx="24">
                  <c:v>429.8218466035184</c:v>
                </c:pt>
                <c:pt idx="25">
                  <c:v>374.96371349977562</c:v>
                </c:pt>
                <c:pt idx="26">
                  <c:v>320.29348720302181</c:v>
                </c:pt>
                <c:pt idx="27">
                  <c:v>265.55951632767113</c:v>
                </c:pt>
                <c:pt idx="28">
                  <c:v>209.909031952828</c:v>
                </c:pt>
                <c:pt idx="29">
                  <c:v>153.6697949241011</c:v>
                </c:pt>
                <c:pt idx="30">
                  <c:v>96.612789693395285</c:v>
                </c:pt>
                <c:pt idx="31">
                  <c:v>77.623954873889332</c:v>
                </c:pt>
                <c:pt idx="32">
                  <c:v>69.472519533170157</c:v>
                </c:pt>
              </c:numCache>
            </c:numRef>
          </c:yVal>
          <c:smooth val="1"/>
          <c:extLst>
            <c:ext xmlns:c16="http://schemas.microsoft.com/office/drawing/2014/chart" uri="{C3380CC4-5D6E-409C-BE32-E72D297353CC}">
              <c16:uniqueId val="{00000001-2287-4F3E-8493-35E1F9C10642}"/>
            </c:ext>
          </c:extLst>
        </c:ser>
        <c:ser>
          <c:idx val="4"/>
          <c:order val="4"/>
          <c:tx>
            <c:v>COVID Sector Emissions</c:v>
          </c:tx>
          <c:spPr>
            <a:ln w="28575" cap="rnd">
              <a:solidFill>
                <a:schemeClr val="accent4"/>
              </a:solidFill>
              <a:prstDash val="sysDash"/>
              <a:round/>
            </a:ln>
            <a:effectLst/>
          </c:spPr>
          <c:marker>
            <c:symbol val="none"/>
          </c:marker>
          <c:xVal>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Calculations!$H$102:$AN$102</c:f>
              <c:numCache>
                <c:formatCode>0</c:formatCode>
                <c:ptCount val="33"/>
                <c:pt idx="0">
                  <c:v>#N/A</c:v>
                </c:pt>
                <c:pt idx="1">
                  <c:v>1113.2430097929002</c:v>
                </c:pt>
                <c:pt idx="2">
                  <c:v>1108.8080640473377</c:v>
                </c:pt>
                <c:pt idx="3">
                  <c:v>1104.3731183017753</c:v>
                </c:pt>
                <c:pt idx="4">
                  <c:v>1099.938172556213</c:v>
                </c:pt>
                <c:pt idx="5">
                  <c:v>1095.5032268106504</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yVal>
          <c:smooth val="1"/>
          <c:extLst>
            <c:ext xmlns:c16="http://schemas.microsoft.com/office/drawing/2014/chart" uri="{C3380CC4-5D6E-409C-BE32-E72D297353CC}">
              <c16:uniqueId val="{00000003-2287-4F3E-8493-35E1F9C10642}"/>
            </c:ext>
          </c:extLst>
        </c:ser>
        <c:dLbls>
          <c:showLegendKey val="0"/>
          <c:showVal val="0"/>
          <c:showCatName val="0"/>
          <c:showSerName val="0"/>
          <c:showPercent val="0"/>
          <c:showBubbleSize val="0"/>
        </c:dLbls>
        <c:axId val="832545280"/>
        <c:axId val="832544192"/>
      </c:scatterChart>
      <c:valAx>
        <c:axId val="832557792"/>
        <c:scaling>
          <c:orientation val="minMax"/>
          <c:max val="2050"/>
        </c:scaling>
        <c:delete val="0"/>
        <c:axPos val="b"/>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53440"/>
        <c:crosses val="autoZero"/>
        <c:crossBetween val="midCat"/>
      </c:valAx>
      <c:valAx>
        <c:axId val="8325534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Company Emissions (MTCO2e)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57792"/>
        <c:crosses val="autoZero"/>
        <c:crossBetween val="midCat"/>
      </c:valAx>
      <c:valAx>
        <c:axId val="832544192"/>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Weight avg. Sector Emissions (MTCO2e)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45280"/>
        <c:crosses val="max"/>
        <c:crossBetween val="midCat"/>
      </c:valAx>
      <c:valAx>
        <c:axId val="832545280"/>
        <c:scaling>
          <c:orientation val="minMax"/>
        </c:scaling>
        <c:delete val="1"/>
        <c:axPos val="b"/>
        <c:numFmt formatCode="0" sourceLinked="1"/>
        <c:majorTickMark val="out"/>
        <c:minorTickMark val="none"/>
        <c:tickLblPos val="nextTo"/>
        <c:crossAx val="832544192"/>
        <c:crosses val="autoZero"/>
        <c:crossBetween val="midCat"/>
      </c:valAx>
      <c:spPr>
        <a:noFill/>
        <a:ln>
          <a:noFill/>
        </a:ln>
        <a:effectLst/>
      </c:spPr>
    </c:plotArea>
    <c:legend>
      <c:legendPos val="b"/>
      <c:legendEntry>
        <c:idx val="1"/>
        <c:delete val="1"/>
      </c:legendEntry>
      <c:legendEntry>
        <c:idx val="2"/>
        <c:delete val="1"/>
      </c:legendEntry>
      <c:legendEntry>
        <c:idx val="4"/>
        <c:delete val="1"/>
      </c:legendEntry>
      <c:layout>
        <c:manualLayout>
          <c:xMode val="edge"/>
          <c:yMode val="edge"/>
          <c:x val="8.8736761191214597E-2"/>
          <c:y val="0.86402214139996969"/>
          <c:w val="0.77550431867637526"/>
          <c:h val="6.22273918524897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Catalogues!$AL$2</c:f>
          <c:strCache>
            <c:ptCount val="1"/>
            <c:pt idx="0">
              <c:v>Mid-long haul PAX WTW  intensity target</c:v>
            </c:pt>
          </c:strCache>
        </c:strRef>
      </c:tx>
      <c:layout>
        <c:manualLayout>
          <c:xMode val="edge"/>
          <c:yMode val="edge"/>
          <c:x val="0.12728027588301483"/>
          <c:y val="7.22712390818580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MX"/>
        </a:p>
      </c:txPr>
    </c:title>
    <c:autoTitleDeleted val="0"/>
    <c:plotArea>
      <c:layout>
        <c:manualLayout>
          <c:layoutTarget val="inner"/>
          <c:xMode val="edge"/>
          <c:yMode val="edge"/>
          <c:x val="0.12854996393833429"/>
          <c:y val="0.24425971615044051"/>
          <c:w val="0.82140907703424737"/>
          <c:h val="0.47067134480146589"/>
        </c:manualLayout>
      </c:layout>
      <c:lineChart>
        <c:grouping val="standard"/>
        <c:varyColors val="0"/>
        <c:ser>
          <c:idx val="1"/>
          <c:order val="0"/>
          <c:tx>
            <c:v>Sector Intensity</c:v>
          </c:tx>
          <c:spPr>
            <a:ln w="28575" cap="rnd">
              <a:solidFill>
                <a:schemeClr val="accent4"/>
              </a:solidFill>
              <a:round/>
            </a:ln>
            <a:effectLst/>
          </c:spPr>
          <c:marker>
            <c:symbol val="none"/>
          </c:marker>
          <c:cat>
            <c:numRef>
              <c:f>Calculations!$E$74:$AN$74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Calculations!$E$77:$AN$77</c:f>
              <c:numCache>
                <c:formatCode>0</c:formatCode>
                <c:ptCount val="36"/>
                <c:pt idx="0">
                  <c:v>1096.0396793216892</c:v>
                </c:pt>
                <c:pt idx="1">
                  <c:v>1075.2751494415108</c:v>
                </c:pt>
                <c:pt idx="2">
                  <c:v>1057.1446938529884</c:v>
                </c:pt>
                <c:pt idx="3">
                  <c:v>1041.1769908854865</c:v>
                </c:pt>
                <c:pt idx="4">
                  <c:v>1019.4512923512447</c:v>
                </c:pt>
                <c:pt idx="5">
                  <c:v>#N/A</c:v>
                </c:pt>
                <c:pt idx="6">
                  <c:v>#N/A</c:v>
                </c:pt>
                <c:pt idx="7">
                  <c:v>#N/A</c:v>
                </c:pt>
                <c:pt idx="8">
                  <c:v>887.79642890515197</c:v>
                </c:pt>
                <c:pt idx="9">
                  <c:v>859.48342258566197</c:v>
                </c:pt>
                <c:pt idx="10">
                  <c:v>832.71041113431227</c:v>
                </c:pt>
                <c:pt idx="11">
                  <c:v>807.3550765016679</c:v>
                </c:pt>
                <c:pt idx="12">
                  <c:v>783.30772041928174</c:v>
                </c:pt>
                <c:pt idx="13">
                  <c:v>760.46967781454384</c:v>
                </c:pt>
                <c:pt idx="14">
                  <c:v>738.75196371706863</c:v>
                </c:pt>
                <c:pt idx="15">
                  <c:v>718.07411452732924</c:v>
                </c:pt>
                <c:pt idx="16">
                  <c:v>689.59400272816458</c:v>
                </c:pt>
                <c:pt idx="17">
                  <c:v>645.38859475793447</c:v>
                </c:pt>
                <c:pt idx="18">
                  <c:v>601.25909262026914</c:v>
                </c:pt>
                <c:pt idx="19">
                  <c:v>558.60883137901624</c:v>
                </c:pt>
                <c:pt idx="20">
                  <c:v>506.30934461556944</c:v>
                </c:pt>
                <c:pt idx="21">
                  <c:v>455.49305683097293</c:v>
                </c:pt>
                <c:pt idx="22">
                  <c:v>406.9653729079867</c:v>
                </c:pt>
                <c:pt idx="23">
                  <c:v>360.8064339984648</c:v>
                </c:pt>
                <c:pt idx="24">
                  <c:v>317.07777290038342</c:v>
                </c:pt>
                <c:pt idx="25">
                  <c:v>275.78060750483019</c:v>
                </c:pt>
                <c:pt idx="26">
                  <c:v>240.28026861098257</c:v>
                </c:pt>
                <c:pt idx="27">
                  <c:v>206.85580398285825</c:v>
                </c:pt>
                <c:pt idx="28">
                  <c:v>175.34148702202853</c:v>
                </c:pt>
                <c:pt idx="29">
                  <c:v>145.54997315769481</c:v>
                </c:pt>
                <c:pt idx="30">
                  <c:v>117.28995721512264</c:v>
                </c:pt>
                <c:pt idx="31">
                  <c:v>90.126249911503777</c:v>
                </c:pt>
                <c:pt idx="32">
                  <c:v>64.17147269634512</c:v>
                </c:pt>
                <c:pt idx="33">
                  <c:v>39.292137729352461</c:v>
                </c:pt>
                <c:pt idx="34">
                  <c:v>30.472369745491687</c:v>
                </c:pt>
                <c:pt idx="35">
                  <c:v>26.091664201540663</c:v>
                </c:pt>
              </c:numCache>
            </c:numRef>
          </c:val>
          <c:smooth val="0"/>
          <c:extLst>
            <c:ext xmlns:c16="http://schemas.microsoft.com/office/drawing/2014/chart" uri="{C3380CC4-5D6E-409C-BE32-E72D297353CC}">
              <c16:uniqueId val="{00000001-E8F9-402E-9963-F6410D7B9F07}"/>
            </c:ext>
          </c:extLst>
        </c:ser>
        <c:ser>
          <c:idx val="0"/>
          <c:order val="1"/>
          <c:tx>
            <c:v>Company Intensity</c:v>
          </c:tx>
          <c:spPr>
            <a:ln w="28575" cap="rnd">
              <a:solidFill>
                <a:srgbClr val="00546E"/>
              </a:solidFill>
              <a:round/>
            </a:ln>
            <a:effectLst/>
          </c:spPr>
          <c:marker>
            <c:symbol val="none"/>
          </c:marker>
          <c:cat>
            <c:numRef>
              <c:f>Calculations!$E$74:$AN$74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Calculations!$E$85:$AN$85</c:f>
              <c:numCache>
                <c:formatCode>0</c:formatCode>
                <c:ptCount val="36"/>
                <c:pt idx="0">
                  <c:v>#N/A</c:v>
                </c:pt>
                <c:pt idx="1">
                  <c:v>#N/A</c:v>
                </c:pt>
                <c:pt idx="2">
                  <c:v>#N/A</c:v>
                </c:pt>
                <c:pt idx="3">
                  <c:v>#N/A</c:v>
                </c:pt>
                <c:pt idx="4">
                  <c:v>0</c:v>
                </c:pt>
                <c:pt idx="5">
                  <c:v>#N/A</c:v>
                </c:pt>
                <c:pt idx="6">
                  <c:v>#N/A</c:v>
                </c:pt>
                <c:pt idx="7">
                  <c:v>#N/A</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E8F9-402E-9963-F6410D7B9F07}"/>
            </c:ext>
          </c:extLst>
        </c:ser>
        <c:ser>
          <c:idx val="3"/>
          <c:order val="2"/>
          <c:tx>
            <c:v>COVID Sector Correction</c:v>
          </c:tx>
          <c:spPr>
            <a:ln w="28575" cap="rnd">
              <a:solidFill>
                <a:schemeClr val="accent4"/>
              </a:solidFill>
              <a:prstDash val="sysDash"/>
              <a:round/>
            </a:ln>
            <a:effectLst/>
          </c:spPr>
          <c:marker>
            <c:symbol val="none"/>
          </c:marker>
          <c:cat>
            <c:numRef>
              <c:f>Calculations!$E$74:$AN$74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Calculations!$E$88:$AN$88</c:f>
              <c:numCache>
                <c:formatCode>0</c:formatCode>
                <c:ptCount val="36"/>
                <c:pt idx="0">
                  <c:v>#N/A</c:v>
                </c:pt>
                <c:pt idx="1">
                  <c:v>#N/A</c:v>
                </c:pt>
                <c:pt idx="2">
                  <c:v>#N/A</c:v>
                </c:pt>
                <c:pt idx="3">
                  <c:v>#N/A</c:v>
                </c:pt>
                <c:pt idx="4">
                  <c:v>1019.4512923512447</c:v>
                </c:pt>
                <c:pt idx="5">
                  <c:v>986.53757648972146</c:v>
                </c:pt>
                <c:pt idx="6">
                  <c:v>953.62386062819826</c:v>
                </c:pt>
                <c:pt idx="7">
                  <c:v>920.71014476667506</c:v>
                </c:pt>
                <c:pt idx="8">
                  <c:v>887.79642890515197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EE7A-4358-888F-8EDB87957EC0}"/>
            </c:ext>
          </c:extLst>
        </c:ser>
        <c:ser>
          <c:idx val="4"/>
          <c:order val="3"/>
          <c:tx>
            <c:v>COVID Company Correction</c:v>
          </c:tx>
          <c:spPr>
            <a:ln w="28575" cap="rnd">
              <a:solidFill>
                <a:schemeClr val="accent1"/>
              </a:solidFill>
              <a:prstDash val="sysDash"/>
              <a:round/>
            </a:ln>
            <a:effectLst/>
          </c:spPr>
          <c:marker>
            <c:symbol val="none"/>
          </c:marker>
          <c:cat>
            <c:numRef>
              <c:f>Calculations!$E$74:$AN$74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Calculations!$E$89:$AN$89</c:f>
              <c:numCache>
                <c:formatCode>0</c:formatCode>
                <c:ptCount val="36"/>
                <c:pt idx="0">
                  <c:v>#N/A</c:v>
                </c:pt>
                <c:pt idx="1">
                  <c:v>#N/A</c:v>
                </c:pt>
                <c:pt idx="2">
                  <c:v>#N/A</c:v>
                </c:pt>
                <c:pt idx="3">
                  <c:v>#N/A</c:v>
                </c:pt>
                <c:pt idx="4">
                  <c:v>0</c:v>
                </c:pt>
                <c:pt idx="5">
                  <c:v>0</c:v>
                </c:pt>
                <c:pt idx="6">
                  <c:v>0</c:v>
                </c:pt>
                <c:pt idx="7">
                  <c:v>0</c:v>
                </c:pt>
                <c:pt idx="8">
                  <c:v>0</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EE7A-4358-888F-8EDB87957EC0}"/>
            </c:ext>
          </c:extLst>
        </c:ser>
        <c:ser>
          <c:idx val="2"/>
          <c:order val="4"/>
          <c:tx>
            <c:v>Target Year</c:v>
          </c:tx>
          <c:spPr>
            <a:ln w="28575" cap="rnd">
              <a:solidFill>
                <a:schemeClr val="accent3"/>
              </a:solidFill>
              <a:round/>
            </a:ln>
            <a:effectLst/>
          </c:spPr>
          <c:marker>
            <c:symbol val="circle"/>
            <c:size val="7"/>
            <c:spPr>
              <a:solidFill>
                <a:schemeClr val="accent3"/>
              </a:solidFill>
              <a:ln w="9525">
                <a:solidFill>
                  <a:schemeClr val="accent3"/>
                </a:solidFill>
              </a:ln>
              <a:effectLst/>
            </c:spPr>
          </c:marker>
          <c:dLbls>
            <c:dLbl>
              <c:idx val="20"/>
              <c:layout>
                <c:manualLayout>
                  <c:x val="-8.5928636453219663E-17"/>
                  <c:y val="-3.21205507030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BF-4846-9E16-2117AD2EAA5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Calculations!$E$74:$AN$74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Calculations!$E$86:$AN$86</c:f>
              <c:numCache>
                <c:formatCode>0</c:formatCode>
                <c:ptCount val="36"/>
                <c:pt idx="0">
                  <c:v>#N/A</c:v>
                </c:pt>
                <c:pt idx="1">
                  <c:v>#N/A</c:v>
                </c:pt>
                <c:pt idx="2">
                  <c:v>#N/A</c:v>
                </c:pt>
                <c:pt idx="3">
                  <c:v>#N/A</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3-E8F9-402E-9963-F6410D7B9F07}"/>
            </c:ext>
          </c:extLst>
        </c:ser>
        <c:dLbls>
          <c:showLegendKey val="0"/>
          <c:showVal val="0"/>
          <c:showCatName val="0"/>
          <c:showSerName val="0"/>
          <c:showPercent val="0"/>
          <c:showBubbleSize val="0"/>
        </c:dLbls>
        <c:smooth val="0"/>
        <c:axId val="832559424"/>
        <c:axId val="832556160"/>
        <c:extLst/>
      </c:lineChart>
      <c:catAx>
        <c:axId val="832559424"/>
        <c:scaling>
          <c:orientation val="minMax"/>
        </c:scaling>
        <c:delete val="0"/>
        <c:axPos val="b"/>
        <c:numFmt formatCode="General" sourceLinked="0"/>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56160"/>
        <c:crosses val="autoZero"/>
        <c:auto val="0"/>
        <c:lblAlgn val="ctr"/>
        <c:lblOffset val="100"/>
        <c:tickLblSkip val="5"/>
        <c:noMultiLvlLbl val="1"/>
      </c:catAx>
      <c:valAx>
        <c:axId val="83255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Intensity gCO2/RTK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59424"/>
        <c:crosses val="autoZero"/>
        <c:crossBetween val="between"/>
      </c:valAx>
      <c:spPr>
        <a:noFill/>
        <a:ln>
          <a:noFill/>
        </a:ln>
        <a:effectLst/>
      </c:spPr>
    </c:plotArea>
    <c:legend>
      <c:legendPos val="b"/>
      <c:legendEntry>
        <c:idx val="2"/>
        <c:delete val="1"/>
      </c:legendEntry>
      <c:legendEntry>
        <c:idx val="3"/>
        <c:delete val="1"/>
      </c:legendEntry>
      <c:legendEntry>
        <c:idx val="4"/>
        <c:delete val="1"/>
      </c:legendEntry>
      <c:layout>
        <c:manualLayout>
          <c:xMode val="edge"/>
          <c:yMode val="edge"/>
          <c:x val="8.9438940848779028E-2"/>
          <c:y val="0.78268297648750396"/>
          <c:w val="0.83188298361520407"/>
          <c:h val="0.1972416793230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Catalogues!$AL$3</c:f>
          <c:strCache>
            <c:ptCount val="1"/>
            <c:pt idx="0">
              <c:v>Short-long haul PAX WTW  intensity target</c:v>
            </c:pt>
          </c:strCache>
        </c:strRef>
      </c:tx>
      <c:layout>
        <c:manualLayout>
          <c:xMode val="edge"/>
          <c:yMode val="edge"/>
          <c:x val="0.10609694427711966"/>
          <c:y val="7.22712390818580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MX"/>
        </a:p>
      </c:txPr>
    </c:title>
    <c:autoTitleDeleted val="0"/>
    <c:plotArea>
      <c:layout>
        <c:manualLayout>
          <c:layoutTarget val="inner"/>
          <c:xMode val="edge"/>
          <c:yMode val="edge"/>
          <c:x val="0.14059708929195577"/>
          <c:y val="0.25630492266408356"/>
          <c:w val="0.82140907703424737"/>
          <c:h val="0.462641207125704"/>
        </c:manualLayout>
      </c:layout>
      <c:lineChart>
        <c:grouping val="standard"/>
        <c:varyColors val="0"/>
        <c:ser>
          <c:idx val="1"/>
          <c:order val="0"/>
          <c:tx>
            <c:v>Sector Intensity</c:v>
          </c:tx>
          <c:spPr>
            <a:ln w="28575" cap="rnd">
              <a:solidFill>
                <a:schemeClr val="accent4"/>
              </a:solidFill>
              <a:round/>
            </a:ln>
            <a:effectLst/>
          </c:spPr>
          <c:marker>
            <c:symbol val="none"/>
          </c:marker>
          <c:cat>
            <c:numRef>
              <c:extLst>
                <c:ext xmlns:c15="http://schemas.microsoft.com/office/drawing/2012/chart" uri="{02D57815-91ED-43cb-92C2-25804820EDAC}">
                  <c15:fullRef>
                    <c15:sqref>Calculations!$E$58:$AN$58</c15:sqref>
                  </c15:fullRef>
                </c:ext>
              </c:extLst>
              <c:f>(Calculations!$E$58:$F$58,Calculations!$H$58:$AN$58)</c:f>
              <c:numCache>
                <c:formatCode>0</c:formatCode>
                <c:ptCount val="35"/>
                <c:pt idx="0">
                  <c:v>2015</c:v>
                </c:pt>
                <c:pt idx="1">
                  <c:v>2016</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extLst>
                <c:ext xmlns:c15="http://schemas.microsoft.com/office/drawing/2012/chart" uri="{02D57815-91ED-43cb-92C2-25804820EDAC}">
                  <c15:fullRef>
                    <c15:sqref>Calculations!$E$61:$AN$61</c15:sqref>
                  </c15:fullRef>
                </c:ext>
              </c:extLst>
              <c:f>(Calculations!$E$61:$F$61,Calculations!$H$61:$AN$61)</c:f>
              <c:numCache>
                <c:formatCode>0</c:formatCode>
                <c:ptCount val="35"/>
                <c:pt idx="0">
                  <c:v>1401.0714773798429</c:v>
                </c:pt>
                <c:pt idx="1">
                  <c:v>1374.5281039005874</c:v>
                </c:pt>
                <c:pt idx="2">
                  <c:v>1330.9403047676328</c:v>
                </c:pt>
                <c:pt idx="3">
                  <c:v>1303.1682659292971</c:v>
                </c:pt>
                <c:pt idx="4">
                  <c:v>#N/A</c:v>
                </c:pt>
                <c:pt idx="5">
                  <c:v>#N/A</c:v>
                </c:pt>
                <c:pt idx="6">
                  <c:v>#N/A</c:v>
                </c:pt>
                <c:pt idx="7">
                  <c:v>1134.8733788803036</c:v>
                </c:pt>
                <c:pt idx="8">
                  <c:v>1098.6807607283199</c:v>
                </c:pt>
                <c:pt idx="9">
                  <c:v>1064.4567235736938</c:v>
                </c:pt>
                <c:pt idx="10">
                  <c:v>1032.0449078124209</c:v>
                </c:pt>
                <c:pt idx="11">
                  <c:v>1001.3050857520744</c:v>
                </c:pt>
                <c:pt idx="12">
                  <c:v>972.11113347428238</c:v>
                </c:pt>
                <c:pt idx="13">
                  <c:v>944.34930117027864</c:v>
                </c:pt>
                <c:pt idx="14">
                  <c:v>917.91673193041765</c:v>
                </c:pt>
                <c:pt idx="15">
                  <c:v>881.51050224072799</c:v>
                </c:pt>
                <c:pt idx="16">
                  <c:v>825.00256970733778</c:v>
                </c:pt>
                <c:pt idx="17">
                  <c:v>768.59166787363779</c:v>
                </c:pt>
                <c:pt idx="18">
                  <c:v>714.07168501599176</c:v>
                </c:pt>
                <c:pt idx="19">
                  <c:v>647.21706235194904</c:v>
                </c:pt>
                <c:pt idx="20">
                  <c:v>582.25841829502394</c:v>
                </c:pt>
                <c:pt idx="21">
                  <c:v>520.22530481333126</c:v>
                </c:pt>
                <c:pt idx="22">
                  <c:v>461.22016663049334</c:v>
                </c:pt>
                <c:pt idx="23">
                  <c:v>405.32166134421749</c:v>
                </c:pt>
                <c:pt idx="24">
                  <c:v>352.53134578907668</c:v>
                </c:pt>
                <c:pt idx="25">
                  <c:v>307.15113447020349</c:v>
                </c:pt>
                <c:pt idx="26">
                  <c:v>264.4245207164584</c:v>
                </c:pt>
                <c:pt idx="27">
                  <c:v>224.13965561900861</c:v>
                </c:pt>
                <c:pt idx="28">
                  <c:v>186.05705593692781</c:v>
                </c:pt>
                <c:pt idx="29">
                  <c:v>149.93217557498562</c:v>
                </c:pt>
                <c:pt idx="30">
                  <c:v>115.20871050249102</c:v>
                </c:pt>
                <c:pt idx="31">
                  <c:v>82.030625124768079</c:v>
                </c:pt>
                <c:pt idx="32">
                  <c:v>50.227281453848306</c:v>
                </c:pt>
                <c:pt idx="33">
                  <c:v>38.95294021198491</c:v>
                </c:pt>
                <c:pt idx="34">
                  <c:v>33.353068506402145</c:v>
                </c:pt>
              </c:numCache>
            </c:numRef>
          </c:val>
          <c:smooth val="0"/>
          <c:extLst>
            <c:ext xmlns:c16="http://schemas.microsoft.com/office/drawing/2014/chart" uri="{C3380CC4-5D6E-409C-BE32-E72D297353CC}">
              <c16:uniqueId val="{00000001-FE5E-42C1-9B40-976B50B33A4F}"/>
            </c:ext>
          </c:extLst>
        </c:ser>
        <c:ser>
          <c:idx val="0"/>
          <c:order val="1"/>
          <c:tx>
            <c:v>Company Intensity</c:v>
          </c:tx>
          <c:spPr>
            <a:ln w="28575" cap="rnd">
              <a:solidFill>
                <a:srgbClr val="00546E"/>
              </a:solidFill>
              <a:round/>
            </a:ln>
            <a:effectLst/>
          </c:spPr>
          <c:marker>
            <c:symbol val="none"/>
          </c:marker>
          <c:cat>
            <c:numRef>
              <c:extLst>
                <c:ext xmlns:c15="http://schemas.microsoft.com/office/drawing/2012/chart" uri="{02D57815-91ED-43cb-92C2-25804820EDAC}">
                  <c15:fullRef>
                    <c15:sqref>Calculations!$E$58:$AN$58</c15:sqref>
                  </c15:fullRef>
                </c:ext>
              </c:extLst>
              <c:f>(Calculations!$E$58:$F$58,Calculations!$H$58:$AN$58)</c:f>
              <c:numCache>
                <c:formatCode>0</c:formatCode>
                <c:ptCount val="35"/>
                <c:pt idx="0">
                  <c:v>2015</c:v>
                </c:pt>
                <c:pt idx="1">
                  <c:v>2016</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extLst>
                <c:ext xmlns:c15="http://schemas.microsoft.com/office/drawing/2012/chart" uri="{02D57815-91ED-43cb-92C2-25804820EDAC}">
                  <c15:fullRef>
                    <c15:sqref>Calculations!$E$69:$AN$69</c15:sqref>
                  </c15:fullRef>
                </c:ext>
              </c:extLst>
              <c:f>(Calculations!$E$69:$F$69,Calculations!$H$69:$AN$69)</c:f>
              <c:numCache>
                <c:formatCode>0</c:formatCode>
                <c:ptCount val="35"/>
                <c:pt idx="0">
                  <c:v>#N/A</c:v>
                </c:pt>
                <c:pt idx="1">
                  <c:v>#N/A</c:v>
                </c:pt>
                <c:pt idx="2">
                  <c:v>#N/A</c:v>
                </c:pt>
                <c:pt idx="3">
                  <c:v>0</c:v>
                </c:pt>
                <c:pt idx="4">
                  <c:v>#N/A</c:v>
                </c:pt>
                <c:pt idx="5">
                  <c:v>#N/A</c:v>
                </c:pt>
                <c:pt idx="6">
                  <c:v>#N/A</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0-FE5E-42C1-9B40-976B50B33A4F}"/>
            </c:ext>
          </c:extLst>
        </c:ser>
        <c:ser>
          <c:idx val="4"/>
          <c:order val="2"/>
          <c:tx>
            <c:v>COVID Sector Correction</c:v>
          </c:tx>
          <c:spPr>
            <a:ln w="28575" cap="rnd">
              <a:solidFill>
                <a:schemeClr val="accent4"/>
              </a:solidFill>
              <a:prstDash val="sysDash"/>
              <a:round/>
            </a:ln>
            <a:effectLst/>
          </c:spPr>
          <c:marker>
            <c:symbol val="none"/>
          </c:marker>
          <c:cat>
            <c:strLit>
              <c:ptCount val="35"/>
              <c:pt idx="0">
                <c:v>2015</c:v>
              </c:pt>
              <c:pt idx="1">
                <c:v>2016</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Calculations!$E$72:$AM$72</c15:sqref>
                  </c15:fullRef>
                </c:ext>
              </c:extLst>
              <c:f>(Calculations!$E$72:$F$72,Calculations!$H$72:$AM$72)</c:f>
              <c:numCache>
                <c:formatCode>0</c:formatCode>
                <c:ptCount val="34"/>
                <c:pt idx="0">
                  <c:v>#N/A</c:v>
                </c:pt>
                <c:pt idx="1">
                  <c:v>#N/A</c:v>
                </c:pt>
                <c:pt idx="2">
                  <c:v>#N/A</c:v>
                </c:pt>
                <c:pt idx="3">
                  <c:v>1303.1682659292971</c:v>
                </c:pt>
                <c:pt idx="4">
                  <c:v>1261.0945441670488</c:v>
                </c:pt>
                <c:pt idx="5">
                  <c:v>1219.0208224048004</c:v>
                </c:pt>
                <c:pt idx="6">
                  <c:v>1176.947100642552</c:v>
                </c:pt>
                <c:pt idx="7">
                  <c:v>1134.8733788803036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2-8871-44B9-BAFF-43DAC6F1834E}"/>
            </c:ext>
          </c:extLst>
        </c:ser>
        <c:ser>
          <c:idx val="3"/>
          <c:order val="3"/>
          <c:tx>
            <c:v>COVID Company Correction</c:v>
          </c:tx>
          <c:spPr>
            <a:ln w="28575" cap="rnd">
              <a:solidFill>
                <a:schemeClr val="accent1"/>
              </a:solidFill>
              <a:prstDash val="sysDash"/>
              <a:round/>
            </a:ln>
            <a:effectLst/>
          </c:spPr>
          <c:marker>
            <c:symbol val="none"/>
          </c:marker>
          <c:cat>
            <c:strLit>
              <c:ptCount val="35"/>
              <c:pt idx="0">
                <c:v>2015</c:v>
              </c:pt>
              <c:pt idx="1">
                <c:v>2016</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Calculations!$E$73:$AM$73</c15:sqref>
                  </c15:fullRef>
                </c:ext>
              </c:extLst>
              <c:f>(Calculations!$E$73:$F$73,Calculations!$H$73:$AM$73)</c:f>
              <c:numCache>
                <c:formatCode>0</c:formatCode>
                <c:ptCount val="34"/>
                <c:pt idx="0">
                  <c:v>#N/A</c:v>
                </c:pt>
                <c:pt idx="1">
                  <c:v>#N/A</c:v>
                </c:pt>
                <c:pt idx="2">
                  <c:v>#N/A</c:v>
                </c:pt>
                <c:pt idx="3">
                  <c:v>0</c:v>
                </c:pt>
                <c:pt idx="4">
                  <c:v>0</c:v>
                </c:pt>
                <c:pt idx="5">
                  <c:v>0</c:v>
                </c:pt>
                <c:pt idx="6">
                  <c:v>0</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8871-44B9-BAFF-43DAC6F1834E}"/>
            </c:ext>
          </c:extLst>
        </c:ser>
        <c:ser>
          <c:idx val="2"/>
          <c:order val="4"/>
          <c:tx>
            <c:v>Target Year</c:v>
          </c:tx>
          <c:spPr>
            <a:ln w="28575" cap="rnd">
              <a:solidFill>
                <a:schemeClr val="accent3"/>
              </a:solidFill>
              <a:round/>
            </a:ln>
            <a:effectLst/>
          </c:spPr>
          <c:marker>
            <c:symbol val="circle"/>
            <c:size val="7"/>
            <c:spPr>
              <a:solidFill>
                <a:schemeClr val="accent3"/>
              </a:solidFill>
              <a:ln w="9525">
                <a:solidFill>
                  <a:schemeClr val="accent3"/>
                </a:solidFill>
              </a:ln>
              <a:effectLst/>
            </c:spPr>
          </c:marker>
          <c:dLbls>
            <c:dLbl>
              <c:idx val="3"/>
              <c:layout>
                <c:manualLayout>
                  <c:x val="3.0694806981534779E-2"/>
                  <c:y val="-2.4090413027286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E3-43B0-8E28-41B20673939D}"/>
                </c:ext>
              </c:extLst>
            </c:dLbl>
            <c:dLbl>
              <c:idx val="19"/>
              <c:layout>
                <c:manualLayout>
                  <c:x val="4.7222779971591968E-3"/>
                  <c:y val="-5.621096373033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E3-43B0-8E28-41B20673939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extLst>
                <c:ext xmlns:c15="http://schemas.microsoft.com/office/drawing/2012/chart" uri="{02D57815-91ED-43cb-92C2-25804820EDAC}">
                  <c15:fullRef>
                    <c15:sqref>Calculations!$E$58:$AN$58</c15:sqref>
                  </c15:fullRef>
                </c:ext>
              </c:extLst>
              <c:f>(Calculations!$E$58:$F$58,Calculations!$H$58:$AN$58)</c:f>
              <c:numCache>
                <c:formatCode>0</c:formatCode>
                <c:ptCount val="35"/>
                <c:pt idx="0">
                  <c:v>2015</c:v>
                </c:pt>
                <c:pt idx="1">
                  <c:v>2016</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extLst>
                <c:ext xmlns:c15="http://schemas.microsoft.com/office/drawing/2012/chart" uri="{02D57815-91ED-43cb-92C2-25804820EDAC}">
                  <c15:fullRef>
                    <c15:sqref>Calculations!$E$70:$AN$70</c15:sqref>
                  </c15:fullRef>
                </c:ext>
              </c:extLst>
              <c:f>(Calculations!$E$70:$F$70,Calculations!$H$70:$AN$70)</c:f>
              <c:numCache>
                <c:formatCode>0</c:formatCode>
                <c:ptCount val="35"/>
                <c:pt idx="0">
                  <c:v>#N/A</c:v>
                </c:pt>
                <c:pt idx="1">
                  <c:v>#N/A</c:v>
                </c:pt>
                <c:pt idx="2">
                  <c:v>#N/A</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xmlns:c15="http://schemas.microsoft.com/office/drawing/2012/chart">
            <c:ext xmlns:c16="http://schemas.microsoft.com/office/drawing/2014/chart" uri="{C3380CC4-5D6E-409C-BE32-E72D297353CC}">
              <c16:uniqueId val="{00000003-FE5E-42C1-9B40-976B50B33A4F}"/>
            </c:ext>
          </c:extLst>
        </c:ser>
        <c:dLbls>
          <c:showLegendKey val="0"/>
          <c:showVal val="0"/>
          <c:showCatName val="0"/>
          <c:showSerName val="0"/>
          <c:showPercent val="0"/>
          <c:showBubbleSize val="0"/>
        </c:dLbls>
        <c:smooth val="0"/>
        <c:axId val="832547456"/>
        <c:axId val="832549088"/>
        <c:extLst/>
      </c:lineChart>
      <c:catAx>
        <c:axId val="832547456"/>
        <c:scaling>
          <c:orientation val="minMax"/>
        </c:scaling>
        <c:delete val="0"/>
        <c:axPos val="b"/>
        <c:numFmt formatCode="0"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49088"/>
        <c:crosses val="autoZero"/>
        <c:auto val="0"/>
        <c:lblAlgn val="ctr"/>
        <c:lblOffset val="100"/>
        <c:tickLblSkip val="5"/>
        <c:noMultiLvlLbl val="1"/>
      </c:catAx>
      <c:valAx>
        <c:axId val="832549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Intensity gCO2/RTK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47456"/>
        <c:crosses val="autoZero"/>
        <c:crossBetween val="midCat"/>
      </c:valAx>
      <c:spPr>
        <a:noFill/>
        <a:ln>
          <a:noFill/>
        </a:ln>
        <a:effectLst/>
      </c:spPr>
    </c:plotArea>
    <c:legend>
      <c:legendPos val="b"/>
      <c:legendEntry>
        <c:idx val="2"/>
        <c:delete val="1"/>
      </c:legendEntry>
      <c:legendEntry>
        <c:idx val="3"/>
        <c:delete val="1"/>
      </c:legendEntry>
      <c:legendEntry>
        <c:idx val="4"/>
        <c:delete val="1"/>
      </c:legendEntry>
      <c:layout>
        <c:manualLayout>
          <c:xMode val="edge"/>
          <c:yMode val="edge"/>
          <c:x val="0.16436074485569166"/>
          <c:y val="0.83588358703088506"/>
          <c:w val="0.73239103393352523"/>
          <c:h val="6.77547608599708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Catalogues!$AL$4</c:f>
          <c:strCache>
            <c:ptCount val="1"/>
            <c:pt idx="0">
              <c:v>Belly WTW  intensity target</c:v>
            </c:pt>
          </c:strCache>
        </c:strRef>
      </c:tx>
      <c:layout>
        <c:manualLayout>
          <c:xMode val="edge"/>
          <c:yMode val="edge"/>
          <c:x val="0.19407444758414796"/>
          <c:y val="5.62109281884842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MX"/>
        </a:p>
      </c:txPr>
    </c:title>
    <c:autoTitleDeleted val="0"/>
    <c:plotArea>
      <c:layout>
        <c:manualLayout>
          <c:layoutTarget val="inner"/>
          <c:xMode val="edge"/>
          <c:yMode val="edge"/>
          <c:x val="0.11636582606418154"/>
          <c:y val="0.23622942910815578"/>
          <c:w val="0.82140907703424737"/>
          <c:h val="0.41446056618775656"/>
        </c:manualLayout>
      </c:layout>
      <c:lineChart>
        <c:grouping val="standard"/>
        <c:varyColors val="0"/>
        <c:ser>
          <c:idx val="1"/>
          <c:order val="0"/>
          <c:tx>
            <c:v>Sector Intensity</c:v>
          </c:tx>
          <c:spPr>
            <a:ln w="28575" cap="rnd">
              <a:solidFill>
                <a:schemeClr val="accent4"/>
              </a:solidFill>
              <a:round/>
            </a:ln>
            <a:effectLst/>
          </c:spPr>
          <c:marker>
            <c:symbol val="none"/>
          </c:marker>
          <c:cat>
            <c:numRef>
              <c:f>Calculations!$E$42:$AN$42</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Calculations!$E$45:$AN$45</c:f>
              <c:numCache>
                <c:formatCode>0</c:formatCode>
                <c:ptCount val="36"/>
                <c:pt idx="0">
                  <c:v>683.29204166542684</c:v>
                </c:pt>
                <c:pt idx="1">
                  <c:v>670.34703768087195</c:v>
                </c:pt>
                <c:pt idx="2">
                  <c:v>659.04416585138404</c:v>
                </c:pt>
                <c:pt idx="3">
                  <c:v>649.08959525762248</c:v>
                </c:pt>
                <c:pt idx="4">
                  <c:v>635.54538040104273</c:v>
                </c:pt>
                <c:pt idx="5">
                  <c:v>#N/A</c:v>
                </c:pt>
                <c:pt idx="6">
                  <c:v>#N/A</c:v>
                </c:pt>
                <c:pt idx="7">
                  <c:v>#N/A</c:v>
                </c:pt>
                <c:pt idx="8">
                  <c:v>553.46922737806392</c:v>
                </c:pt>
                <c:pt idx="9">
                  <c:v>535.81835920356218</c:v>
                </c:pt>
                <c:pt idx="10">
                  <c:v>519.12755320332121</c:v>
                </c:pt>
                <c:pt idx="11">
                  <c:v>503.32055397226071</c:v>
                </c:pt>
                <c:pt idx="12">
                  <c:v>488.32897351747442</c:v>
                </c:pt>
                <c:pt idx="13">
                  <c:v>474.09130215078557</c:v>
                </c:pt>
                <c:pt idx="14">
                  <c:v>460.5520649443792</c:v>
                </c:pt>
                <c:pt idx="15">
                  <c:v>447.66109935556875</c:v>
                </c:pt>
                <c:pt idx="16">
                  <c:v>429.90605443771096</c:v>
                </c:pt>
                <c:pt idx="17">
                  <c:v>402.34755994659474</c:v>
                </c:pt>
                <c:pt idx="18">
                  <c:v>374.83638659930745</c:v>
                </c:pt>
                <c:pt idx="19">
                  <c:v>348.24740024150054</c:v>
                </c:pt>
                <c:pt idx="20">
                  <c:v>315.64290264633536</c:v>
                </c:pt>
                <c:pt idx="21">
                  <c:v>283.96305958473783</c:v>
                </c:pt>
                <c:pt idx="22">
                  <c:v>253.709975822704</c:v>
                </c:pt>
                <c:pt idx="23">
                  <c:v>224.93361288289125</c:v>
                </c:pt>
                <c:pt idx="24">
                  <c:v>197.67233148521848</c:v>
                </c:pt>
                <c:pt idx="25">
                  <c:v>171.92689088621964</c:v>
                </c:pt>
                <c:pt idx="26">
                  <c:v>149.79530249554762</c:v>
                </c:pt>
                <c:pt idx="27">
                  <c:v>128.95785371681438</c:v>
                </c:pt>
                <c:pt idx="28">
                  <c:v>109.31122742753327</c:v>
                </c:pt>
                <c:pt idx="29">
                  <c:v>90.738629448906778</c:v>
                </c:pt>
                <c:pt idx="30">
                  <c:v>73.120796486100161</c:v>
                </c:pt>
                <c:pt idx="31">
                  <c:v>56.186423239523393</c:v>
                </c:pt>
                <c:pt idx="32">
                  <c:v>40.00572006891133</c:v>
                </c:pt>
                <c:pt idx="33">
                  <c:v>24.495468108512217</c:v>
                </c:pt>
                <c:pt idx="34">
                  <c:v>18.997056521408702</c:v>
                </c:pt>
                <c:pt idx="35">
                  <c:v>16.266041128869425</c:v>
                </c:pt>
              </c:numCache>
            </c:numRef>
          </c:val>
          <c:smooth val="0"/>
          <c:extLst>
            <c:ext xmlns:c16="http://schemas.microsoft.com/office/drawing/2014/chart" uri="{C3380CC4-5D6E-409C-BE32-E72D297353CC}">
              <c16:uniqueId val="{00000001-8E12-41B9-B3AC-D85A26CCE00B}"/>
            </c:ext>
          </c:extLst>
        </c:ser>
        <c:ser>
          <c:idx val="0"/>
          <c:order val="1"/>
          <c:tx>
            <c:v>Company Intensity</c:v>
          </c:tx>
          <c:spPr>
            <a:ln w="28575" cap="rnd">
              <a:solidFill>
                <a:srgbClr val="00546E"/>
              </a:solidFill>
              <a:round/>
            </a:ln>
            <a:effectLst/>
          </c:spPr>
          <c:marker>
            <c:symbol val="none"/>
          </c:marker>
          <c:cat>
            <c:numRef>
              <c:f>Calculations!$E$42:$AN$42</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Calculations!$E$53:$AN$53</c:f>
              <c:numCache>
                <c:formatCode>0</c:formatCode>
                <c:ptCount val="36"/>
                <c:pt idx="0">
                  <c:v>#N/A</c:v>
                </c:pt>
                <c:pt idx="1">
                  <c:v>#N/A</c:v>
                </c:pt>
                <c:pt idx="2">
                  <c:v>#N/A</c:v>
                </c:pt>
                <c:pt idx="3">
                  <c:v>#N/A</c:v>
                </c:pt>
                <c:pt idx="4">
                  <c:v>0</c:v>
                </c:pt>
                <c:pt idx="5">
                  <c:v>#N/A</c:v>
                </c:pt>
                <c:pt idx="6">
                  <c:v>#N/A</c:v>
                </c:pt>
                <c:pt idx="7">
                  <c:v>#N/A</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8E12-41B9-B3AC-D85A26CCE00B}"/>
            </c:ext>
          </c:extLst>
        </c:ser>
        <c:ser>
          <c:idx val="3"/>
          <c:order val="2"/>
          <c:tx>
            <c:v>COVID Sector Correction</c:v>
          </c:tx>
          <c:spPr>
            <a:ln w="28575" cap="rnd">
              <a:solidFill>
                <a:schemeClr val="accent4"/>
              </a:solidFill>
              <a:prstDash val="sysDash"/>
              <a:round/>
            </a:ln>
            <a:effectLst/>
          </c:spPr>
          <c:marker>
            <c:symbol val="none"/>
          </c:marker>
          <c:val>
            <c:numRef>
              <c:f>Calculations!$E$56:$AN$56</c:f>
              <c:numCache>
                <c:formatCode>0</c:formatCode>
                <c:ptCount val="36"/>
                <c:pt idx="0">
                  <c:v>#N/A</c:v>
                </c:pt>
                <c:pt idx="1">
                  <c:v>#N/A</c:v>
                </c:pt>
                <c:pt idx="2">
                  <c:v>#N/A</c:v>
                </c:pt>
                <c:pt idx="3">
                  <c:v>#N/A</c:v>
                </c:pt>
                <c:pt idx="4">
                  <c:v>635.54538040104273</c:v>
                </c:pt>
                <c:pt idx="5">
                  <c:v>615.02634214529803</c:v>
                </c:pt>
                <c:pt idx="6">
                  <c:v>594.50730388955333</c:v>
                </c:pt>
                <c:pt idx="7">
                  <c:v>573.98826563380862</c:v>
                </c:pt>
                <c:pt idx="8">
                  <c:v>553.46922737806392</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EDD4-4504-9D29-CDF64130E55E}"/>
            </c:ext>
          </c:extLst>
        </c:ser>
        <c:ser>
          <c:idx val="4"/>
          <c:order val="3"/>
          <c:tx>
            <c:v>COVID Company Correction</c:v>
          </c:tx>
          <c:spPr>
            <a:ln w="28575" cap="rnd">
              <a:solidFill>
                <a:schemeClr val="accent1"/>
              </a:solidFill>
              <a:prstDash val="sysDash"/>
              <a:round/>
            </a:ln>
            <a:effectLst/>
          </c:spPr>
          <c:marker>
            <c:symbol val="none"/>
          </c:marker>
          <c:val>
            <c:numRef>
              <c:f>Calculations!$E$57:$AN$57</c:f>
              <c:numCache>
                <c:formatCode>0</c:formatCode>
                <c:ptCount val="36"/>
                <c:pt idx="0">
                  <c:v>#N/A</c:v>
                </c:pt>
                <c:pt idx="1">
                  <c:v>#N/A</c:v>
                </c:pt>
                <c:pt idx="2">
                  <c:v>#N/A</c:v>
                </c:pt>
                <c:pt idx="3">
                  <c:v>#N/A</c:v>
                </c:pt>
                <c:pt idx="4">
                  <c:v>0</c:v>
                </c:pt>
                <c:pt idx="5">
                  <c:v>0</c:v>
                </c:pt>
                <c:pt idx="6">
                  <c:v>0</c:v>
                </c:pt>
                <c:pt idx="7">
                  <c:v>0</c:v>
                </c:pt>
                <c:pt idx="8">
                  <c:v>0</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EDD4-4504-9D29-CDF64130E55E}"/>
            </c:ext>
          </c:extLst>
        </c:ser>
        <c:ser>
          <c:idx val="2"/>
          <c:order val="4"/>
          <c:tx>
            <c:v>Target Year</c:v>
          </c:tx>
          <c:spPr>
            <a:ln w="28575" cap="rnd">
              <a:solidFill>
                <a:schemeClr val="accent3"/>
              </a:solidFill>
              <a:round/>
            </a:ln>
            <a:effectLst/>
          </c:spPr>
          <c:marker>
            <c:symbol val="circle"/>
            <c:size val="7"/>
            <c:spPr>
              <a:solidFill>
                <a:schemeClr val="accent3"/>
              </a:solidFill>
              <a:ln w="9525">
                <a:solidFill>
                  <a:schemeClr val="accent3"/>
                </a:solidFill>
              </a:ln>
              <a:effectLst/>
            </c:spPr>
          </c:marker>
          <c:dLbls>
            <c:dLbl>
              <c:idx val="4"/>
              <c:layout>
                <c:manualLayout>
                  <c:x val="-4.6909503994787506E-3"/>
                  <c:y val="-5.6210928188484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57-4441-AD02-3847E915E92E}"/>
                </c:ext>
              </c:extLst>
            </c:dLbl>
            <c:dLbl>
              <c:idx val="20"/>
              <c:layout>
                <c:manualLayout>
                  <c:x val="4.6909503994787506E-3"/>
                  <c:y val="-4.4165729290951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57-4441-AD02-3847E915E92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Calculations!$E$42:$AN$42</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Calculations!$E$54:$AN$54</c:f>
              <c:numCache>
                <c:formatCode>0</c:formatCode>
                <c:ptCount val="36"/>
                <c:pt idx="0">
                  <c:v>#N/A</c:v>
                </c:pt>
                <c:pt idx="1">
                  <c:v>#N/A</c:v>
                </c:pt>
                <c:pt idx="2">
                  <c:v>#N/A</c:v>
                </c:pt>
                <c:pt idx="3">
                  <c:v>#N/A</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3-8E12-41B9-B3AC-D85A26CCE00B}"/>
            </c:ext>
          </c:extLst>
        </c:ser>
        <c:dLbls>
          <c:showLegendKey val="0"/>
          <c:showVal val="0"/>
          <c:showCatName val="0"/>
          <c:showSerName val="0"/>
          <c:showPercent val="0"/>
          <c:showBubbleSize val="0"/>
        </c:dLbls>
        <c:smooth val="0"/>
        <c:axId val="832548000"/>
        <c:axId val="832549632"/>
        <c:extLst/>
      </c:lineChart>
      <c:catAx>
        <c:axId val="832548000"/>
        <c:scaling>
          <c:orientation val="minMax"/>
        </c:scaling>
        <c:delete val="0"/>
        <c:axPos val="b"/>
        <c:numFmt formatCode="0"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49632"/>
        <c:crosses val="autoZero"/>
        <c:auto val="0"/>
        <c:lblAlgn val="ctr"/>
        <c:lblOffset val="100"/>
        <c:tickLblSkip val="5"/>
        <c:noMultiLvlLbl val="1"/>
      </c:catAx>
      <c:valAx>
        <c:axId val="83254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Intensity gCO2/RTK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48000"/>
        <c:crosses val="autoZero"/>
        <c:crossBetween val="midCat"/>
      </c:valAx>
      <c:spPr>
        <a:noFill/>
        <a:ln>
          <a:noFill/>
        </a:ln>
        <a:effectLst/>
      </c:spPr>
    </c:plotArea>
    <c:legend>
      <c:legendPos val="b"/>
      <c:legendEntry>
        <c:idx val="2"/>
        <c:delete val="1"/>
      </c:legendEntry>
      <c:legendEntry>
        <c:idx val="3"/>
        <c:delete val="1"/>
      </c:legendEntry>
      <c:legendEntry>
        <c:idx val="4"/>
        <c:delete val="1"/>
      </c:legendEntry>
      <c:layout>
        <c:manualLayout>
          <c:xMode val="edge"/>
          <c:yMode val="edge"/>
          <c:x val="0.10386988723949912"/>
          <c:y val="0.74654751720313639"/>
          <c:w val="0.80487314314179903"/>
          <c:h val="0.201207453704599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Catalogues!$AL$5</c:f>
          <c:strCache>
            <c:ptCount val="1"/>
            <c:pt idx="0">
              <c:v>Freight mid-long WTW  intensity target</c:v>
            </c:pt>
          </c:strCache>
        </c:strRef>
      </c:tx>
      <c:layout>
        <c:manualLayout>
          <c:xMode val="edge"/>
          <c:yMode val="edge"/>
          <c:x val="0.12952715655188682"/>
          <c:y val="6.02260325682150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MX"/>
        </a:p>
      </c:txPr>
    </c:title>
    <c:autoTitleDeleted val="0"/>
    <c:plotArea>
      <c:layout>
        <c:manualLayout>
          <c:layoutTarget val="inner"/>
          <c:xMode val="edge"/>
          <c:yMode val="edge"/>
          <c:x val="0.11941558583421061"/>
          <c:y val="0.2201693031231545"/>
          <c:w val="0.82140907703424737"/>
          <c:h val="0.47870148247722799"/>
        </c:manualLayout>
      </c:layout>
      <c:lineChart>
        <c:grouping val="standard"/>
        <c:varyColors val="0"/>
        <c:ser>
          <c:idx val="1"/>
          <c:order val="0"/>
          <c:tx>
            <c:v>Sector Intensity</c:v>
          </c:tx>
          <c:spPr>
            <a:ln w="28575" cap="rnd">
              <a:solidFill>
                <a:schemeClr val="accent4"/>
              </a:solidFill>
              <a:round/>
            </a:ln>
            <a:effectLst/>
          </c:spPr>
          <c:marker>
            <c:symbol val="none"/>
          </c:marker>
          <c:cat>
            <c:numRef>
              <c:f>Calculations!$E$26:$AN$26</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Calculations!$E$29:$AN$29</c:f>
              <c:numCache>
                <c:formatCode>0</c:formatCode>
                <c:ptCount val="36"/>
                <c:pt idx="0">
                  <c:v>617.74112327702801</c:v>
                </c:pt>
                <c:pt idx="1">
                  <c:v>595.94914412829348</c:v>
                </c:pt>
                <c:pt idx="2">
                  <c:v>576.62914325116969</c:v>
                </c:pt>
                <c:pt idx="3">
                  <c:v>559.38308227988705</c:v>
                </c:pt>
                <c:pt idx="4">
                  <c:v>584.95599084340938</c:v>
                </c:pt>
                <c:pt idx="5">
                  <c:v>#N/A</c:v>
                </c:pt>
                <c:pt idx="6">
                  <c:v>#N/A</c:v>
                </c:pt>
                <c:pt idx="7">
                  <c:v>#N/A</c:v>
                </c:pt>
                <c:pt idx="8">
                  <c:v>509.41309666663813</c:v>
                </c:pt>
                <c:pt idx="9">
                  <c:v>493.16723696776518</c:v>
                </c:pt>
                <c:pt idx="10">
                  <c:v>477.80501852840638</c:v>
                </c:pt>
                <c:pt idx="11">
                  <c:v>463.25625587100029</c:v>
                </c:pt>
                <c:pt idx="12">
                  <c:v>449.45800468442951</c:v>
                </c:pt>
                <c:pt idx="13">
                  <c:v>436.35365144949753</c:v>
                </c:pt>
                <c:pt idx="14">
                  <c:v>423.89213704066054</c:v>
                </c:pt>
                <c:pt idx="15">
                  <c:v>412.02729185183631</c:v>
                </c:pt>
                <c:pt idx="16">
                  <c:v>395.68554787465416</c:v>
                </c:pt>
                <c:pt idx="17">
                  <c:v>350.45627798388466</c:v>
                </c:pt>
                <c:pt idx="18">
                  <c:v>326.41200658504079</c:v>
                </c:pt>
                <c:pt idx="19">
                  <c:v>303.3810475320812</c:v>
                </c:pt>
                <c:pt idx="20">
                  <c:v>279.61963230474572</c:v>
                </c:pt>
                <c:pt idx="21">
                  <c:v>256.03516516963202</c:v>
                </c:pt>
                <c:pt idx="22">
                  <c:v>232.80749289317353</c:v>
                </c:pt>
                <c:pt idx="23">
                  <c:v>209.94764260841387</c:v>
                </c:pt>
                <c:pt idx="24">
                  <c:v>187.48834654412204</c:v>
                </c:pt>
                <c:pt idx="25">
                  <c:v>165.47362506251778</c:v>
                </c:pt>
                <c:pt idx="26">
                  <c:v>146.16746543394629</c:v>
                </c:pt>
                <c:pt idx="27">
                  <c:v>127.3650677794507</c:v>
                </c:pt>
                <c:pt idx="28">
                  <c:v>109.08036058360824</c:v>
                </c:pt>
                <c:pt idx="29">
                  <c:v>91.311496669777213</c:v>
                </c:pt>
                <c:pt idx="30">
                  <c:v>74.043415521258751</c:v>
                </c:pt>
                <c:pt idx="31">
                  <c:v>57.107716668383311</c:v>
                </c:pt>
                <c:pt idx="32">
                  <c:v>40.610327443166099</c:v>
                </c:pt>
                <c:pt idx="33">
                  <c:v>24.530860759502989</c:v>
                </c:pt>
                <c:pt idx="34">
                  <c:v>20.22098781332166</c:v>
                </c:pt>
                <c:pt idx="35">
                  <c:v>19.541854461001638</c:v>
                </c:pt>
              </c:numCache>
            </c:numRef>
          </c:val>
          <c:smooth val="0"/>
          <c:extLst>
            <c:ext xmlns:c16="http://schemas.microsoft.com/office/drawing/2014/chart" uri="{C3380CC4-5D6E-409C-BE32-E72D297353CC}">
              <c16:uniqueId val="{00000001-E077-4E56-A1CF-4F4640379FF1}"/>
            </c:ext>
          </c:extLst>
        </c:ser>
        <c:ser>
          <c:idx val="0"/>
          <c:order val="1"/>
          <c:tx>
            <c:v>Company Intensity</c:v>
          </c:tx>
          <c:spPr>
            <a:ln w="28575" cap="rnd">
              <a:solidFill>
                <a:srgbClr val="00546E"/>
              </a:solidFill>
              <a:round/>
            </a:ln>
            <a:effectLst/>
          </c:spPr>
          <c:marker>
            <c:symbol val="none"/>
          </c:marker>
          <c:cat>
            <c:numRef>
              <c:f>Calculations!$E$26:$AN$26</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Calculations!$E$37:$AN$37</c:f>
              <c:numCache>
                <c:formatCode>0</c:formatCode>
                <c:ptCount val="36"/>
                <c:pt idx="0">
                  <c:v>#N/A</c:v>
                </c:pt>
                <c:pt idx="1">
                  <c:v>#N/A</c:v>
                </c:pt>
                <c:pt idx="2">
                  <c:v>#N/A</c:v>
                </c:pt>
                <c:pt idx="3">
                  <c:v>#N/A</c:v>
                </c:pt>
                <c:pt idx="4">
                  <c:v>0</c:v>
                </c:pt>
                <c:pt idx="5">
                  <c:v>#N/A</c:v>
                </c:pt>
                <c:pt idx="6">
                  <c:v>#N/A</c:v>
                </c:pt>
                <c:pt idx="7">
                  <c:v>#N/A</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E077-4E56-A1CF-4F4640379FF1}"/>
            </c:ext>
          </c:extLst>
        </c:ser>
        <c:ser>
          <c:idx val="4"/>
          <c:order val="2"/>
          <c:tx>
            <c:v>COVID Sector Correction</c:v>
          </c:tx>
          <c:spPr>
            <a:ln w="28575" cap="rnd">
              <a:solidFill>
                <a:schemeClr val="accent4"/>
              </a:solidFill>
              <a:prstDash val="sysDash"/>
              <a:round/>
            </a:ln>
            <a:effectLst/>
          </c:spPr>
          <c:marker>
            <c:symbol val="none"/>
          </c:marker>
          <c:val>
            <c:numRef>
              <c:f>Calculations!$E$40:$AN$40</c:f>
              <c:numCache>
                <c:formatCode>0</c:formatCode>
                <c:ptCount val="36"/>
                <c:pt idx="0">
                  <c:v>#N/A</c:v>
                </c:pt>
                <c:pt idx="1">
                  <c:v>#N/A</c:v>
                </c:pt>
                <c:pt idx="2">
                  <c:v>#N/A</c:v>
                </c:pt>
                <c:pt idx="3">
                  <c:v>#N/A</c:v>
                </c:pt>
                <c:pt idx="4">
                  <c:v>584.95599084340938</c:v>
                </c:pt>
                <c:pt idx="5">
                  <c:v>566.07026729921654</c:v>
                </c:pt>
                <c:pt idx="6">
                  <c:v>547.1845437550237</c:v>
                </c:pt>
                <c:pt idx="7">
                  <c:v>528.29882021083085</c:v>
                </c:pt>
                <c:pt idx="8">
                  <c:v>509.41309666663813</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4D7-43F8-B7E9-52F78AF90FE8}"/>
            </c:ext>
          </c:extLst>
        </c:ser>
        <c:ser>
          <c:idx val="3"/>
          <c:order val="3"/>
          <c:tx>
            <c:v>COVID Company Correction</c:v>
          </c:tx>
          <c:spPr>
            <a:ln w="28575" cap="rnd">
              <a:solidFill>
                <a:schemeClr val="accent1"/>
              </a:solidFill>
              <a:prstDash val="sysDash"/>
              <a:round/>
            </a:ln>
            <a:effectLst/>
          </c:spPr>
          <c:marker>
            <c:symbol val="none"/>
          </c:marker>
          <c:val>
            <c:numRef>
              <c:f>Calculations!$E$41:$AN$41</c:f>
              <c:numCache>
                <c:formatCode>0</c:formatCode>
                <c:ptCount val="36"/>
                <c:pt idx="0">
                  <c:v>#N/A</c:v>
                </c:pt>
                <c:pt idx="1">
                  <c:v>#N/A</c:v>
                </c:pt>
                <c:pt idx="2">
                  <c:v>#N/A</c:v>
                </c:pt>
                <c:pt idx="3">
                  <c:v>#N/A</c:v>
                </c:pt>
                <c:pt idx="4">
                  <c:v>0</c:v>
                </c:pt>
                <c:pt idx="5">
                  <c:v>0</c:v>
                </c:pt>
                <c:pt idx="6">
                  <c:v>0</c:v>
                </c:pt>
                <c:pt idx="7">
                  <c:v>0</c:v>
                </c:pt>
                <c:pt idx="8">
                  <c:v>0</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A4D7-43F8-B7E9-52F78AF90FE8}"/>
            </c:ext>
          </c:extLst>
        </c:ser>
        <c:ser>
          <c:idx val="2"/>
          <c:order val="4"/>
          <c:tx>
            <c:v>Target Year</c:v>
          </c:tx>
          <c:spPr>
            <a:ln w="28575" cap="rnd">
              <a:solidFill>
                <a:schemeClr val="accent3"/>
              </a:solidFill>
              <a:round/>
            </a:ln>
            <a:effectLst/>
          </c:spPr>
          <c:marker>
            <c:symbol val="circle"/>
            <c:size val="7"/>
            <c:spPr>
              <a:solidFill>
                <a:schemeClr val="accent3"/>
              </a:solidFill>
              <a:ln w="9525">
                <a:solidFill>
                  <a:schemeClr val="accent3"/>
                </a:solidFill>
              </a:ln>
              <a:effectLst/>
            </c:spPr>
          </c:marker>
          <c:dLbls>
            <c:dLbl>
              <c:idx val="4"/>
              <c:layout>
                <c:manualLayout>
                  <c:x val="1.1756563958114788E-2"/>
                  <c:y val="-4.4165757216691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BF-4464-A8A5-1EF55EE3CAE4}"/>
                </c:ext>
              </c:extLst>
            </c:dLbl>
            <c:dLbl>
              <c:idx val="20"/>
              <c:layout>
                <c:manualLayout>
                  <c:x val="1.4107876749737659E-2"/>
                  <c:y val="-7.227123908185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BF-4464-A8A5-1EF55EE3CA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Calculations!$E$26:$AN$26</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Calculations!$E$38:$AN$38</c:f>
              <c:numCache>
                <c:formatCode>0</c:formatCode>
                <c:ptCount val="36"/>
                <c:pt idx="0">
                  <c:v>#N/A</c:v>
                </c:pt>
                <c:pt idx="1">
                  <c:v>#N/A</c:v>
                </c:pt>
                <c:pt idx="2">
                  <c:v>#N/A</c:v>
                </c:pt>
                <c:pt idx="3">
                  <c:v>#N/A</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3-E077-4E56-A1CF-4F4640379FF1}"/>
            </c:ext>
          </c:extLst>
        </c:ser>
        <c:dLbls>
          <c:showLegendKey val="0"/>
          <c:showVal val="0"/>
          <c:showCatName val="0"/>
          <c:showSerName val="0"/>
          <c:showPercent val="0"/>
          <c:showBubbleSize val="0"/>
        </c:dLbls>
        <c:smooth val="0"/>
        <c:axId val="832555072"/>
        <c:axId val="832558880"/>
        <c:extLst/>
      </c:lineChart>
      <c:catAx>
        <c:axId val="832555072"/>
        <c:scaling>
          <c:orientation val="minMax"/>
        </c:scaling>
        <c:delete val="0"/>
        <c:axPos val="b"/>
        <c:numFmt formatCode="0"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58880"/>
        <c:crosses val="autoZero"/>
        <c:auto val="0"/>
        <c:lblAlgn val="ctr"/>
        <c:lblOffset val="100"/>
        <c:tickLblSkip val="5"/>
        <c:noMultiLvlLbl val="1"/>
      </c:catAx>
      <c:valAx>
        <c:axId val="83255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Intensity gCO2/RTK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55072"/>
        <c:crosses val="autoZero"/>
        <c:crossBetween val="midCat"/>
      </c:valAx>
      <c:spPr>
        <a:noFill/>
        <a:ln>
          <a:noFill/>
        </a:ln>
        <a:effectLst/>
      </c:spPr>
    </c:plotArea>
    <c:legend>
      <c:legendPos val="b"/>
      <c:legendEntry>
        <c:idx val="2"/>
        <c:delete val="1"/>
      </c:legendEntry>
      <c:legendEntry>
        <c:idx val="3"/>
        <c:delete val="1"/>
      </c:legendEntry>
      <c:legendEntry>
        <c:idx val="4"/>
        <c:delete val="1"/>
      </c:legendEntry>
      <c:layout>
        <c:manualLayout>
          <c:xMode val="edge"/>
          <c:yMode val="edge"/>
          <c:x val="0.10649410375917522"/>
          <c:y val="0.84391372470664705"/>
          <c:w val="0.77760650489717209"/>
          <c:h val="6.77547608599708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Catalogues!$AL$6</c:f>
          <c:strCache>
            <c:ptCount val="1"/>
            <c:pt idx="0">
              <c:v>Freight short WTW  intensity target</c:v>
            </c:pt>
          </c:strCache>
        </c:strRef>
      </c:tx>
      <c:layout>
        <c:manualLayout>
          <c:xMode val="edge"/>
          <c:yMode val="edge"/>
          <c:x val="0.14711535175411153"/>
          <c:y val="6.842741812797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MX"/>
        </a:p>
      </c:txPr>
    </c:title>
    <c:autoTitleDeleted val="0"/>
    <c:plotArea>
      <c:layout>
        <c:manualLayout>
          <c:layoutTarget val="inner"/>
          <c:xMode val="edge"/>
          <c:yMode val="edge"/>
          <c:x val="0.13827271359213861"/>
          <c:y val="0.2444912600533474"/>
          <c:w val="0.82140907703424737"/>
          <c:h val="0.43453572526053685"/>
        </c:manualLayout>
      </c:layout>
      <c:lineChart>
        <c:grouping val="standard"/>
        <c:varyColors val="0"/>
        <c:ser>
          <c:idx val="1"/>
          <c:order val="0"/>
          <c:tx>
            <c:v>Sector Intensity</c:v>
          </c:tx>
          <c:spPr>
            <a:ln w="28575" cap="rnd">
              <a:solidFill>
                <a:schemeClr val="accent4"/>
              </a:solidFill>
              <a:round/>
            </a:ln>
            <a:effectLst/>
          </c:spPr>
          <c:marker>
            <c:symbol val="none"/>
          </c:marker>
          <c:cat>
            <c:numRef>
              <c:f>Calculations!$E$26:$AN$26</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Calculations!$E$13:$AN$13</c:f>
              <c:numCache>
                <c:formatCode>0</c:formatCode>
                <c:ptCount val="36"/>
                <c:pt idx="0">
                  <c:v>1189.7236448298318</c:v>
                </c:pt>
                <c:pt idx="1">
                  <c:v>1147.7539072100469</c:v>
                </c:pt>
                <c:pt idx="2">
                  <c:v>1110.5450166318824</c:v>
                </c:pt>
                <c:pt idx="3">
                  <c:v>1077.33038068719</c:v>
                </c:pt>
                <c:pt idx="4">
                  <c:v>1126.5819082910111</c:v>
                </c:pt>
                <c:pt idx="5">
                  <c:v>#N/A</c:v>
                </c:pt>
                <c:pt idx="6">
                  <c:v>#N/A</c:v>
                </c:pt>
                <c:pt idx="7">
                  <c:v>#N/A</c:v>
                </c:pt>
                <c:pt idx="8">
                  <c:v>981.09188987648861</c:v>
                </c:pt>
                <c:pt idx="9">
                  <c:v>949.80356749347379</c:v>
                </c:pt>
                <c:pt idx="10">
                  <c:v>920.21707272137542</c:v>
                </c:pt>
                <c:pt idx="11">
                  <c:v>892.19723352933408</c:v>
                </c:pt>
                <c:pt idx="12">
                  <c:v>865.62282383667934</c:v>
                </c:pt>
                <c:pt idx="13">
                  <c:v>840.38481019903247</c:v>
                </c:pt>
                <c:pt idx="14">
                  <c:v>816.38485652275381</c:v>
                </c:pt>
                <c:pt idx="15">
                  <c:v>793.53404356649946</c:v>
                </c:pt>
                <c:pt idx="16">
                  <c:v>762.06105516600064</c:v>
                </c:pt>
                <c:pt idx="17">
                  <c:v>674.95283167266689</c:v>
                </c:pt>
                <c:pt idx="18">
                  <c:v>628.64534601563412</c:v>
                </c:pt>
                <c:pt idx="19">
                  <c:v>584.28942487660083</c:v>
                </c:pt>
                <c:pt idx="20">
                  <c:v>538.52669925358441</c:v>
                </c:pt>
                <c:pt idx="21">
                  <c:v>493.10476254892103</c:v>
                </c:pt>
                <c:pt idx="22">
                  <c:v>448.36998631277874</c:v>
                </c:pt>
                <c:pt idx="23">
                  <c:v>404.34360798657497</c:v>
                </c:pt>
                <c:pt idx="24">
                  <c:v>361.08866741830911</c:v>
                </c:pt>
                <c:pt idx="25">
                  <c:v>318.68994456484904</c:v>
                </c:pt>
                <c:pt idx="26">
                  <c:v>281.50771120611881</c:v>
                </c:pt>
                <c:pt idx="27">
                  <c:v>245.2956860937569</c:v>
                </c:pt>
                <c:pt idx="28">
                  <c:v>210.08069445731962</c:v>
                </c:pt>
                <c:pt idx="29">
                  <c:v>175.85917877142279</c:v>
                </c:pt>
                <c:pt idx="30">
                  <c:v>142.60213359649836</c:v>
                </c:pt>
                <c:pt idx="31">
                  <c:v>109.98523210207156</c:v>
                </c:pt>
                <c:pt idx="32">
                  <c:v>78.212482483134721</c:v>
                </c:pt>
                <c:pt idx="33">
                  <c:v>47.244620722005763</c:v>
                </c:pt>
                <c:pt idx="34">
                  <c:v>38.944124677508384</c:v>
                </c:pt>
                <c:pt idx="35">
                  <c:v>37.636164147114265</c:v>
                </c:pt>
              </c:numCache>
            </c:numRef>
          </c:val>
          <c:smooth val="0"/>
          <c:extLst>
            <c:ext xmlns:c16="http://schemas.microsoft.com/office/drawing/2014/chart" uri="{C3380CC4-5D6E-409C-BE32-E72D297353CC}">
              <c16:uniqueId val="{00000001-5F3A-46D8-9A2E-4DF618E55836}"/>
            </c:ext>
          </c:extLst>
        </c:ser>
        <c:ser>
          <c:idx val="0"/>
          <c:order val="1"/>
          <c:tx>
            <c:v>Company Intensity</c:v>
          </c:tx>
          <c:spPr>
            <a:ln w="28575" cap="rnd">
              <a:solidFill>
                <a:srgbClr val="00546E"/>
              </a:solidFill>
              <a:round/>
            </a:ln>
            <a:effectLst/>
          </c:spPr>
          <c:marker>
            <c:symbol val="none"/>
          </c:marker>
          <c:cat>
            <c:numRef>
              <c:f>Calculations!$E$26:$AN$26</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Calculations!$E$21:$AN$21</c:f>
              <c:numCache>
                <c:formatCode>0</c:formatCode>
                <c:ptCount val="36"/>
                <c:pt idx="0">
                  <c:v>#N/A</c:v>
                </c:pt>
                <c:pt idx="1">
                  <c:v>#N/A</c:v>
                </c:pt>
                <c:pt idx="2">
                  <c:v>#N/A</c:v>
                </c:pt>
                <c:pt idx="3">
                  <c:v>#N/A</c:v>
                </c:pt>
                <c:pt idx="4">
                  <c:v>0</c:v>
                </c:pt>
                <c:pt idx="5">
                  <c:v>#N/A</c:v>
                </c:pt>
                <c:pt idx="6">
                  <c:v>#N/A</c:v>
                </c:pt>
                <c:pt idx="7">
                  <c:v>#N/A</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5F3A-46D8-9A2E-4DF618E55836}"/>
            </c:ext>
          </c:extLst>
        </c:ser>
        <c:ser>
          <c:idx val="4"/>
          <c:order val="2"/>
          <c:tx>
            <c:v>COVID Sector Correction</c:v>
          </c:tx>
          <c:spPr>
            <a:ln w="28575" cap="rnd">
              <a:solidFill>
                <a:schemeClr val="accent4"/>
              </a:solidFill>
              <a:prstDash val="sysDash"/>
              <a:round/>
            </a:ln>
            <a:effectLst/>
          </c:spPr>
          <c:marker>
            <c:symbol val="none"/>
          </c:marker>
          <c:val>
            <c:numRef>
              <c:f>Calculations!$E$24:$AN$24</c:f>
              <c:numCache>
                <c:formatCode>0</c:formatCode>
                <c:ptCount val="36"/>
                <c:pt idx="0">
                  <c:v>#N/A</c:v>
                </c:pt>
                <c:pt idx="1">
                  <c:v>#N/A</c:v>
                </c:pt>
                <c:pt idx="2">
                  <c:v>#N/A</c:v>
                </c:pt>
                <c:pt idx="3">
                  <c:v>#N/A</c:v>
                </c:pt>
                <c:pt idx="4">
                  <c:v>1126.5819082910111</c:v>
                </c:pt>
                <c:pt idx="5">
                  <c:v>1090.2094036873805</c:v>
                </c:pt>
                <c:pt idx="6">
                  <c:v>1053.8368990837498</c:v>
                </c:pt>
                <c:pt idx="7">
                  <c:v>1017.4643944801192</c:v>
                </c:pt>
                <c:pt idx="8">
                  <c:v>981.09188987648861</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02F3-468C-ACA3-EDABFB3318BD}"/>
            </c:ext>
          </c:extLst>
        </c:ser>
        <c:ser>
          <c:idx val="3"/>
          <c:order val="3"/>
          <c:tx>
            <c:v>COVID Company Correction</c:v>
          </c:tx>
          <c:spPr>
            <a:ln w="28575" cap="rnd">
              <a:solidFill>
                <a:schemeClr val="accent1"/>
              </a:solidFill>
              <a:prstDash val="sysDash"/>
              <a:round/>
            </a:ln>
            <a:effectLst/>
          </c:spPr>
          <c:marker>
            <c:symbol val="none"/>
          </c:marker>
          <c:val>
            <c:numRef>
              <c:f>Calculations!$E$25:$AN$25</c:f>
              <c:numCache>
                <c:formatCode>0</c:formatCode>
                <c:ptCount val="36"/>
                <c:pt idx="0">
                  <c:v>#N/A</c:v>
                </c:pt>
                <c:pt idx="1">
                  <c:v>#N/A</c:v>
                </c:pt>
                <c:pt idx="2">
                  <c:v>#N/A</c:v>
                </c:pt>
                <c:pt idx="3">
                  <c:v>#N/A</c:v>
                </c:pt>
                <c:pt idx="4">
                  <c:v>0</c:v>
                </c:pt>
                <c:pt idx="5">
                  <c:v>0</c:v>
                </c:pt>
                <c:pt idx="6">
                  <c:v>0</c:v>
                </c:pt>
                <c:pt idx="7">
                  <c:v>0</c:v>
                </c:pt>
                <c:pt idx="8">
                  <c:v>0</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02F3-468C-ACA3-EDABFB3318BD}"/>
            </c:ext>
          </c:extLst>
        </c:ser>
        <c:ser>
          <c:idx val="2"/>
          <c:order val="4"/>
          <c:tx>
            <c:v>Target Year</c:v>
          </c:tx>
          <c:spPr>
            <a:ln w="28575" cap="rnd">
              <a:solidFill>
                <a:schemeClr val="accent3"/>
              </a:solidFill>
              <a:round/>
            </a:ln>
            <a:effectLst/>
          </c:spPr>
          <c:marker>
            <c:symbol val="circle"/>
            <c:size val="7"/>
            <c:spPr>
              <a:solidFill>
                <a:schemeClr val="accent3"/>
              </a:solidFill>
              <a:ln w="9525">
                <a:solidFill>
                  <a:schemeClr val="accent3"/>
                </a:solidFill>
              </a:ln>
              <a:effectLst/>
            </c:spPr>
          </c:marker>
          <c:dLbls>
            <c:dLbl>
              <c:idx val="20"/>
              <c:layout>
                <c:manualLayout>
                  <c:x val="1.9183721328502913E-2"/>
                  <c:y val="-5.6351991399507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66-45D3-83A0-C990A2FB9EE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0"/>
              </c:ext>
            </c:extLst>
          </c:dLbls>
          <c:cat>
            <c:numRef>
              <c:f>Calculations!$E$26:$AN$26</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Calculations!$E$22:$AN$22</c:f>
              <c:numCache>
                <c:formatCode>0</c:formatCode>
                <c:ptCount val="36"/>
                <c:pt idx="0">
                  <c:v>#N/A</c:v>
                </c:pt>
                <c:pt idx="1">
                  <c:v>#N/A</c:v>
                </c:pt>
                <c:pt idx="2">
                  <c:v>#N/A</c:v>
                </c:pt>
                <c:pt idx="3">
                  <c:v>#N/A</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3-5F3A-46D8-9A2E-4DF618E55836}"/>
            </c:ext>
          </c:extLst>
        </c:ser>
        <c:dLbls>
          <c:showLegendKey val="0"/>
          <c:showVal val="0"/>
          <c:showCatName val="0"/>
          <c:showSerName val="0"/>
          <c:showPercent val="0"/>
          <c:showBubbleSize val="0"/>
        </c:dLbls>
        <c:smooth val="0"/>
        <c:axId val="832548544"/>
        <c:axId val="832552896"/>
        <c:extLst/>
      </c:lineChart>
      <c:catAx>
        <c:axId val="832548544"/>
        <c:scaling>
          <c:orientation val="minMax"/>
        </c:scaling>
        <c:delete val="0"/>
        <c:axPos val="b"/>
        <c:numFmt formatCode="0"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52896"/>
        <c:crosses val="autoZero"/>
        <c:auto val="0"/>
        <c:lblAlgn val="ctr"/>
        <c:lblOffset val="100"/>
        <c:tickLblSkip val="5"/>
        <c:noMultiLvlLbl val="1"/>
      </c:catAx>
      <c:valAx>
        <c:axId val="83255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Intensity gCO2/RTK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crossAx val="832548544"/>
        <c:crosses val="autoZero"/>
        <c:crossBetween val="midCat"/>
      </c:valAx>
      <c:spPr>
        <a:noFill/>
        <a:ln>
          <a:noFill/>
        </a:ln>
        <a:effectLst/>
      </c:spPr>
    </c:plotArea>
    <c:legend>
      <c:legendPos val="b"/>
      <c:legendEntry>
        <c:idx val="2"/>
        <c:delete val="1"/>
      </c:legendEntry>
      <c:legendEntry>
        <c:idx val="3"/>
        <c:delete val="1"/>
      </c:legendEntry>
      <c:legendEntry>
        <c:idx val="4"/>
        <c:delete val="1"/>
      </c:legendEntry>
      <c:layout>
        <c:manualLayout>
          <c:xMode val="edge"/>
          <c:yMode val="edge"/>
          <c:x val="0.13874418753069442"/>
          <c:y val="0.85206461272426703"/>
          <c:w val="0.74853655927595797"/>
          <c:h val="6.77547608599708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Catalogues!$AL$10</c:f>
          <c:strCache>
            <c:ptCount val="1"/>
            <c:pt idx="0">
              <c:v> Contracted Freight Intensity Target</c:v>
            </c:pt>
          </c:strCache>
        </c:strRef>
      </c:tx>
      <c:layout>
        <c:manualLayout>
          <c:xMode val="edge"/>
          <c:yMode val="edge"/>
          <c:x val="0.16375017170727441"/>
          <c:y val="5.28930704802246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794676927664987"/>
          <c:y val="0.20127992900944744"/>
          <c:w val="0.75852785605889306"/>
          <c:h val="0.56525742492819786"/>
        </c:manualLayout>
      </c:layout>
      <c:lineChart>
        <c:grouping val="standard"/>
        <c:varyColors val="0"/>
        <c:ser>
          <c:idx val="1"/>
          <c:order val="0"/>
          <c:tx>
            <c:v>Sector Intensity</c:v>
          </c:tx>
          <c:spPr>
            <a:ln w="28575" cap="rnd">
              <a:solidFill>
                <a:schemeClr val="accent4"/>
              </a:solidFill>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Calculations!$H$153:$AN$153</c:f>
              <c:numCache>
                <c:formatCode>0</c:formatCode>
                <c:ptCount val="33"/>
                <c:pt idx="0">
                  <c:v>559.38308227988705</c:v>
                </c:pt>
                <c:pt idx="1">
                  <c:v>584.95599084340938</c:v>
                </c:pt>
                <c:pt idx="2">
                  <c:v>#N/A</c:v>
                </c:pt>
                <c:pt idx="3">
                  <c:v>#N/A</c:v>
                </c:pt>
                <c:pt idx="4">
                  <c:v>#N/A</c:v>
                </c:pt>
                <c:pt idx="5">
                  <c:v>509.41309666663813</c:v>
                </c:pt>
                <c:pt idx="6">
                  <c:v>493.16723696776518</c:v>
                </c:pt>
                <c:pt idx="7">
                  <c:v>477.80501852840638</c:v>
                </c:pt>
                <c:pt idx="8">
                  <c:v>463.25625587100029</c:v>
                </c:pt>
                <c:pt idx="9">
                  <c:v>449.45800468442951</c:v>
                </c:pt>
                <c:pt idx="10">
                  <c:v>436.35365144949753</c:v>
                </c:pt>
                <c:pt idx="11">
                  <c:v>423.89213704066054</c:v>
                </c:pt>
                <c:pt idx="12">
                  <c:v>412.02729185183631</c:v>
                </c:pt>
                <c:pt idx="13">
                  <c:v>395.68554787465416</c:v>
                </c:pt>
                <c:pt idx="14">
                  <c:v>350.45627798388466</c:v>
                </c:pt>
                <c:pt idx="15">
                  <c:v>326.41200658504079</c:v>
                </c:pt>
                <c:pt idx="16">
                  <c:v>303.3810475320812</c:v>
                </c:pt>
                <c:pt idx="17">
                  <c:v>279.61963230474572</c:v>
                </c:pt>
                <c:pt idx="18">
                  <c:v>256.03516516963202</c:v>
                </c:pt>
                <c:pt idx="19">
                  <c:v>232.80749289317353</c:v>
                </c:pt>
                <c:pt idx="20">
                  <c:v>209.94764260841387</c:v>
                </c:pt>
                <c:pt idx="21">
                  <c:v>187.48834654412204</c:v>
                </c:pt>
                <c:pt idx="22">
                  <c:v>165.47362506251778</c:v>
                </c:pt>
                <c:pt idx="23">
                  <c:v>146.16746543394629</c:v>
                </c:pt>
                <c:pt idx="24">
                  <c:v>127.3650677794507</c:v>
                </c:pt>
                <c:pt idx="25">
                  <c:v>109.08036058360824</c:v>
                </c:pt>
                <c:pt idx="26">
                  <c:v>91.311496669777213</c:v>
                </c:pt>
                <c:pt idx="27">
                  <c:v>74.043415521258751</c:v>
                </c:pt>
                <c:pt idx="28">
                  <c:v>57.107716668383311</c:v>
                </c:pt>
                <c:pt idx="29">
                  <c:v>40.610327443166099</c:v>
                </c:pt>
                <c:pt idx="30">
                  <c:v>24.530860759502989</c:v>
                </c:pt>
                <c:pt idx="31">
                  <c:v>20.22098781332166</c:v>
                </c:pt>
                <c:pt idx="32">
                  <c:v>19.541854461001638</c:v>
                </c:pt>
              </c:numCache>
            </c:numRef>
          </c:val>
          <c:smooth val="0"/>
          <c:extLst>
            <c:ext xmlns:c16="http://schemas.microsoft.com/office/drawing/2014/chart" uri="{C3380CC4-5D6E-409C-BE32-E72D297353CC}">
              <c16:uniqueId val="{00000000-10F8-4B70-9069-65CC1E8A969D}"/>
            </c:ext>
          </c:extLst>
        </c:ser>
        <c:ser>
          <c:idx val="0"/>
          <c:order val="1"/>
          <c:tx>
            <c:v>Company Intensity</c:v>
          </c:tx>
          <c:spPr>
            <a:ln w="28575" cap="rnd">
              <a:solidFill>
                <a:srgbClr val="00546E"/>
              </a:solidFill>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Calculations!$H$161:$AN$161</c:f>
              <c:numCache>
                <c:formatCode>0</c:formatCode>
                <c:ptCount val="33"/>
                <c:pt idx="0">
                  <c:v>0</c:v>
                </c:pt>
                <c:pt idx="1">
                  <c:v>0</c:v>
                </c:pt>
                <c:pt idx="2">
                  <c:v>#N/A</c:v>
                </c:pt>
                <c:pt idx="3">
                  <c:v>#N/A</c:v>
                </c:pt>
                <c:pt idx="4">
                  <c:v>#N/A</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10F8-4B70-9069-65CC1E8A969D}"/>
            </c:ext>
          </c:extLst>
        </c:ser>
        <c:ser>
          <c:idx val="4"/>
          <c:order val="2"/>
          <c:tx>
            <c:v>COVID Sector Correction</c:v>
          </c:tx>
          <c:spPr>
            <a:ln w="28575" cap="rnd">
              <a:solidFill>
                <a:schemeClr val="accent4"/>
              </a:solidFill>
              <a:prstDash val="sysDash"/>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Calculations!$H$164:$AN$164</c:f>
              <c:numCache>
                <c:formatCode>0</c:formatCode>
                <c:ptCount val="33"/>
                <c:pt idx="0">
                  <c:v>#N/A</c:v>
                </c:pt>
                <c:pt idx="1">
                  <c:v>584.95599084340938</c:v>
                </c:pt>
                <c:pt idx="2">
                  <c:v>566.07026729921654</c:v>
                </c:pt>
                <c:pt idx="3">
                  <c:v>547.1845437550237</c:v>
                </c:pt>
                <c:pt idx="4">
                  <c:v>528.29882021083085</c:v>
                </c:pt>
                <c:pt idx="5">
                  <c:v>509.41309666663813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2-10F8-4B70-9069-65CC1E8A969D}"/>
            </c:ext>
          </c:extLst>
        </c:ser>
        <c:ser>
          <c:idx val="3"/>
          <c:order val="3"/>
          <c:tx>
            <c:v>COVID Company Correction</c:v>
          </c:tx>
          <c:spPr>
            <a:ln w="28575" cap="rnd">
              <a:solidFill>
                <a:schemeClr val="accent1"/>
              </a:solidFill>
              <a:prstDash val="dash"/>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Calculations!$H$165:$AN$165</c:f>
              <c:numCache>
                <c:formatCode>0</c:formatCode>
                <c:ptCount val="33"/>
                <c:pt idx="0">
                  <c:v>#N/A</c:v>
                </c:pt>
                <c:pt idx="1">
                  <c:v>0</c:v>
                </c:pt>
                <c:pt idx="2">
                  <c:v>0</c:v>
                </c:pt>
                <c:pt idx="3">
                  <c:v>0</c:v>
                </c:pt>
                <c:pt idx="4">
                  <c:v>0</c:v>
                </c:pt>
                <c:pt idx="5">
                  <c:v>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3-10F8-4B70-9069-65CC1E8A969D}"/>
            </c:ext>
          </c:extLst>
        </c:ser>
        <c:ser>
          <c:idx val="2"/>
          <c:order val="4"/>
          <c:tx>
            <c:v>Target Year</c:v>
          </c:tx>
          <c:spPr>
            <a:ln w="28575" cap="rnd">
              <a:solidFill>
                <a:schemeClr val="accent3"/>
              </a:solidFill>
              <a:round/>
            </a:ln>
            <a:effectLst/>
          </c:spPr>
          <c:marker>
            <c:symbol val="circle"/>
            <c:size val="9"/>
            <c:spPr>
              <a:solidFill>
                <a:schemeClr val="accent3"/>
              </a:solidFill>
              <a:ln w="9525">
                <a:solidFill>
                  <a:schemeClr val="accent3"/>
                </a:solidFill>
              </a:ln>
              <a:effectLst/>
            </c:spPr>
          </c:marker>
          <c:dLbls>
            <c:dLbl>
              <c:idx val="1"/>
              <c:layout>
                <c:manualLayout>
                  <c:x val="1.3884529084081644E-2"/>
                  <c:y val="-1.7512644204606444E-2"/>
                </c:manualLayout>
              </c:layout>
              <c:numFmt formatCode="0&quot; gCO2e/RTK&quot;" sourceLinked="0"/>
              <c:spPr>
                <a:solidFill>
                  <a:sysClr val="window" lastClr="FFFFFF"/>
                </a:solidFill>
                <a:ln>
                  <a:solidFill>
                    <a:schemeClr val="bg1">
                      <a:lumMod val="85000"/>
                    </a:schemeClr>
                  </a:solid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extLst>
                <c:ext xmlns:c15="http://schemas.microsoft.com/office/drawing/2012/chart" uri="{CE6537A1-D6FC-4f65-9D91-7224C49458BB}">
                  <c15:layout>
                    <c:manualLayout>
                      <c:w val="0.21956604799842339"/>
                      <c:h val="6.2940810294074376E-2"/>
                    </c:manualLayout>
                  </c15:layout>
                </c:ext>
                <c:ext xmlns:c16="http://schemas.microsoft.com/office/drawing/2014/chart" uri="{C3380CC4-5D6E-409C-BE32-E72D297353CC}">
                  <c16:uniqueId val="{00000007-10F8-4B70-9069-65CC1E8A969D}"/>
                </c:ext>
              </c:extLst>
            </c:dLbl>
            <c:dLbl>
              <c:idx val="17"/>
              <c:layout>
                <c:manualLayout>
                  <c:x val="2.6471507358132647E-2"/>
                  <c:y val="-2.451781332734845E-2"/>
                </c:manualLayout>
              </c:layout>
              <c:numFmt formatCode="0&quot; gCO2e/RTK&quot;" sourceLinked="0"/>
              <c:spPr>
                <a:solidFill>
                  <a:sysClr val="window" lastClr="FFFFFF"/>
                </a:solidFill>
                <a:ln w="3175">
                  <a:solidFill>
                    <a:schemeClr val="bg1">
                      <a:lumMod val="85000"/>
                    </a:schemeClr>
                  </a:solid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extLst>
                <c:ext xmlns:c15="http://schemas.microsoft.com/office/drawing/2012/chart" uri="{CE6537A1-D6FC-4f65-9D91-7224C49458BB}">
                  <c15:layout>
                    <c:manualLayout>
                      <c:w val="0.21969982468728066"/>
                      <c:h val="4.8983148073387259E-2"/>
                    </c:manualLayout>
                  </c15:layout>
                </c:ext>
                <c:ext xmlns:c16="http://schemas.microsoft.com/office/drawing/2014/chart" uri="{C3380CC4-5D6E-409C-BE32-E72D297353CC}">
                  <c16:uniqueId val="{00000004-10F8-4B70-9069-65CC1E8A969D}"/>
                </c:ext>
              </c:extLst>
            </c:dLbl>
            <c:numFmt formatCode="0&quot; gCO2e/RTK&quot;" sourceLinked="0"/>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Calculations!$H$162:$AN$162</c:f>
              <c:numCache>
                <c:formatCode>0</c:formatCode>
                <c:ptCount val="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6-10F8-4B70-9069-65CC1E8A969D}"/>
            </c:ext>
          </c:extLst>
        </c:ser>
        <c:dLbls>
          <c:showLegendKey val="0"/>
          <c:showVal val="0"/>
          <c:showCatName val="0"/>
          <c:showSerName val="0"/>
          <c:showPercent val="0"/>
          <c:showBubbleSize val="0"/>
        </c:dLbls>
        <c:smooth val="0"/>
        <c:axId val="832551808"/>
        <c:axId val="832544736"/>
      </c:lineChart>
      <c:catAx>
        <c:axId val="832551808"/>
        <c:scaling>
          <c:orientation val="minMax"/>
        </c:scaling>
        <c:delete val="0"/>
        <c:axPos val="b"/>
        <c:numFmt formatCode="0"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44736"/>
        <c:crosses val="autoZero"/>
        <c:auto val="0"/>
        <c:lblAlgn val="ctr"/>
        <c:lblOffset val="100"/>
        <c:tickLblSkip val="5"/>
        <c:noMultiLvlLbl val="0"/>
      </c:catAx>
      <c:valAx>
        <c:axId val="832544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Intensity</a:t>
                </a:r>
                <a:r>
                  <a:rPr lang="en-US" baseline="0"/>
                  <a:t> gCO2/RTK</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51808"/>
        <c:crosses val="autoZero"/>
        <c:crossBetween val="between"/>
      </c:valAx>
      <c:spPr>
        <a:noFill/>
        <a:ln>
          <a:noFill/>
        </a:ln>
        <a:effectLst/>
      </c:spPr>
    </c:plotArea>
    <c:legend>
      <c:legendPos val="b"/>
      <c:legendEntry>
        <c:idx val="2"/>
        <c:delete val="1"/>
      </c:legendEntry>
      <c:legendEntry>
        <c:idx val="3"/>
        <c:delete val="1"/>
      </c:legendEntry>
      <c:legendEntry>
        <c:idx val="4"/>
        <c:delete val="1"/>
      </c:legendEntry>
      <c:layout>
        <c:manualLayout>
          <c:xMode val="edge"/>
          <c:yMode val="edge"/>
          <c:x val="0.11046045436381353"/>
          <c:y val="0.84623786888131358"/>
          <c:w val="0.8049699407603037"/>
          <c:h val="0.124746670857600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Catalogues!$AL$9</c:f>
          <c:strCache>
            <c:ptCount val="1"/>
            <c:pt idx="0">
              <c:v>Example Company FTE Intensity Target</c:v>
            </c:pt>
          </c:strCache>
        </c:strRef>
      </c:tx>
      <c:layout>
        <c:manualLayout>
          <c:xMode val="edge"/>
          <c:yMode val="edge"/>
          <c:x val="0.21380905209168111"/>
          <c:y val="5.07940610020982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587481781363264"/>
          <c:y val="0.19879983263495346"/>
          <c:w val="0.82140907703424737"/>
          <c:h val="0.51837046745303617"/>
        </c:manualLayout>
      </c:layout>
      <c:lineChart>
        <c:grouping val="standard"/>
        <c:varyColors val="0"/>
        <c:ser>
          <c:idx val="1"/>
          <c:order val="0"/>
          <c:tx>
            <c:v>FTE Carbon Intensity</c:v>
          </c:tx>
          <c:spPr>
            <a:ln w="28575" cap="rnd">
              <a:solidFill>
                <a:srgbClr val="00546E"/>
              </a:solidFill>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Calculations!$H$148:$AN$148</c:f>
              <c:numCache>
                <c:formatCode>0.0</c:formatCode>
                <c:ptCount val="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0-E43B-449D-A8AE-4FE2B7D9CA47}"/>
            </c:ext>
          </c:extLst>
        </c:ser>
        <c:ser>
          <c:idx val="2"/>
          <c:order val="1"/>
          <c:tx>
            <c:v>Target Year</c:v>
          </c:tx>
          <c:spPr>
            <a:ln w="28575" cap="rnd">
              <a:solidFill>
                <a:schemeClr val="accent3"/>
              </a:solidFill>
              <a:round/>
            </a:ln>
            <a:effectLst/>
          </c:spPr>
          <c:marker>
            <c:symbol val="circle"/>
            <c:size val="8"/>
            <c:spPr>
              <a:solidFill>
                <a:schemeClr val="accent3"/>
              </a:solidFill>
              <a:ln w="9525">
                <a:solidFill>
                  <a:schemeClr val="accent3"/>
                </a:solidFill>
              </a:ln>
              <a:effectLst/>
            </c:spPr>
          </c:marker>
          <c:dLbls>
            <c:dLbl>
              <c:idx val="17"/>
              <c:layout>
                <c:manualLayout>
                  <c:x val="5.668780799954605E-2"/>
                  <c:y val="-3.4983109270605044E-2"/>
                </c:manualLayout>
              </c:layout>
              <c:numFmt formatCode="#,##0.00&quot; tCO2e/FTE&quot;" sourceLinked="0"/>
              <c:spPr>
                <a:solidFill>
                  <a:schemeClr val="bg1"/>
                </a:solidFill>
                <a:ln>
                  <a:solidFill>
                    <a:schemeClr val="bg1">
                      <a:lumMod val="85000"/>
                    </a:schemeClr>
                  </a:solid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separator>; </c:separator>
              <c:extLst>
                <c:ext xmlns:c15="http://schemas.microsoft.com/office/drawing/2012/chart" uri="{CE6537A1-D6FC-4f65-9D91-7224C49458BB}">
                  <c15:layout>
                    <c:manualLayout>
                      <c:w val="0.26778108252345667"/>
                      <c:h val="6.2398550323346798E-2"/>
                    </c:manualLayout>
                  </c15:layout>
                </c:ext>
                <c:ext xmlns:c16="http://schemas.microsoft.com/office/drawing/2014/chart" uri="{C3380CC4-5D6E-409C-BE32-E72D297353CC}">
                  <c16:uniqueId val="{00000004-E43B-449D-A8AE-4FE2B7D9CA47}"/>
                </c:ext>
              </c:extLst>
            </c:dLbl>
            <c:numFmt formatCode="#,##0.00&quot; tCO2e/FTE&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Calculations!$H$149:$AN$149</c:f>
              <c:numCache>
                <c:formatCode>0.0</c:formatCode>
                <c:ptCount val="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6-E43B-449D-A8AE-4FE2B7D9CA47}"/>
            </c:ext>
          </c:extLst>
        </c:ser>
        <c:dLbls>
          <c:showLegendKey val="0"/>
          <c:showVal val="0"/>
          <c:showCatName val="0"/>
          <c:showSerName val="0"/>
          <c:showPercent val="0"/>
          <c:showBubbleSize val="0"/>
        </c:dLbls>
        <c:smooth val="0"/>
        <c:axId val="832550176"/>
        <c:axId val="832558336"/>
      </c:lineChart>
      <c:catAx>
        <c:axId val="832550176"/>
        <c:scaling>
          <c:orientation val="minMax"/>
        </c:scaling>
        <c:delete val="0"/>
        <c:axPos val="b"/>
        <c:numFmt formatCode="0"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58336"/>
        <c:crosses val="autoZero"/>
        <c:auto val="0"/>
        <c:lblAlgn val="ctr"/>
        <c:lblOffset val="100"/>
        <c:tickLblSkip val="5"/>
        <c:noMultiLvlLbl val="0"/>
      </c:catAx>
      <c:valAx>
        <c:axId val="832558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FTE</a:t>
                </a:r>
                <a:r>
                  <a:rPr lang="en-US" baseline="0"/>
                  <a:t> </a:t>
                </a:r>
                <a:r>
                  <a:rPr lang="en-US"/>
                  <a:t>Intensity</a:t>
                </a:r>
                <a:r>
                  <a:rPr lang="en-US" baseline="0"/>
                  <a:t> tCO2e/FTE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50176"/>
        <c:crosses val="autoZero"/>
        <c:crossBetween val="between"/>
      </c:valAx>
      <c:spPr>
        <a:noFill/>
        <a:ln>
          <a:noFill/>
        </a:ln>
        <a:effectLst/>
      </c:spPr>
    </c:plotArea>
    <c:legend>
      <c:legendPos val="b"/>
      <c:legendEntry>
        <c:idx val="1"/>
        <c:delete val="1"/>
      </c:legendEntry>
      <c:layout>
        <c:manualLayout>
          <c:xMode val="edge"/>
          <c:yMode val="edge"/>
          <c:x val="0.11046045436381353"/>
          <c:y val="0.84623786888131358"/>
          <c:w val="0.8049699407603037"/>
          <c:h val="0.124746670857600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Catalogues!$AL$8</c:f>
          <c:strCache>
            <c:ptCount val="1"/>
            <c:pt idx="0">
              <c:v>Example Company Absolute Emissions Target</c:v>
            </c:pt>
          </c:strCache>
        </c:strRef>
      </c:tx>
      <c:layout>
        <c:manualLayout>
          <c:xMode val="edge"/>
          <c:yMode val="edge"/>
          <c:x val="0.18921690218674383"/>
          <c:y val="3.91263064951517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7877422341262353"/>
          <c:y val="0.20669010548082534"/>
          <c:w val="0.77065382028528684"/>
          <c:h val="0.53004376600866698"/>
        </c:manualLayout>
      </c:layout>
      <c:lineChart>
        <c:grouping val="standard"/>
        <c:varyColors val="0"/>
        <c:ser>
          <c:idx val="1"/>
          <c:order val="0"/>
          <c:tx>
            <c:v>Company Absolute Emissions</c:v>
          </c:tx>
          <c:spPr>
            <a:ln w="28575" cap="rnd">
              <a:solidFill>
                <a:srgbClr val="00546E"/>
              </a:solidFill>
              <a:round/>
            </a:ln>
            <a:effectLst/>
          </c:spPr>
          <c:marker>
            <c:symbol val="none"/>
          </c:marker>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Calculations!$H$144:$AN$144</c:f>
              <c:numCache>
                <c:formatCode>0</c:formatCode>
                <c:ptCount val="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smooth val="0"/>
          <c:extLst>
            <c:ext xmlns:c16="http://schemas.microsoft.com/office/drawing/2014/chart" uri="{C3380CC4-5D6E-409C-BE32-E72D297353CC}">
              <c16:uniqueId val="{00000000-4B0C-4F09-862D-E840337D2455}"/>
            </c:ext>
          </c:extLst>
        </c:ser>
        <c:ser>
          <c:idx val="2"/>
          <c:order val="1"/>
          <c:tx>
            <c:v>Target Year</c:v>
          </c:tx>
          <c:spPr>
            <a:ln w="28575" cap="rnd">
              <a:solidFill>
                <a:schemeClr val="accent3"/>
              </a:solidFill>
              <a:round/>
            </a:ln>
            <a:effectLst/>
          </c:spPr>
          <c:marker>
            <c:symbol val="circle"/>
            <c:size val="9"/>
            <c:spPr>
              <a:solidFill>
                <a:schemeClr val="accent3"/>
              </a:solidFill>
              <a:ln w="9525">
                <a:solidFill>
                  <a:schemeClr val="accent3"/>
                </a:solidFill>
              </a:ln>
              <a:effectLst/>
            </c:spPr>
          </c:marker>
          <c:dLbls>
            <c:dLbl>
              <c:idx val="17"/>
              <c:layout>
                <c:manualLayout>
                  <c:x val="6.5683174363908775E-2"/>
                  <c:y val="-5.4796773344411284E-2"/>
                </c:manualLayout>
              </c:layout>
              <c:numFmt formatCode="#,##0\ &quot;tCO2e&quot;" sourceLinked="0"/>
              <c:spPr>
                <a:solidFill>
                  <a:schemeClr val="bg1"/>
                </a:solidFill>
                <a:ln w="3175">
                  <a:solidFill>
                    <a:schemeClr val="bg1">
                      <a:lumMod val="85000"/>
                    </a:schemeClr>
                  </a:solid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separator>; </c:separator>
              <c:extLst>
                <c:ext xmlns:c15="http://schemas.microsoft.com/office/drawing/2012/chart" uri="{CE6537A1-D6FC-4f65-9D91-7224C49458BB}">
                  <c15:layout>
                    <c:manualLayout>
                      <c:w val="0.29178257411749109"/>
                      <c:h val="5.0746819524211791E-2"/>
                    </c:manualLayout>
                  </c15:layout>
                </c:ext>
                <c:ext xmlns:c16="http://schemas.microsoft.com/office/drawing/2014/chart" uri="{C3380CC4-5D6E-409C-BE32-E72D297353CC}">
                  <c16:uniqueId val="{00000001-4B0C-4F09-862D-E840337D2455}"/>
                </c:ext>
              </c:extLst>
            </c:dLbl>
            <c:numFmt formatCode="#,##0\ &quot;tCO2e&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Calculations!$H$8:$AN$8</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Calculations!$H$145:$AN$145</c:f>
              <c:numCache>
                <c:formatCode>#,##0</c:formatCode>
                <c:ptCount val="33"/>
                <c:pt idx="0" formatCode="0">
                  <c:v>#N/A</c:v>
                </c:pt>
                <c:pt idx="1">
                  <c:v>#N/A</c:v>
                </c:pt>
                <c:pt idx="2" formatCode="0">
                  <c:v>#N/A</c:v>
                </c:pt>
                <c:pt idx="3" formatCode="0">
                  <c:v>#N/A</c:v>
                </c:pt>
                <c:pt idx="4" formatCode="0">
                  <c:v>#N/A</c:v>
                </c:pt>
                <c:pt idx="5" formatCode="0">
                  <c:v>#N/A</c:v>
                </c:pt>
                <c:pt idx="6" formatCode="0">
                  <c:v>#N/A</c:v>
                </c:pt>
                <c:pt idx="7" formatCode="0">
                  <c:v>#N/A</c:v>
                </c:pt>
                <c:pt idx="8" formatCode="0">
                  <c:v>#N/A</c:v>
                </c:pt>
                <c:pt idx="9" formatCode="0">
                  <c:v>#N/A</c:v>
                </c:pt>
                <c:pt idx="10" formatCode="0">
                  <c:v>#N/A</c:v>
                </c:pt>
                <c:pt idx="11" formatCode="0.0">
                  <c:v>#N/A</c:v>
                </c:pt>
                <c:pt idx="12" formatCode="0.0">
                  <c:v>#N/A</c:v>
                </c:pt>
                <c:pt idx="13" formatCode="0.0">
                  <c:v>#N/A</c:v>
                </c:pt>
                <c:pt idx="14" formatCode="0">
                  <c:v>#N/A</c:v>
                </c:pt>
                <c:pt idx="15" formatCode="0">
                  <c:v>#N/A</c:v>
                </c:pt>
                <c:pt idx="16" formatCode="0">
                  <c:v>#N/A</c:v>
                </c:pt>
                <c:pt idx="17" formatCode="0">
                  <c:v>#N/A</c:v>
                </c:pt>
                <c:pt idx="18" formatCode="0">
                  <c:v>#N/A</c:v>
                </c:pt>
                <c:pt idx="19" formatCode="0">
                  <c:v>#N/A</c:v>
                </c:pt>
                <c:pt idx="20" formatCode="0">
                  <c:v>#N/A</c:v>
                </c:pt>
                <c:pt idx="21" formatCode="0">
                  <c:v>#N/A</c:v>
                </c:pt>
                <c:pt idx="22" formatCode="0">
                  <c:v>#N/A</c:v>
                </c:pt>
                <c:pt idx="23" formatCode="0">
                  <c:v>#N/A</c:v>
                </c:pt>
                <c:pt idx="24" formatCode="0">
                  <c:v>#N/A</c:v>
                </c:pt>
                <c:pt idx="25" formatCode="0">
                  <c:v>#N/A</c:v>
                </c:pt>
                <c:pt idx="26" formatCode="0">
                  <c:v>#N/A</c:v>
                </c:pt>
                <c:pt idx="27" formatCode="0">
                  <c:v>#N/A</c:v>
                </c:pt>
                <c:pt idx="28" formatCode="0">
                  <c:v>#N/A</c:v>
                </c:pt>
                <c:pt idx="29" formatCode="0">
                  <c:v>#N/A</c:v>
                </c:pt>
                <c:pt idx="30" formatCode="0">
                  <c:v>#N/A</c:v>
                </c:pt>
                <c:pt idx="31" formatCode="0">
                  <c:v>#N/A</c:v>
                </c:pt>
                <c:pt idx="32" formatCode="0">
                  <c:v>#N/A</c:v>
                </c:pt>
              </c:numCache>
            </c:numRef>
          </c:val>
          <c:smooth val="0"/>
          <c:extLst>
            <c:ext xmlns:c16="http://schemas.microsoft.com/office/drawing/2014/chart" uri="{C3380CC4-5D6E-409C-BE32-E72D297353CC}">
              <c16:uniqueId val="{00000002-4B0C-4F09-862D-E840337D2455}"/>
            </c:ext>
          </c:extLst>
        </c:ser>
        <c:dLbls>
          <c:showLegendKey val="0"/>
          <c:showVal val="0"/>
          <c:showCatName val="0"/>
          <c:showSerName val="0"/>
          <c:showPercent val="0"/>
          <c:showBubbleSize val="0"/>
        </c:dLbls>
        <c:smooth val="0"/>
        <c:axId val="832546912"/>
        <c:axId val="832545824"/>
      </c:lineChart>
      <c:catAx>
        <c:axId val="832546912"/>
        <c:scaling>
          <c:orientation val="minMax"/>
        </c:scaling>
        <c:delete val="0"/>
        <c:axPos val="b"/>
        <c:numFmt formatCode="0"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45824"/>
        <c:crosses val="autoZero"/>
        <c:auto val="0"/>
        <c:lblAlgn val="ctr"/>
        <c:lblOffset val="100"/>
        <c:tickLblSkip val="5"/>
        <c:noMultiLvlLbl val="0"/>
      </c:catAx>
      <c:valAx>
        <c:axId val="832545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Company</a:t>
                </a:r>
                <a:r>
                  <a:rPr lang="en-US" baseline="0"/>
                  <a:t> Emissions, tCO2e</a:t>
                </a:r>
                <a:endParaRPr lang="en-US"/>
              </a:p>
            </c:rich>
          </c:tx>
          <c:layout>
            <c:manualLayout>
              <c:xMode val="edge"/>
              <c:yMode val="edge"/>
              <c:x val="1.3765866391423942E-2"/>
              <c:y val="0.206621375808924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32546912"/>
        <c:crosses val="autoZero"/>
        <c:crossBetween val="between"/>
      </c:valAx>
      <c:spPr>
        <a:noFill/>
        <a:ln>
          <a:noFill/>
        </a:ln>
        <a:effectLst/>
      </c:spPr>
    </c:plotArea>
    <c:legend>
      <c:legendPos val="b"/>
      <c:legendEntry>
        <c:idx val="1"/>
        <c:delete val="1"/>
      </c:legendEntry>
      <c:layout>
        <c:manualLayout>
          <c:xMode val="edge"/>
          <c:yMode val="edge"/>
          <c:x val="0.11046045436381353"/>
          <c:y val="0.84623786888131358"/>
          <c:w val="0.8049699407603037"/>
          <c:h val="0.124746670857600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DataInt!$B$15:$D$15</c:f>
              <c:strCache>
                <c:ptCount val="3"/>
                <c:pt idx="0">
                  <c:v>Sector-intensity</c:v>
                </c:pt>
                <c:pt idx="1">
                  <c:v>Ded-short</c:v>
                </c:pt>
                <c:pt idx="2">
                  <c:v>gCO2e/RTK</c:v>
                </c:pt>
              </c:strCache>
            </c:strRef>
          </c:tx>
          <c:spPr>
            <a:ln w="28575" cap="rnd">
              <a:solidFill>
                <a:schemeClr val="accent1"/>
              </a:solidFill>
              <a:round/>
            </a:ln>
            <a:effectLst/>
          </c:spPr>
          <c:marker>
            <c:symbol val="none"/>
          </c:marker>
          <c:cat>
            <c:strRef>
              <c:f>DataInt!$M$1:$AN$1</c:f>
              <c:strCach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strCache>
            </c:strRef>
          </c:cat>
          <c:val>
            <c:numRef>
              <c:f>DataInt!$E$15:$AN$15</c:f>
              <c:numCache>
                <c:formatCode>General</c:formatCode>
                <c:ptCount val="36"/>
                <c:pt idx="0">
                  <c:v>1189.7236448298318</c:v>
                </c:pt>
                <c:pt idx="1">
                  <c:v>1147.7539072100469</c:v>
                </c:pt>
                <c:pt idx="2">
                  <c:v>1110.5450166318824</c:v>
                </c:pt>
                <c:pt idx="3">
                  <c:v>1077.33038068719</c:v>
                </c:pt>
                <c:pt idx="4">
                  <c:v>1126.5819082910111</c:v>
                </c:pt>
                <c:pt idx="5">
                  <c:v>1086.7748233056914</c:v>
                </c:pt>
                <c:pt idx="6">
                  <c:v>1049.3972023676399</c:v>
                </c:pt>
                <c:pt idx="7">
                  <c:v>1014.2332226786245</c:v>
                </c:pt>
                <c:pt idx="8">
                  <c:v>981.09188987648861</c:v>
                </c:pt>
                <c:pt idx="9">
                  <c:v>949.80356749347379</c:v>
                </c:pt>
                <c:pt idx="10">
                  <c:v>920.21707272137542</c:v>
                </c:pt>
                <c:pt idx="11">
                  <c:v>892.19723352933408</c:v>
                </c:pt>
                <c:pt idx="12">
                  <c:v>865.62282383667934</c:v>
                </c:pt>
                <c:pt idx="13">
                  <c:v>840.38481019903247</c:v>
                </c:pt>
                <c:pt idx="14">
                  <c:v>816.38485652275381</c:v>
                </c:pt>
                <c:pt idx="15">
                  <c:v>793.53404356649946</c:v>
                </c:pt>
                <c:pt idx="16">
                  <c:v>762.06105516600064</c:v>
                </c:pt>
                <c:pt idx="17">
                  <c:v>674.95283167266689</c:v>
                </c:pt>
                <c:pt idx="18">
                  <c:v>628.64534601563412</c:v>
                </c:pt>
                <c:pt idx="19">
                  <c:v>584.28942487660083</c:v>
                </c:pt>
                <c:pt idx="20">
                  <c:v>538.52669925358441</c:v>
                </c:pt>
                <c:pt idx="21">
                  <c:v>493.10476254892103</c:v>
                </c:pt>
                <c:pt idx="22">
                  <c:v>448.36998631277874</c:v>
                </c:pt>
                <c:pt idx="23">
                  <c:v>404.34360798657497</c:v>
                </c:pt>
                <c:pt idx="24">
                  <c:v>361.08866741830911</c:v>
                </c:pt>
                <c:pt idx="25">
                  <c:v>318.68994456484904</c:v>
                </c:pt>
                <c:pt idx="26">
                  <c:v>281.50771120611881</c:v>
                </c:pt>
                <c:pt idx="27">
                  <c:v>245.2956860937569</c:v>
                </c:pt>
                <c:pt idx="28">
                  <c:v>210.08069445731962</c:v>
                </c:pt>
                <c:pt idx="29">
                  <c:v>175.85917877142279</c:v>
                </c:pt>
                <c:pt idx="30">
                  <c:v>142.60213359649836</c:v>
                </c:pt>
                <c:pt idx="31">
                  <c:v>109.98523210207156</c:v>
                </c:pt>
                <c:pt idx="32">
                  <c:v>78.212482483134721</c:v>
                </c:pt>
                <c:pt idx="33">
                  <c:v>47.244620722005763</c:v>
                </c:pt>
                <c:pt idx="34">
                  <c:v>38.944124677508384</c:v>
                </c:pt>
                <c:pt idx="35">
                  <c:v>37.636164147114265</c:v>
                </c:pt>
              </c:numCache>
            </c:numRef>
          </c:val>
          <c:smooth val="0"/>
          <c:extLst>
            <c:ext xmlns:c16="http://schemas.microsoft.com/office/drawing/2014/chart" uri="{C3380CC4-5D6E-409C-BE32-E72D297353CC}">
              <c16:uniqueId val="{00000000-955F-4A04-A2D8-398DCF8607A7}"/>
            </c:ext>
          </c:extLst>
        </c:ser>
        <c:ser>
          <c:idx val="1"/>
          <c:order val="1"/>
          <c:tx>
            <c:strRef>
              <c:f>DataInt!$B$16:$D$16</c:f>
              <c:strCache>
                <c:ptCount val="3"/>
                <c:pt idx="0">
                  <c:v>Sector-intensity</c:v>
                </c:pt>
                <c:pt idx="1">
                  <c:v>Ded-long</c:v>
                </c:pt>
                <c:pt idx="2">
                  <c:v>gCO2e/RTK</c:v>
                </c:pt>
              </c:strCache>
            </c:strRef>
          </c:tx>
          <c:spPr>
            <a:ln w="28575" cap="rnd">
              <a:solidFill>
                <a:schemeClr val="accent2"/>
              </a:solidFill>
              <a:round/>
            </a:ln>
            <a:effectLst/>
          </c:spPr>
          <c:marker>
            <c:symbol val="none"/>
          </c:marker>
          <c:cat>
            <c:strRef>
              <c:f>DataInt!$M$1:$AN$1</c:f>
              <c:strCach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strCache>
            </c:strRef>
          </c:cat>
          <c:val>
            <c:numRef>
              <c:f>DataInt!$E$16:$AN$16</c:f>
              <c:numCache>
                <c:formatCode>General</c:formatCode>
                <c:ptCount val="36"/>
                <c:pt idx="0">
                  <c:v>617.74112327702801</c:v>
                </c:pt>
                <c:pt idx="1">
                  <c:v>595.94914412829348</c:v>
                </c:pt>
                <c:pt idx="2">
                  <c:v>576.62914325116969</c:v>
                </c:pt>
                <c:pt idx="3">
                  <c:v>559.38308227988705</c:v>
                </c:pt>
                <c:pt idx="4">
                  <c:v>584.95599084340938</c:v>
                </c:pt>
                <c:pt idx="5">
                  <c:v>564.28692748564731</c:v>
                </c:pt>
                <c:pt idx="6">
                  <c:v>544.87931661396669</c:v>
                </c:pt>
                <c:pt idx="7">
                  <c:v>526.62109639082416</c:v>
                </c:pt>
                <c:pt idx="8">
                  <c:v>509.41309666663813</c:v>
                </c:pt>
                <c:pt idx="9">
                  <c:v>493.16723696776518</c:v>
                </c:pt>
                <c:pt idx="10">
                  <c:v>477.80501852840638</c:v>
                </c:pt>
                <c:pt idx="11">
                  <c:v>463.25625587100029</c:v>
                </c:pt>
                <c:pt idx="12">
                  <c:v>449.45800468442951</c:v>
                </c:pt>
                <c:pt idx="13">
                  <c:v>436.35365144949753</c:v>
                </c:pt>
                <c:pt idx="14">
                  <c:v>423.89213704066054</c:v>
                </c:pt>
                <c:pt idx="15">
                  <c:v>412.02729185183631</c:v>
                </c:pt>
                <c:pt idx="16">
                  <c:v>395.68554787465416</c:v>
                </c:pt>
                <c:pt idx="17">
                  <c:v>350.45627798388466</c:v>
                </c:pt>
                <c:pt idx="18">
                  <c:v>326.41200658504079</c:v>
                </c:pt>
                <c:pt idx="19">
                  <c:v>303.3810475320812</c:v>
                </c:pt>
                <c:pt idx="20">
                  <c:v>279.61963230474572</c:v>
                </c:pt>
                <c:pt idx="21">
                  <c:v>256.03516516963202</c:v>
                </c:pt>
                <c:pt idx="22">
                  <c:v>232.80749289317353</c:v>
                </c:pt>
                <c:pt idx="23">
                  <c:v>209.94764260841387</c:v>
                </c:pt>
                <c:pt idx="24">
                  <c:v>187.48834654412204</c:v>
                </c:pt>
                <c:pt idx="25">
                  <c:v>165.47362506251778</c:v>
                </c:pt>
                <c:pt idx="26">
                  <c:v>146.16746543394629</c:v>
                </c:pt>
                <c:pt idx="27">
                  <c:v>127.3650677794507</c:v>
                </c:pt>
                <c:pt idx="28">
                  <c:v>109.08036058360824</c:v>
                </c:pt>
                <c:pt idx="29">
                  <c:v>91.311496669777213</c:v>
                </c:pt>
                <c:pt idx="30">
                  <c:v>74.043415521258751</c:v>
                </c:pt>
                <c:pt idx="31">
                  <c:v>57.107716668383311</c:v>
                </c:pt>
                <c:pt idx="32">
                  <c:v>40.610327443166099</c:v>
                </c:pt>
                <c:pt idx="33">
                  <c:v>24.530860759502989</c:v>
                </c:pt>
                <c:pt idx="34">
                  <c:v>20.22098781332166</c:v>
                </c:pt>
                <c:pt idx="35">
                  <c:v>19.541854461001638</c:v>
                </c:pt>
              </c:numCache>
            </c:numRef>
          </c:val>
          <c:smooth val="0"/>
          <c:extLst>
            <c:ext xmlns:c16="http://schemas.microsoft.com/office/drawing/2014/chart" uri="{C3380CC4-5D6E-409C-BE32-E72D297353CC}">
              <c16:uniqueId val="{00000001-955F-4A04-A2D8-398DCF8607A7}"/>
            </c:ext>
          </c:extLst>
        </c:ser>
        <c:ser>
          <c:idx val="2"/>
          <c:order val="2"/>
          <c:tx>
            <c:strRef>
              <c:f>DataInt!$B$17:$D$17</c:f>
              <c:strCache>
                <c:ptCount val="3"/>
                <c:pt idx="0">
                  <c:v>Sector-intensity</c:v>
                </c:pt>
                <c:pt idx="1">
                  <c:v>Belly</c:v>
                </c:pt>
                <c:pt idx="2">
                  <c:v>gCO2e/RTK</c:v>
                </c:pt>
              </c:strCache>
            </c:strRef>
          </c:tx>
          <c:spPr>
            <a:ln w="28575" cap="rnd">
              <a:solidFill>
                <a:schemeClr val="accent3"/>
              </a:solidFill>
              <a:round/>
            </a:ln>
            <a:effectLst/>
          </c:spPr>
          <c:marker>
            <c:symbol val="none"/>
          </c:marker>
          <c:cat>
            <c:strRef>
              <c:f>DataInt!$M$1:$AN$1</c:f>
              <c:strCach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strCache>
            </c:strRef>
          </c:cat>
          <c:val>
            <c:numRef>
              <c:f>DataInt!$E$17:$AN$17</c:f>
              <c:numCache>
                <c:formatCode>General</c:formatCode>
                <c:ptCount val="36"/>
                <c:pt idx="0">
                  <c:v>683.29204166542684</c:v>
                </c:pt>
                <c:pt idx="1">
                  <c:v>670.34703768087195</c:v>
                </c:pt>
                <c:pt idx="2">
                  <c:v>659.04416585138404</c:v>
                </c:pt>
                <c:pt idx="3">
                  <c:v>649.08959525762248</c:v>
                </c:pt>
                <c:pt idx="4">
                  <c:v>635.54538040104273</c:v>
                </c:pt>
                <c:pt idx="5">
                  <c:v>613.08877180164723</c:v>
                </c:pt>
                <c:pt idx="6">
                  <c:v>592.00271126513837</c:v>
                </c:pt>
                <c:pt idx="7">
                  <c:v>572.16544538735434</c:v>
                </c:pt>
                <c:pt idx="8">
                  <c:v>553.46922737806392</c:v>
                </c:pt>
                <c:pt idx="9">
                  <c:v>535.81835920356218</c:v>
                </c:pt>
                <c:pt idx="10">
                  <c:v>519.12755320332121</c:v>
                </c:pt>
                <c:pt idx="11">
                  <c:v>503.32055397226071</c:v>
                </c:pt>
                <c:pt idx="12">
                  <c:v>488.32897351747442</c:v>
                </c:pt>
                <c:pt idx="13">
                  <c:v>474.09130215078557</c:v>
                </c:pt>
                <c:pt idx="14">
                  <c:v>460.5520649443792</c:v>
                </c:pt>
                <c:pt idx="15">
                  <c:v>447.66109935556875</c:v>
                </c:pt>
                <c:pt idx="16">
                  <c:v>429.90605443771096</c:v>
                </c:pt>
                <c:pt idx="17">
                  <c:v>402.34755994659474</c:v>
                </c:pt>
                <c:pt idx="18">
                  <c:v>374.83638659930745</c:v>
                </c:pt>
                <c:pt idx="19">
                  <c:v>348.24740024150054</c:v>
                </c:pt>
                <c:pt idx="20">
                  <c:v>315.64290264633536</c:v>
                </c:pt>
                <c:pt idx="21">
                  <c:v>283.96305958473783</c:v>
                </c:pt>
                <c:pt idx="22">
                  <c:v>253.709975822704</c:v>
                </c:pt>
                <c:pt idx="23">
                  <c:v>224.93361288289125</c:v>
                </c:pt>
                <c:pt idx="24">
                  <c:v>197.67233148521848</c:v>
                </c:pt>
                <c:pt idx="25">
                  <c:v>171.92689088621964</c:v>
                </c:pt>
                <c:pt idx="26">
                  <c:v>149.79530249554762</c:v>
                </c:pt>
                <c:pt idx="27">
                  <c:v>128.95785371681438</c:v>
                </c:pt>
                <c:pt idx="28">
                  <c:v>109.31122742753327</c:v>
                </c:pt>
                <c:pt idx="29">
                  <c:v>90.738629448906778</c:v>
                </c:pt>
                <c:pt idx="30">
                  <c:v>73.120796486100161</c:v>
                </c:pt>
                <c:pt idx="31">
                  <c:v>56.186423239523393</c:v>
                </c:pt>
                <c:pt idx="32">
                  <c:v>40.00572006891133</c:v>
                </c:pt>
                <c:pt idx="33">
                  <c:v>24.495468108512217</c:v>
                </c:pt>
                <c:pt idx="34">
                  <c:v>18.997056521408702</c:v>
                </c:pt>
                <c:pt idx="35">
                  <c:v>16.266041128869425</c:v>
                </c:pt>
              </c:numCache>
            </c:numRef>
          </c:val>
          <c:smooth val="0"/>
          <c:extLst>
            <c:ext xmlns:c16="http://schemas.microsoft.com/office/drawing/2014/chart" uri="{C3380CC4-5D6E-409C-BE32-E72D297353CC}">
              <c16:uniqueId val="{00000002-955F-4A04-A2D8-398DCF8607A7}"/>
            </c:ext>
          </c:extLst>
        </c:ser>
        <c:ser>
          <c:idx val="3"/>
          <c:order val="3"/>
          <c:tx>
            <c:strRef>
              <c:f>DataInt!$B$18:$D$18</c:f>
              <c:strCache>
                <c:ptCount val="3"/>
                <c:pt idx="0">
                  <c:v>Sector-intensity</c:v>
                </c:pt>
                <c:pt idx="1">
                  <c:v>Pax-short</c:v>
                </c:pt>
                <c:pt idx="2">
                  <c:v>gCO2e/RTK</c:v>
                </c:pt>
              </c:strCache>
            </c:strRef>
          </c:tx>
          <c:spPr>
            <a:ln w="28575" cap="rnd">
              <a:solidFill>
                <a:schemeClr val="accent4"/>
              </a:solidFill>
              <a:round/>
            </a:ln>
            <a:effectLst/>
          </c:spPr>
          <c:marker>
            <c:symbol val="none"/>
          </c:marker>
          <c:cat>
            <c:strRef>
              <c:f>DataInt!$M$1:$AN$1</c:f>
              <c:strCach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strCache>
            </c:strRef>
          </c:cat>
          <c:val>
            <c:numRef>
              <c:f>DataInt!$E$18:$AN$18</c:f>
              <c:numCache>
                <c:formatCode>General</c:formatCode>
                <c:ptCount val="36"/>
                <c:pt idx="0">
                  <c:v>1401.0714773798429</c:v>
                </c:pt>
                <c:pt idx="1">
                  <c:v>1374.5281039005874</c:v>
                </c:pt>
                <c:pt idx="2">
                  <c:v>1351.3518770939982</c:v>
                </c:pt>
                <c:pt idx="3">
                  <c:v>1330.9403047676328</c:v>
                </c:pt>
                <c:pt idx="4">
                  <c:v>1303.1682659292971</c:v>
                </c:pt>
                <c:pt idx="5">
                  <c:v>1257.1216096407081</c:v>
                </c:pt>
                <c:pt idx="6">
                  <c:v>1213.8852243375802</c:v>
                </c:pt>
                <c:pt idx="7">
                  <c:v>1173.2094580242172</c:v>
                </c:pt>
                <c:pt idx="8">
                  <c:v>1134.8733788803036</c:v>
                </c:pt>
                <c:pt idx="9">
                  <c:v>1098.6807607283199</c:v>
                </c:pt>
                <c:pt idx="10">
                  <c:v>1064.4567235736938</c:v>
                </c:pt>
                <c:pt idx="11">
                  <c:v>1032.0449078124209</c:v>
                </c:pt>
                <c:pt idx="12">
                  <c:v>1001.3050857520744</c:v>
                </c:pt>
                <c:pt idx="13">
                  <c:v>972.11113347428238</c:v>
                </c:pt>
                <c:pt idx="14">
                  <c:v>944.34930117027864</c:v>
                </c:pt>
                <c:pt idx="15">
                  <c:v>917.91673193041765</c:v>
                </c:pt>
                <c:pt idx="16">
                  <c:v>881.51050224072799</c:v>
                </c:pt>
                <c:pt idx="17">
                  <c:v>825.00256970733778</c:v>
                </c:pt>
                <c:pt idx="18">
                  <c:v>768.59166787363779</c:v>
                </c:pt>
                <c:pt idx="19">
                  <c:v>714.07168501599176</c:v>
                </c:pt>
                <c:pt idx="20">
                  <c:v>647.21706235194904</c:v>
                </c:pt>
                <c:pt idx="21">
                  <c:v>582.25841829502394</c:v>
                </c:pt>
                <c:pt idx="22">
                  <c:v>520.22530481333126</c:v>
                </c:pt>
                <c:pt idx="23">
                  <c:v>461.22016663049334</c:v>
                </c:pt>
                <c:pt idx="24">
                  <c:v>405.32166134421749</c:v>
                </c:pt>
                <c:pt idx="25">
                  <c:v>352.53134578907668</c:v>
                </c:pt>
                <c:pt idx="26">
                  <c:v>307.15113447020349</c:v>
                </c:pt>
                <c:pt idx="27">
                  <c:v>264.4245207164584</c:v>
                </c:pt>
                <c:pt idx="28">
                  <c:v>224.13965561900861</c:v>
                </c:pt>
                <c:pt idx="29">
                  <c:v>186.05705593692781</c:v>
                </c:pt>
                <c:pt idx="30">
                  <c:v>149.93217557498562</c:v>
                </c:pt>
                <c:pt idx="31">
                  <c:v>115.20871050249102</c:v>
                </c:pt>
                <c:pt idx="32">
                  <c:v>82.030625124768079</c:v>
                </c:pt>
                <c:pt idx="33">
                  <c:v>50.227281453848306</c:v>
                </c:pt>
                <c:pt idx="34">
                  <c:v>38.95294021198491</c:v>
                </c:pt>
                <c:pt idx="35">
                  <c:v>33.353068506402145</c:v>
                </c:pt>
              </c:numCache>
            </c:numRef>
          </c:val>
          <c:smooth val="0"/>
          <c:extLst>
            <c:ext xmlns:c16="http://schemas.microsoft.com/office/drawing/2014/chart" uri="{C3380CC4-5D6E-409C-BE32-E72D297353CC}">
              <c16:uniqueId val="{00000003-955F-4A04-A2D8-398DCF8607A7}"/>
            </c:ext>
          </c:extLst>
        </c:ser>
        <c:ser>
          <c:idx val="4"/>
          <c:order val="4"/>
          <c:tx>
            <c:strRef>
              <c:f>DataInt!$B$19:$D$19</c:f>
              <c:strCache>
                <c:ptCount val="3"/>
                <c:pt idx="0">
                  <c:v>Sector-intensity</c:v>
                </c:pt>
                <c:pt idx="1">
                  <c:v>Pax-long</c:v>
                </c:pt>
                <c:pt idx="2">
                  <c:v>gCO2e/RTK</c:v>
                </c:pt>
              </c:strCache>
            </c:strRef>
          </c:tx>
          <c:spPr>
            <a:ln w="28575" cap="rnd">
              <a:solidFill>
                <a:schemeClr val="accent5"/>
              </a:solidFill>
              <a:round/>
            </a:ln>
            <a:effectLst/>
          </c:spPr>
          <c:marker>
            <c:symbol val="none"/>
          </c:marker>
          <c:cat>
            <c:strRef>
              <c:f>DataInt!$M$1:$AN$1</c:f>
              <c:strCach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strCache>
            </c:strRef>
          </c:cat>
          <c:val>
            <c:numRef>
              <c:f>DataInt!$E$19:$AN$19</c:f>
              <c:numCache>
                <c:formatCode>General</c:formatCode>
                <c:ptCount val="36"/>
                <c:pt idx="0">
                  <c:v>1096.0396793216892</c:v>
                </c:pt>
                <c:pt idx="1">
                  <c:v>1075.2751494415108</c:v>
                </c:pt>
                <c:pt idx="2">
                  <c:v>1057.1446938529884</c:v>
                </c:pt>
                <c:pt idx="3">
                  <c:v>1041.1769908854865</c:v>
                </c:pt>
                <c:pt idx="4">
                  <c:v>1019.4512923512447</c:v>
                </c:pt>
                <c:pt idx="5">
                  <c:v>983.42960237525313</c:v>
                </c:pt>
                <c:pt idx="6">
                  <c:v>949.60635020878146</c:v>
                </c:pt>
                <c:pt idx="7">
                  <c:v>917.7862363987166</c:v>
                </c:pt>
                <c:pt idx="8">
                  <c:v>887.79642890515197</c:v>
                </c:pt>
                <c:pt idx="9">
                  <c:v>859.48342258566197</c:v>
                </c:pt>
                <c:pt idx="10">
                  <c:v>832.71041113431227</c:v>
                </c:pt>
                <c:pt idx="11">
                  <c:v>807.3550765016679</c:v>
                </c:pt>
                <c:pt idx="12">
                  <c:v>783.30772041928174</c:v>
                </c:pt>
                <c:pt idx="13">
                  <c:v>760.46967781454384</c:v>
                </c:pt>
                <c:pt idx="14">
                  <c:v>738.75196371706863</c:v>
                </c:pt>
                <c:pt idx="15">
                  <c:v>718.07411452732924</c:v>
                </c:pt>
                <c:pt idx="16">
                  <c:v>689.59400272816458</c:v>
                </c:pt>
                <c:pt idx="17">
                  <c:v>645.38859475793447</c:v>
                </c:pt>
                <c:pt idx="18">
                  <c:v>601.25909262026914</c:v>
                </c:pt>
                <c:pt idx="19">
                  <c:v>558.60883137901624</c:v>
                </c:pt>
                <c:pt idx="20">
                  <c:v>506.30934461556944</c:v>
                </c:pt>
                <c:pt idx="21">
                  <c:v>455.49305683097293</c:v>
                </c:pt>
                <c:pt idx="22">
                  <c:v>406.9653729079867</c:v>
                </c:pt>
                <c:pt idx="23">
                  <c:v>360.8064339984648</c:v>
                </c:pt>
                <c:pt idx="24">
                  <c:v>317.07777290038342</c:v>
                </c:pt>
                <c:pt idx="25">
                  <c:v>275.78060750483019</c:v>
                </c:pt>
                <c:pt idx="26">
                  <c:v>240.28026861098257</c:v>
                </c:pt>
                <c:pt idx="27">
                  <c:v>206.85580398285825</c:v>
                </c:pt>
                <c:pt idx="28">
                  <c:v>175.34148702202853</c:v>
                </c:pt>
                <c:pt idx="29">
                  <c:v>145.54997315769481</c:v>
                </c:pt>
                <c:pt idx="30">
                  <c:v>117.28995721512264</c:v>
                </c:pt>
                <c:pt idx="31">
                  <c:v>90.126249911503777</c:v>
                </c:pt>
                <c:pt idx="32">
                  <c:v>64.17147269634512</c:v>
                </c:pt>
                <c:pt idx="33">
                  <c:v>39.292137729352461</c:v>
                </c:pt>
                <c:pt idx="34">
                  <c:v>30.472369745491687</c:v>
                </c:pt>
                <c:pt idx="35">
                  <c:v>26.091664201540663</c:v>
                </c:pt>
              </c:numCache>
            </c:numRef>
          </c:val>
          <c:smooth val="0"/>
          <c:extLst>
            <c:ext xmlns:c16="http://schemas.microsoft.com/office/drawing/2014/chart" uri="{C3380CC4-5D6E-409C-BE32-E72D297353CC}">
              <c16:uniqueId val="{00000004-955F-4A04-A2D8-398DCF8607A7}"/>
            </c:ext>
          </c:extLst>
        </c:ser>
        <c:ser>
          <c:idx val="5"/>
          <c:order val="5"/>
          <c:tx>
            <c:strRef>
              <c:f>DataInt!$B$20:$D$20</c:f>
              <c:strCache>
                <c:ptCount val="3"/>
                <c:pt idx="0">
                  <c:v>Sector-intensity</c:v>
                </c:pt>
                <c:pt idx="1">
                  <c:v>Total</c:v>
                </c:pt>
                <c:pt idx="2">
                  <c:v>gCO2e/RTK</c:v>
                </c:pt>
              </c:strCache>
            </c:strRef>
          </c:tx>
          <c:spPr>
            <a:ln w="28575" cap="rnd">
              <a:solidFill>
                <a:schemeClr val="accent6"/>
              </a:solidFill>
              <a:round/>
            </a:ln>
            <a:effectLst/>
          </c:spPr>
          <c:marker>
            <c:symbol val="none"/>
          </c:marker>
          <c:cat>
            <c:strRef>
              <c:f>DataInt!$M$1:$AN$1</c:f>
              <c:strCach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strCache>
            </c:strRef>
          </c:cat>
          <c:val>
            <c:numRef>
              <c:f>DataInt!$E$20:$AN$20</c:f>
              <c:numCache>
                <c:formatCode>General</c:formatCode>
                <c:ptCount val="36"/>
                <c:pt idx="0">
                  <c:v>1055.7608253838434</c:v>
                </c:pt>
                <c:pt idx="1">
                  <c:v>1034.7505047313637</c:v>
                </c:pt>
                <c:pt idx="2">
                  <c:v>1016.3693830394336</c:v>
                </c:pt>
                <c:pt idx="3">
                  <c:v>1000.1530003816767</c:v>
                </c:pt>
                <c:pt idx="4">
                  <c:v>990.42964757307641</c:v>
                </c:pt>
                <c:pt idx="5">
                  <c:v>955.43341972424662</c:v>
                </c:pt>
                <c:pt idx="6">
                  <c:v>922.57304476140666</c:v>
                </c:pt>
                <c:pt idx="7">
                  <c:v>891.65878299814892</c:v>
                </c:pt>
                <c:pt idx="8">
                  <c:v>862.52272256103902</c:v>
                </c:pt>
                <c:pt idx="9">
                  <c:v>835.01572827779955</c:v>
                </c:pt>
                <c:pt idx="10">
                  <c:v>809.00488843171695</c:v>
                </c:pt>
                <c:pt idx="11">
                  <c:v>784.37136711223548</c:v>
                </c:pt>
                <c:pt idx="12">
                  <c:v>761.00858893103339</c:v>
                </c:pt>
                <c:pt idx="13">
                  <c:v>738.82069760363083</c:v>
                </c:pt>
                <c:pt idx="14">
                  <c:v>717.72124137552078</c:v>
                </c:pt>
                <c:pt idx="15">
                  <c:v>697.6320472774604</c:v>
                </c:pt>
                <c:pt idx="16">
                  <c:v>669.962704657833</c:v>
                </c:pt>
                <c:pt idx="17">
                  <c:v>620.19079521153435</c:v>
                </c:pt>
                <c:pt idx="18">
                  <c:v>577.3205791140781</c:v>
                </c:pt>
                <c:pt idx="19">
                  <c:v>535.96397665315942</c:v>
                </c:pt>
                <c:pt idx="20">
                  <c:v>486.02602708547118</c:v>
                </c:pt>
                <c:pt idx="21">
                  <c:v>437.51775976993872</c:v>
                </c:pt>
                <c:pt idx="22">
                  <c:v>391.1646586549391</c:v>
                </c:pt>
                <c:pt idx="23">
                  <c:v>347.03070746703281</c:v>
                </c:pt>
                <c:pt idx="24">
                  <c:v>305.16545380474156</c:v>
                </c:pt>
                <c:pt idx="25">
                  <c:v>265.56662767176977</c:v>
                </c:pt>
                <c:pt idx="26">
                  <c:v>231.50027118102449</c:v>
                </c:pt>
                <c:pt idx="27">
                  <c:v>199.37587093376467</c:v>
                </c:pt>
                <c:pt idx="28">
                  <c:v>169.04358048505401</c:v>
                </c:pt>
                <c:pt idx="29">
                  <c:v>140.33357298721896</c:v>
                </c:pt>
                <c:pt idx="30">
                  <c:v>113.07180039557635</c:v>
                </c:pt>
                <c:pt idx="31">
                  <c:v>86.850810293534778</c:v>
                </c:pt>
                <c:pt idx="32">
                  <c:v>61.780222323792017</c:v>
                </c:pt>
                <c:pt idx="33">
                  <c:v>37.737954803344536</c:v>
                </c:pt>
                <c:pt idx="34">
                  <c:v>29.456669113964765</c:v>
                </c:pt>
                <c:pt idx="35">
                  <c:v>25.608380742536831</c:v>
                </c:pt>
              </c:numCache>
            </c:numRef>
          </c:val>
          <c:smooth val="0"/>
          <c:extLst>
            <c:ext xmlns:c16="http://schemas.microsoft.com/office/drawing/2014/chart" uri="{C3380CC4-5D6E-409C-BE32-E72D297353CC}">
              <c16:uniqueId val="{00000005-955F-4A04-A2D8-398DCF8607A7}"/>
            </c:ext>
          </c:extLst>
        </c:ser>
        <c:dLbls>
          <c:showLegendKey val="0"/>
          <c:showVal val="0"/>
          <c:showCatName val="0"/>
          <c:showSerName val="0"/>
          <c:showPercent val="0"/>
          <c:showBubbleSize val="0"/>
        </c:dLbls>
        <c:smooth val="0"/>
        <c:axId val="1799804543"/>
        <c:axId val="1799812863"/>
      </c:lineChart>
      <c:catAx>
        <c:axId val="17998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9812863"/>
        <c:crosses val="autoZero"/>
        <c:auto val="1"/>
        <c:lblAlgn val="ctr"/>
        <c:lblOffset val="100"/>
        <c:noMultiLvlLbl val="0"/>
      </c:catAx>
      <c:valAx>
        <c:axId val="17998128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9804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0</xdr:col>
      <xdr:colOff>240369</xdr:colOff>
      <xdr:row>2</xdr:row>
      <xdr:rowOff>136287</xdr:rowOff>
    </xdr:from>
    <xdr:ext cx="1343503" cy="605406"/>
    <xdr:pic>
      <xdr:nvPicPr>
        <xdr:cNvPr id="2" name="Imagen 9" descr="Science_Based_Targets_-_Logo_Colou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369" y="364887"/>
          <a:ext cx="1343503" cy="6054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227884</xdr:colOff>
      <xdr:row>2</xdr:row>
      <xdr:rowOff>172468</xdr:rowOff>
    </xdr:from>
    <xdr:ext cx="1351186" cy="608868"/>
    <xdr:pic>
      <xdr:nvPicPr>
        <xdr:cNvPr id="2" name="Imagen 9" descr="Science_Based_Targets_-_Logo_Colour.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884" y="401068"/>
          <a:ext cx="1351186" cy="6088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13445</xdr:colOff>
      <xdr:row>59</xdr:row>
      <xdr:rowOff>161652</xdr:rowOff>
    </xdr:from>
    <xdr:to>
      <xdr:col>6</xdr:col>
      <xdr:colOff>170330</xdr:colOff>
      <xdr:row>82</xdr:row>
      <xdr:rowOff>210350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460080</xdr:colOff>
      <xdr:row>59</xdr:row>
      <xdr:rowOff>156882</xdr:rowOff>
    </xdr:from>
    <xdr:to>
      <xdr:col>10</xdr:col>
      <xdr:colOff>0</xdr:colOff>
      <xdr:row>82</xdr:row>
      <xdr:rowOff>209294</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xdr:colOff>
      <xdr:row>93</xdr:row>
      <xdr:rowOff>13855</xdr:rowOff>
    </xdr:from>
    <xdr:to>
      <xdr:col>6</xdr:col>
      <xdr:colOff>228600</xdr:colOff>
      <xdr:row>110</xdr:row>
      <xdr:rowOff>52739</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378822</xdr:colOff>
      <xdr:row>93</xdr:row>
      <xdr:rowOff>4483</xdr:rowOff>
    </xdr:from>
    <xdr:to>
      <xdr:col>9</xdr:col>
      <xdr:colOff>1293158</xdr:colOff>
      <xdr:row>110</xdr:row>
      <xdr:rowOff>43367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4482</xdr:colOff>
      <xdr:row>110</xdr:row>
      <xdr:rowOff>152807</xdr:rowOff>
    </xdr:from>
    <xdr:to>
      <xdr:col>6</xdr:col>
      <xdr:colOff>228599</xdr:colOff>
      <xdr:row>128</xdr:row>
      <xdr:rowOff>7916</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8962</xdr:colOff>
      <xdr:row>128</xdr:row>
      <xdr:rowOff>112466</xdr:rowOff>
    </xdr:from>
    <xdr:to>
      <xdr:col>6</xdr:col>
      <xdr:colOff>219636</xdr:colOff>
      <xdr:row>145</xdr:row>
      <xdr:rowOff>151350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374661</xdr:colOff>
      <xdr:row>128</xdr:row>
      <xdr:rowOff>125914</xdr:rowOff>
    </xdr:from>
    <xdr:to>
      <xdr:col>9</xdr:col>
      <xdr:colOff>1206394</xdr:colOff>
      <xdr:row>145</xdr:row>
      <xdr:rowOff>156882</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188259</xdr:colOff>
      <xdr:row>2</xdr:row>
      <xdr:rowOff>180415</xdr:rowOff>
    </xdr:from>
    <xdr:ext cx="1230163" cy="554333"/>
    <xdr:pic>
      <xdr:nvPicPr>
        <xdr:cNvPr id="13" name="Imagen 9" descr="Science_Based_Targets_-_Logo_Colour.jpg">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8259" y="409015"/>
          <a:ext cx="1230163" cy="55433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6723</xdr:colOff>
      <xdr:row>40</xdr:row>
      <xdr:rowOff>28575</xdr:rowOff>
    </xdr:from>
    <xdr:to>
      <xdr:col>6</xdr:col>
      <xdr:colOff>945777</xdr:colOff>
      <xdr:row>63</xdr:row>
      <xdr:rowOff>43898</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209550</xdr:colOff>
      <xdr:row>2</xdr:row>
      <xdr:rowOff>161925</xdr:rowOff>
    </xdr:from>
    <xdr:ext cx="1230163" cy="554333"/>
    <xdr:pic>
      <xdr:nvPicPr>
        <xdr:cNvPr id="4" name="Imagen 9" descr="Science_Based_Targets_-_Logo_Colour.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390525"/>
          <a:ext cx="1230163" cy="55433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1255061</xdr:colOff>
      <xdr:row>35</xdr:row>
      <xdr:rowOff>31376</xdr:rowOff>
    </xdr:from>
    <xdr:to>
      <xdr:col>9</xdr:col>
      <xdr:colOff>291354</xdr:colOff>
      <xdr:row>62</xdr:row>
      <xdr:rowOff>19050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35</xdr:row>
      <xdr:rowOff>35858</xdr:rowOff>
    </xdr:from>
    <xdr:to>
      <xdr:col>5</xdr:col>
      <xdr:colOff>1147482</xdr:colOff>
      <xdr:row>62</xdr:row>
      <xdr:rowOff>16697</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179294</xdr:colOff>
      <xdr:row>2</xdr:row>
      <xdr:rowOff>165846</xdr:rowOff>
    </xdr:from>
    <xdr:ext cx="1230163" cy="554333"/>
    <xdr:pic>
      <xdr:nvPicPr>
        <xdr:cNvPr id="5" name="Imagen 9" descr="Science_Based_Targets_-_Logo_Colour.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294" y="389964"/>
          <a:ext cx="1230163" cy="55433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188259</xdr:colOff>
      <xdr:row>3</xdr:row>
      <xdr:rowOff>8964</xdr:rowOff>
    </xdr:from>
    <xdr:ext cx="1230163" cy="554333"/>
    <xdr:pic>
      <xdr:nvPicPr>
        <xdr:cNvPr id="3" name="Imagen 9" descr="Science_Based_Targets_-_Logo_Colour.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259" y="470646"/>
          <a:ext cx="1230163" cy="55433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24</xdr:col>
      <xdr:colOff>285750</xdr:colOff>
      <xdr:row>23</xdr:row>
      <xdr:rowOff>47625</xdr:rowOff>
    </xdr:from>
    <xdr:to>
      <xdr:col>35</xdr:col>
      <xdr:colOff>419100</xdr:colOff>
      <xdr:row>56</xdr:row>
      <xdr:rowOff>19049</xdr:rowOff>
    </xdr:to>
    <xdr:graphicFrame macro="">
      <xdr:nvGraphicFramePr>
        <xdr:cNvPr id="2" name="Chart 1">
          <a:extLst>
            <a:ext uri="{FF2B5EF4-FFF2-40B4-BE49-F238E27FC236}">
              <a16:creationId xmlns:a16="http://schemas.microsoft.com/office/drawing/2014/main" id="{3A1E203D-CEC5-FA36-334A-F74C672A5A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solazheng/Library/Containers/com.microsoft.Excel/Data/Documents/Users/collins%20Nicholas/AppData/Local/Microsoft/Windows/INetCache/Content.Outlook/X21HJ5CR/CONFIDENTIAL-SBTi_Aviation_tool_demo_V28(Vs)_Locked.xlsx?6ADAC122" TargetMode="External"/><Relationship Id="rId1" Type="http://schemas.openxmlformats.org/officeDocument/2006/relationships/externalLinkPath" Target="file:///\\6ADAC122\CONFIDENTIAL-SBTi_Aviation_tool_demo_V28(Vs)_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olazheng/Library/Containers/com.microsoft.Excel/Data/Documents/Users/Fernando%20Rangel/Google%20Drive/SBT%20Tool/SBTi-tool%20_v1.2.1%20_unlocked%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Collins, Nicholas" id="{03704B12-4344-4684-A099-961A2B873960}" userId="Collins, Nicholas" providerId="None"/>
  <person displayName="Éamonn Fetherston" id="{F1830265-3607-4DA4-AC27-B8BA57ECC259}" userId="S::Eamonn.Fetherston@cdp.net::e805ac1d-5c0c-4e2d-ae47-17a84cb9788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ata_main" displayName="Data_main" ref="A12:CL49" totalsRowShown="0" headerRowDxfId="184" dataDxfId="182" headerRowBorderDxfId="183" headerRowCellStyle="Normal_IEA_ETP model 1.23 HS Scenarios 1.0_Model 1.45a 3 cases 1.3" dataCellStyle="Normal 2">
  <autoFilter ref="A12:CL49" xr:uid="{00000000-0009-0000-0100-000003000000}"/>
  <tableColumns count="90">
    <tableColumn id="1" xr3:uid="{00000000-0010-0000-0000-000001000000}" name="Scenario" dataCellStyle="Normal 2"/>
    <tableColumn id="2" xr3:uid="{00000000-0010-0000-0000-000002000000}" name="Data" dataCellStyle="Normal 2"/>
    <tableColumn id="3" xr3:uid="{00000000-0010-0000-0000-000003000000}" name="Segment" dataCellStyle="Normal 2"/>
    <tableColumn id="4" xr3:uid="{00000000-0010-0000-0000-000004000000}" name="Units" dataCellStyle="Normal 2"/>
    <tableColumn id="5" xr3:uid="{00000000-0010-0000-0000-000005000000}" name="2015" dataDxfId="181" dataCellStyle="Normal 2"/>
    <tableColumn id="6" xr3:uid="{00000000-0010-0000-0000-000006000000}" name="2016" dataDxfId="180" dataCellStyle="Normal 2"/>
    <tableColumn id="7" xr3:uid="{00000000-0010-0000-0000-000007000000}" name="2017" dataDxfId="179" dataCellStyle="Normal 2"/>
    <tableColumn id="8" xr3:uid="{00000000-0010-0000-0000-000008000000}" name="2018" dataDxfId="178" dataCellStyle="Normal 2">
      <calculatedColumnFormula>(H1/H7)*1000</calculatedColumnFormula>
    </tableColumn>
    <tableColumn id="9" xr3:uid="{00000000-0010-0000-0000-000009000000}" name="2019" dataDxfId="177" dataCellStyle="Normal 2">
      <calculatedColumnFormula>(I1/I7)*1000</calculatedColumnFormula>
    </tableColumn>
    <tableColumn id="10" xr3:uid="{00000000-0010-0000-0000-00000A000000}" name="2020" dataDxfId="176" dataCellStyle="Normal 2">
      <calculatedColumnFormula>(J1/J7)*1000</calculatedColumnFormula>
    </tableColumn>
    <tableColumn id="11" xr3:uid="{00000000-0010-0000-0000-00000B000000}" name="2021" dataDxfId="175" dataCellStyle="Normal 2">
      <calculatedColumnFormula>(K1/K7)*1000</calculatedColumnFormula>
    </tableColumn>
    <tableColumn id="12" xr3:uid="{00000000-0010-0000-0000-00000C000000}" name="2022" dataDxfId="174" dataCellStyle="Normal 2">
      <calculatedColumnFormula>(L1/L7)*1000</calculatedColumnFormula>
    </tableColumn>
    <tableColumn id="13" xr3:uid="{00000000-0010-0000-0000-00000D000000}" name="2023" dataDxfId="173" dataCellStyle="Normal 2">
      <calculatedColumnFormula>(M1/M7)*1000</calculatedColumnFormula>
    </tableColumn>
    <tableColumn id="14" xr3:uid="{00000000-0010-0000-0000-00000E000000}" name="2024" dataDxfId="172" dataCellStyle="Normal 2">
      <calculatedColumnFormula>(N1/N7)*1000</calculatedColumnFormula>
    </tableColumn>
    <tableColumn id="15" xr3:uid="{00000000-0010-0000-0000-00000F000000}" name="2025" dataDxfId="171" dataCellStyle="Normal 2">
      <calculatedColumnFormula>(O1/O7)*1000</calculatedColumnFormula>
    </tableColumn>
    <tableColumn id="16" xr3:uid="{00000000-0010-0000-0000-000010000000}" name="2026" dataDxfId="170" dataCellStyle="Normal 2">
      <calculatedColumnFormula>(P1/P7)*1000</calculatedColumnFormula>
    </tableColumn>
    <tableColumn id="17" xr3:uid="{00000000-0010-0000-0000-000011000000}" name="2027" dataDxfId="169" dataCellStyle="Normal 2">
      <calculatedColumnFormula>(Q1/Q7)*1000</calculatedColumnFormula>
    </tableColumn>
    <tableColumn id="18" xr3:uid="{00000000-0010-0000-0000-000012000000}" name="2028" dataDxfId="168" dataCellStyle="Normal 2">
      <calculatedColumnFormula>(R1/R7)*1000</calculatedColumnFormula>
    </tableColumn>
    <tableColumn id="19" xr3:uid="{00000000-0010-0000-0000-000013000000}" name="2029" dataDxfId="167" dataCellStyle="Normal 2">
      <calculatedColumnFormula>(S1/S7)*1000</calculatedColumnFormula>
    </tableColumn>
    <tableColumn id="20" xr3:uid="{00000000-0010-0000-0000-000014000000}" name="2030" dataDxfId="166" dataCellStyle="Normal 2">
      <calculatedColumnFormula>(T1/T7)*1000</calculatedColumnFormula>
    </tableColumn>
    <tableColumn id="21" xr3:uid="{00000000-0010-0000-0000-000015000000}" name="2031" dataDxfId="165" dataCellStyle="Normal 2">
      <calculatedColumnFormula>(U1/U7)*1000</calculatedColumnFormula>
    </tableColumn>
    <tableColumn id="22" xr3:uid="{00000000-0010-0000-0000-000016000000}" name="2032" dataDxfId="164" dataCellStyle="Normal 2">
      <calculatedColumnFormula>(V1/V7)*1000</calculatedColumnFormula>
    </tableColumn>
    <tableColumn id="23" xr3:uid="{00000000-0010-0000-0000-000017000000}" name="2033" dataDxfId="163" dataCellStyle="Normal 2">
      <calculatedColumnFormula>(W1/W7)*1000</calculatedColumnFormula>
    </tableColumn>
    <tableColumn id="24" xr3:uid="{00000000-0010-0000-0000-000018000000}" name="2034" dataDxfId="162" dataCellStyle="Normal 2">
      <calculatedColumnFormula>(X1/X7)*1000</calculatedColumnFormula>
    </tableColumn>
    <tableColumn id="25" xr3:uid="{00000000-0010-0000-0000-000019000000}" name="2035" dataDxfId="161" dataCellStyle="Normal 2">
      <calculatedColumnFormula>(Y1/Y7)*1000</calculatedColumnFormula>
    </tableColumn>
    <tableColumn id="26" xr3:uid="{00000000-0010-0000-0000-00001A000000}" name="2036" dataDxfId="160" dataCellStyle="Normal 2">
      <calculatedColumnFormula>(Z1/Z7)*1000</calculatedColumnFormula>
    </tableColumn>
    <tableColumn id="27" xr3:uid="{00000000-0010-0000-0000-00001B000000}" name="2037" dataDxfId="159" dataCellStyle="Normal 2">
      <calculatedColumnFormula>(AA1/AA7)*1000</calculatedColumnFormula>
    </tableColumn>
    <tableColumn id="28" xr3:uid="{00000000-0010-0000-0000-00001C000000}" name="2038" dataDxfId="158" dataCellStyle="Normal 2">
      <calculatedColumnFormula>(AB1/AB7)*1000</calculatedColumnFormula>
    </tableColumn>
    <tableColumn id="29" xr3:uid="{00000000-0010-0000-0000-00001D000000}" name="2039" dataDxfId="157" dataCellStyle="Normal 2">
      <calculatedColumnFormula>(AC1/AC7)*1000</calculatedColumnFormula>
    </tableColumn>
    <tableColumn id="30" xr3:uid="{00000000-0010-0000-0000-00001E000000}" name="2040" dataDxfId="156" dataCellStyle="Normal 2">
      <calculatedColumnFormula>(AD1/AD7)*1000</calculatedColumnFormula>
    </tableColumn>
    <tableColumn id="31" xr3:uid="{00000000-0010-0000-0000-00001F000000}" name="2041" dataDxfId="155" dataCellStyle="Normal 2">
      <calculatedColumnFormula>(AE1/AE7)*1000</calculatedColumnFormula>
    </tableColumn>
    <tableColumn id="32" xr3:uid="{00000000-0010-0000-0000-000020000000}" name="2042" dataDxfId="154" dataCellStyle="Normal 2">
      <calculatedColumnFormula>(AF1/AF7)*1000</calculatedColumnFormula>
    </tableColumn>
    <tableColumn id="33" xr3:uid="{00000000-0010-0000-0000-000021000000}" name="2043" dataDxfId="153" dataCellStyle="Normal 2">
      <calculatedColumnFormula>(AG1/AG7)*1000</calculatedColumnFormula>
    </tableColumn>
    <tableColumn id="34" xr3:uid="{00000000-0010-0000-0000-000022000000}" name="2044" dataDxfId="152" dataCellStyle="Normal 2">
      <calculatedColumnFormula>(AH1/AH7)*1000</calculatedColumnFormula>
    </tableColumn>
    <tableColumn id="35" xr3:uid="{00000000-0010-0000-0000-000023000000}" name="2045" dataDxfId="151" dataCellStyle="Normal 2">
      <calculatedColumnFormula>(AI1/AI7)*1000</calculatedColumnFormula>
    </tableColumn>
    <tableColumn id="36" xr3:uid="{00000000-0010-0000-0000-000024000000}" name="2046" dataDxfId="150" dataCellStyle="Normal 2">
      <calculatedColumnFormula>(AJ1/AJ7)*1000</calculatedColumnFormula>
    </tableColumn>
    <tableColumn id="37" xr3:uid="{00000000-0010-0000-0000-000025000000}" name="2047" dataDxfId="149" dataCellStyle="Normal 2">
      <calculatedColumnFormula>(AK1/AK7)*1000</calculatedColumnFormula>
    </tableColumn>
    <tableColumn id="38" xr3:uid="{00000000-0010-0000-0000-000026000000}" name="2048" dataDxfId="148" dataCellStyle="Normal 2">
      <calculatedColumnFormula>(AL1/AL7)*1000</calculatedColumnFormula>
    </tableColumn>
    <tableColumn id="39" xr3:uid="{00000000-0010-0000-0000-000027000000}" name="2049" dataDxfId="147" dataCellStyle="Normal 2">
      <calculatedColumnFormula>(AM1/AM7)*1000</calculatedColumnFormula>
    </tableColumn>
    <tableColumn id="40" xr3:uid="{00000000-0010-0000-0000-000028000000}" name="2050" dataDxfId="146" dataCellStyle="Normal 2">
      <calculatedColumnFormula>(AN1/AN7)*1000</calculatedColumnFormula>
    </tableColumn>
    <tableColumn id="41" xr3:uid="{00000000-0010-0000-0000-000029000000}" name="2051" dataDxfId="145" dataCellStyle="Normal 2"/>
    <tableColumn id="42" xr3:uid="{00000000-0010-0000-0000-00002A000000}" name="2052" dataDxfId="144" dataCellStyle="Normal 2"/>
    <tableColumn id="43" xr3:uid="{00000000-0010-0000-0000-00002B000000}" name="2053" dataDxfId="143" dataCellStyle="Normal 2"/>
    <tableColumn id="44" xr3:uid="{00000000-0010-0000-0000-00002C000000}" name="2054" dataDxfId="142" dataCellStyle="Normal 2"/>
    <tableColumn id="45" xr3:uid="{00000000-0010-0000-0000-00002D000000}" name="2055" dataDxfId="141" dataCellStyle="Normal 2"/>
    <tableColumn id="46" xr3:uid="{00000000-0010-0000-0000-00002E000000}" name="2056" dataDxfId="140" dataCellStyle="Normal 2"/>
    <tableColumn id="47" xr3:uid="{00000000-0010-0000-0000-00002F000000}" name="2057" dataDxfId="139" dataCellStyle="Normal 2"/>
    <tableColumn id="48" xr3:uid="{00000000-0010-0000-0000-000030000000}" name="2058" dataDxfId="138" dataCellStyle="Normal 2"/>
    <tableColumn id="49" xr3:uid="{00000000-0010-0000-0000-000031000000}" name="2059" dataDxfId="137" dataCellStyle="Normal 2"/>
    <tableColumn id="50" xr3:uid="{00000000-0010-0000-0000-000032000000}" name="2060" dataDxfId="136" dataCellStyle="Normal 2"/>
    <tableColumn id="51" xr3:uid="{00000000-0010-0000-0000-000033000000}" name="2061" dataDxfId="135" dataCellStyle="Normal 2"/>
    <tableColumn id="52" xr3:uid="{00000000-0010-0000-0000-000034000000}" name="2062" dataDxfId="134" dataCellStyle="Normal 2"/>
    <tableColumn id="53" xr3:uid="{00000000-0010-0000-0000-000035000000}" name="2063" dataDxfId="133" dataCellStyle="Normal 2"/>
    <tableColumn id="54" xr3:uid="{00000000-0010-0000-0000-000036000000}" name="2064" dataDxfId="132" dataCellStyle="Normal 2"/>
    <tableColumn id="55" xr3:uid="{00000000-0010-0000-0000-000037000000}" name="2065" dataDxfId="131" dataCellStyle="Normal 2"/>
    <tableColumn id="56" xr3:uid="{00000000-0010-0000-0000-000038000000}" name="2066" dataDxfId="130" dataCellStyle="Normal 2"/>
    <tableColumn id="57" xr3:uid="{00000000-0010-0000-0000-000039000000}" name="2067" dataDxfId="129" dataCellStyle="Normal 2"/>
    <tableColumn id="58" xr3:uid="{00000000-0010-0000-0000-00003A000000}" name="2068" dataDxfId="128" dataCellStyle="Normal 2"/>
    <tableColumn id="59" xr3:uid="{00000000-0010-0000-0000-00003B000000}" name="2069" dataDxfId="127" dataCellStyle="Normal 2"/>
    <tableColumn id="60" xr3:uid="{00000000-0010-0000-0000-00003C000000}" name="2070" dataDxfId="126" dataCellStyle="Normal 2"/>
    <tableColumn id="61" xr3:uid="{00000000-0010-0000-0000-00003D000000}" name="2071" dataDxfId="125" dataCellStyle="Normal 2"/>
    <tableColumn id="62" xr3:uid="{00000000-0010-0000-0000-00003E000000}" name="2072" dataDxfId="124" dataCellStyle="Normal 2"/>
    <tableColumn id="63" xr3:uid="{00000000-0010-0000-0000-00003F000000}" name="2073" dataDxfId="123" dataCellStyle="Normal 2"/>
    <tableColumn id="64" xr3:uid="{00000000-0010-0000-0000-000040000000}" name="2074" dataDxfId="122" dataCellStyle="Normal 2"/>
    <tableColumn id="65" xr3:uid="{00000000-0010-0000-0000-000041000000}" name="2075" dataDxfId="121" dataCellStyle="Normal 2"/>
    <tableColumn id="66" xr3:uid="{00000000-0010-0000-0000-000042000000}" name="2076" dataDxfId="120" dataCellStyle="Normal 2"/>
    <tableColumn id="67" xr3:uid="{00000000-0010-0000-0000-000043000000}" name="2077" dataDxfId="119" dataCellStyle="Normal 2"/>
    <tableColumn id="68" xr3:uid="{00000000-0010-0000-0000-000044000000}" name="2078" dataDxfId="118" dataCellStyle="Normal 2"/>
    <tableColumn id="69" xr3:uid="{00000000-0010-0000-0000-000045000000}" name="2079" dataDxfId="117" dataCellStyle="Normal 2"/>
    <tableColumn id="70" xr3:uid="{00000000-0010-0000-0000-000046000000}" name="2080" dataDxfId="116" dataCellStyle="Normal 2"/>
    <tableColumn id="71" xr3:uid="{00000000-0010-0000-0000-000047000000}" name="2081" dataDxfId="115" dataCellStyle="Normal 2"/>
    <tableColumn id="72" xr3:uid="{00000000-0010-0000-0000-000048000000}" name="2082" dataDxfId="114" dataCellStyle="Normal 2"/>
    <tableColumn id="73" xr3:uid="{00000000-0010-0000-0000-000049000000}" name="2083" dataDxfId="113" dataCellStyle="Normal 2"/>
    <tableColumn id="74" xr3:uid="{00000000-0010-0000-0000-00004A000000}" name="2084" dataDxfId="112" dataCellStyle="Normal 2"/>
    <tableColumn id="75" xr3:uid="{00000000-0010-0000-0000-00004B000000}" name="2085" dataDxfId="111" dataCellStyle="Normal 2"/>
    <tableColumn id="76" xr3:uid="{00000000-0010-0000-0000-00004C000000}" name="2086" dataDxfId="110" dataCellStyle="Normal 2"/>
    <tableColumn id="77" xr3:uid="{00000000-0010-0000-0000-00004D000000}" name="2087" dataDxfId="109" dataCellStyle="Normal 2"/>
    <tableColumn id="78" xr3:uid="{00000000-0010-0000-0000-00004E000000}" name="2088" dataDxfId="108" dataCellStyle="Normal 2"/>
    <tableColumn id="79" xr3:uid="{00000000-0010-0000-0000-00004F000000}" name="2089" dataDxfId="107" dataCellStyle="Normal 2"/>
    <tableColumn id="80" xr3:uid="{00000000-0010-0000-0000-000050000000}" name="2090" dataDxfId="106" dataCellStyle="Normal 2"/>
    <tableColumn id="81" xr3:uid="{00000000-0010-0000-0000-000051000000}" name="2091" dataDxfId="105" dataCellStyle="Normal 2"/>
    <tableColumn id="82" xr3:uid="{00000000-0010-0000-0000-000052000000}" name="2092" dataDxfId="104" dataCellStyle="Normal 2"/>
    <tableColumn id="83" xr3:uid="{00000000-0010-0000-0000-000053000000}" name="2093" dataDxfId="103" dataCellStyle="Normal 2"/>
    <tableColumn id="84" xr3:uid="{00000000-0010-0000-0000-000054000000}" name="2094" dataDxfId="102" dataCellStyle="Normal 2"/>
    <tableColumn id="85" xr3:uid="{00000000-0010-0000-0000-000055000000}" name="2095" dataDxfId="101" dataCellStyle="Normal 2"/>
    <tableColumn id="86" xr3:uid="{00000000-0010-0000-0000-000056000000}" name="2096" dataDxfId="100" dataCellStyle="Normal 2"/>
    <tableColumn id="87" xr3:uid="{00000000-0010-0000-0000-000057000000}" name="2097" dataDxfId="99" dataCellStyle="Normal 2"/>
    <tableColumn id="88" xr3:uid="{00000000-0010-0000-0000-000058000000}" name="2098" dataDxfId="98" dataCellStyle="Normal 2"/>
    <tableColumn id="89" xr3:uid="{00000000-0010-0000-0000-000059000000}" name="2099" dataDxfId="97" dataCellStyle="Normal 2"/>
    <tableColumn id="90" xr3:uid="{00000000-0010-0000-0000-00005A000000}" name="2100" dataDxfId="96" dataCellStyle="Normal 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CD4D56-90C4-428A-9C87-5941FAD73F51}" name="Table5" displayName="Table5" ref="A1:AN13" totalsRowShown="0" headerRowDxfId="95" headerRowBorderDxfId="94" headerRowCellStyle="Normal_IEA_ETP model 1.23 HS Scenarios 1.0_Model 1.45a 3 cases 1.3">
  <autoFilter ref="A1:AN13" xr:uid="{6CCD4D56-90C4-428A-9C87-5941FAD73F51}"/>
  <tableColumns count="40">
    <tableColumn id="1" xr3:uid="{D5AE8B04-843E-4C04-9C59-44851A5440FC}" name="Scenario"/>
    <tableColumn id="2" xr3:uid="{19434EE6-4FCE-4688-907C-6EA7C2FCD549}" name="Data"/>
    <tableColumn id="3" xr3:uid="{C95194A1-5B27-40EE-9DE5-DCE1D9913701}" name="Segment"/>
    <tableColumn id="4" xr3:uid="{4ACC6816-5549-44EC-A6D5-DC41C5989898}" name="Units"/>
    <tableColumn id="5" xr3:uid="{C921C2DF-21AD-42C3-8466-988E72AB4DDA}" name="2015"/>
    <tableColumn id="6" xr3:uid="{52A3C5EE-617E-4478-B277-C9E878D640E5}" name="2016"/>
    <tableColumn id="7" xr3:uid="{27454B8C-4373-4BC6-9AD0-977AB572D8F4}" name="2017"/>
    <tableColumn id="8" xr3:uid="{A4959010-5D77-4F38-A99C-3DADD29AEEBF}" name="2018"/>
    <tableColumn id="9" xr3:uid="{C8C2617F-AF5E-4949-A63A-53EE708C661E}" name="2019"/>
    <tableColumn id="10" xr3:uid="{1FF01911-0CC5-4AE2-84BD-05B42095E098}" name="2020"/>
    <tableColumn id="11" xr3:uid="{AAA79C26-179F-4F5C-A71D-E5234E1A5A93}" name="2021"/>
    <tableColumn id="12" xr3:uid="{7E0F9F1D-378B-4070-9D74-FE0552741754}" name="2022"/>
    <tableColumn id="13" xr3:uid="{68CD2F8C-2B31-4A2C-A258-DC738746D193}" name="2023"/>
    <tableColumn id="14" xr3:uid="{750C30EE-813F-4581-A1AB-7A24596A68DB}" name="2024"/>
    <tableColumn id="15" xr3:uid="{35A8DA97-870E-49AF-9234-D44D5826E28B}" name="2025"/>
    <tableColumn id="16" xr3:uid="{C79502B8-B3B3-45FE-A61F-A139A1A552FE}" name="2026"/>
    <tableColumn id="17" xr3:uid="{277B0202-8ADA-4AA6-B746-17D0CFEFF402}" name="2027"/>
    <tableColumn id="18" xr3:uid="{17A3E06B-1414-47F7-99AC-74ADC1D901D5}" name="2028"/>
    <tableColumn id="19" xr3:uid="{D4016F65-7F38-4FD3-82F3-421E0AE06133}" name="2029"/>
    <tableColumn id="20" xr3:uid="{C71D50F4-3A66-4ADE-88AB-43292BA9157A}" name="2030"/>
    <tableColumn id="21" xr3:uid="{C48A8B01-4FED-42B5-AB64-A92F49E643C1}" name="2031"/>
    <tableColumn id="22" xr3:uid="{69C8DFE0-3A3E-434F-9F2E-2B55B2C4CDAD}" name="2032"/>
    <tableColumn id="23" xr3:uid="{FC63461C-06ED-4B3B-AB51-FB4766AC129A}" name="2033"/>
    <tableColumn id="24" xr3:uid="{0D3E3E0B-C846-4F50-9CA8-D4C78928BB9E}" name="2034"/>
    <tableColumn id="25" xr3:uid="{7DDEB1B1-5F9E-47EC-867E-E0B2104473BD}" name="2035"/>
    <tableColumn id="26" xr3:uid="{2CA1191E-2AE3-4464-BAB7-5C9221FA1954}" name="2036"/>
    <tableColumn id="27" xr3:uid="{9CDC2BEE-062C-4E20-BE02-802C8ED6E52E}" name="2037"/>
    <tableColumn id="28" xr3:uid="{B9F6EA87-708D-49EC-8052-EA3BEE737076}" name="2038"/>
    <tableColumn id="29" xr3:uid="{B260158F-6138-44EC-AEBA-E1D53E5445E2}" name="2039"/>
    <tableColumn id="30" xr3:uid="{8DABB802-521D-4566-A37F-05F89A7EAD58}" name="2040"/>
    <tableColumn id="31" xr3:uid="{BD085B4E-EC38-492A-8525-0B9BF52C6D28}" name="2041"/>
    <tableColumn id="32" xr3:uid="{F33D9F3B-DFD6-493E-9617-D330F825195E}" name="2042"/>
    <tableColumn id="33" xr3:uid="{E9659A8E-6D73-4D0B-85C7-ADE815191194}" name="2043"/>
    <tableColumn id="34" xr3:uid="{8A9F2CD4-D540-4D59-A7B1-79D03D58DE24}" name="2044"/>
    <tableColumn id="35" xr3:uid="{0FC2700F-ABA7-499B-9532-E51A522BF931}" name="2045"/>
    <tableColumn id="36" xr3:uid="{6B4DECD0-6391-4F8E-AE64-15F058AFBEAB}" name="2046"/>
    <tableColumn id="37" xr3:uid="{28F48D58-26E6-408D-9920-73E372758906}" name="2047"/>
    <tableColumn id="38" xr3:uid="{189E8C39-D641-4EBF-B8BD-B1EF28871264}" name="2048"/>
    <tableColumn id="39" xr3:uid="{8F70A942-E5DD-4E80-8689-1898446B01F9}" name="2049"/>
    <tableColumn id="40" xr3:uid="{C74889EA-3DA8-4890-99C9-155595F006E4}" name="2050"/>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559BBA-7E6F-42FB-8B56-C343F88DEB39}" name="Table4" displayName="Table4" ref="A26:I38" totalsRowShown="0" headerRowBorderDxfId="93">
  <autoFilter ref="A26:I38" xr:uid="{58559BBA-7E6F-42FB-8B56-C343F88DEB39}"/>
  <tableColumns count="9">
    <tableColumn id="1" xr3:uid="{C88B7E0F-EF6E-487D-8906-14E92FDC7D80}" name="Airline"/>
    <tableColumn id="2" xr3:uid="{BFF87FA7-37B5-4C87-B402-D618A7D6C96D}" name="Scenario"/>
    <tableColumn id="3" xr3:uid="{EA7407AB-B447-4308-A69C-29140B29BA18}" name="Base year"/>
    <tableColumn id="4" xr3:uid="{1F23F46C-E257-44AF-9591-AAE8C618C44A}" name="Target year"/>
    <tableColumn id="5" xr3:uid="{CB621A57-C15B-4A8F-BE91-09043D3E59A2}" name="BY intensity"/>
    <tableColumn id="6" xr3:uid="{59611B44-821A-44CE-8E25-9DAA988B6117}" name="TY intensity"/>
    <tableColumn id="7" xr3:uid="{A6F7720A-FEE1-4217-8D22-918E1DF06298}" name="% reduction (BY - TY)"/>
    <tableColumn id="8" xr3:uid="{6725A607-56F0-42D7-82E0-E50D1B0C65EA}" name="LAR (BY - TY)" dataDxfId="92"/>
    <tableColumn id="9" xr3:uid="{CC1C4A97-591B-4286-AECD-B883909E68AC}" name="CAGR (BY - TY)" dataDxfId="9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Fuel_CO₂" displayName="Fuel_CO₂" ref="A1:E8" totalsRowCount="1" headerRowDxfId="28" dataDxfId="27" totalsRowDxfId="26">
  <autoFilter ref="A1:E7" xr:uid="{00000000-0009-0000-0100-000001000000}"/>
  <tableColumns count="5">
    <tableColumn id="1" xr3:uid="{00000000-0010-0000-0100-000001000000}" name="Jet Fuel Units" dataDxfId="25" totalsRowDxfId="24"/>
    <tableColumn id="2" xr3:uid="{00000000-0010-0000-0100-000002000000}" name="Index" dataDxfId="23" totalsRowDxfId="22"/>
    <tableColumn id="3" xr3:uid="{00000000-0010-0000-0100-000003000000}" name="WTT" dataDxfId="21" totalsRowDxfId="20">
      <calculatedColumnFormula>(1000000*G16)/1000000</calculatedColumnFormula>
    </tableColumn>
    <tableColumn id="6" xr3:uid="{00000000-0010-0000-0100-000006000000}" name="TTW TCO2" dataDxfId="19" totalsRowDxfId="18"/>
    <tableColumn id="5" xr3:uid="{00000000-0010-0000-0100-000005000000}" name="WTW" dataDxfId="17" totalsRowDxfId="1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AF" displayName="SAF" ref="A1:M32" totalsRowShown="0" headerRowDxfId="15" dataDxfId="14" tableBorderDxfId="13">
  <autoFilter ref="A1:M32" xr:uid="{00000000-0009-0000-0100-000002000000}"/>
  <tableColumns count="13">
    <tableColumn id="1" xr3:uid="{00000000-0010-0000-0200-000001000000}" name="Conversion process" dataDxfId="12"/>
    <tableColumn id="2" xr3:uid="{00000000-0010-0000-0200-000002000000}" name="Feedstock" dataDxfId="11"/>
    <tableColumn id="7" xr3:uid="{00000000-0010-0000-0200-000007000000}" name="Name" dataDxfId="10">
      <calculatedColumnFormula>SAF[[#This Row],[Conversion process]]&amp;", "&amp;SAF[[#This Row],[Feedstock]]</calculatedColumnFormula>
    </tableColumn>
    <tableColumn id="3" xr3:uid="{00000000-0010-0000-0200-000003000000}" name="Default core LCA" dataDxfId="9"/>
    <tableColumn id="4" xr3:uid="{00000000-0010-0000-0200-000004000000}" name="Default Induced Land Use Change Value [gCO2e/MJ]" dataDxfId="8"/>
    <tableColumn id="5" xr3:uid="{00000000-0010-0000-0200-000005000000}" name="Total Lifecycle Value [gCO2e/MJ]" dataDxfId="7"/>
    <tableColumn id="6" xr3:uid="{00000000-0010-0000-0200-000006000000}" name="Adjusted LCA Value" dataDxfId="6">
      <calculatedColumnFormula>IF(F2&lt;0,0,F2)</calculatedColumnFormula>
    </tableColumn>
    <tableColumn id="8" xr3:uid="{00000000-0010-0000-0200-000008000000}" name="Million US Gallons per year (MGPY)" dataDxfId="5">
      <calculatedColumnFormula>SAF[[#This Row],[Adjusted LCA Value]]/Catalogues!$I$9</calculatedColumnFormula>
    </tableColumn>
    <tableColumn id="9" xr3:uid="{00000000-0010-0000-0200-000009000000}" name="Million Litres per year (MLPY)" dataDxfId="4">
      <calculatedColumnFormula>SAF[[#This Row],[Adjusted LCA Value]]/Catalogues!$I$7</calculatedColumnFormula>
    </tableColumn>
    <tableColumn id="10" xr3:uid="{00000000-0010-0000-0200-00000A000000}" name="Million Metric Tonnes of oil equivalent per year (MMtoe/yr)" dataDxfId="3">
      <calculatedColumnFormula>SAF[[#This Row],[Adjusted LCA Value]]/Catalogues!$I$6</calculatedColumnFormula>
    </tableColumn>
    <tableColumn id="11" xr3:uid="{00000000-0010-0000-0200-00000B000000}" name="Million pounds per year (MLB/Yr)" dataDxfId="2">
      <calculatedColumnFormula>SAF[[#This Row],[Adjusted LCA Value]]/Catalogues!$I$8</calculatedColumnFormula>
    </tableColumn>
    <tableColumn id="12" xr3:uid="{00000000-0010-0000-0200-00000C000000}" name="Million Kilograms per year (MKg/Yr)" dataDxfId="1">
      <calculatedColumnFormula>SAF[[#This Row],[Adjusted LCA Value]]/Catalogues!$I$5</calculatedColumnFormula>
    </tableColumn>
    <tableColumn id="13" xr3:uid="{00000000-0010-0000-0200-00000D000000}" name="Million Imperial Gallons per year (MGPY)" dataDxfId="0">
      <calculatedColumnFormula>SAF[[#This Row],[Adjusted LCA Value]]/Catalogues!$I$10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1" dT="2023-01-25T21:46:39.33" personId="{F1830265-3607-4DA4-AC27-B8BA57ECC259}" id="{E8E77647-19B2-4B84-8C1D-62E859DA6904}">
    <text>Why is this different from BY intensity in WB2C?</text>
  </threadedComment>
</ThreadedComments>
</file>

<file path=xl/threadedComments/threadedComment2.xml><?xml version="1.0" encoding="utf-8"?>
<ThreadedComments xmlns="http://schemas.microsoft.com/office/spreadsheetml/2018/threadedcomments" xmlns:x="http://schemas.openxmlformats.org/spreadsheetml/2006/main">
  <threadedComment ref="B20" dT="2020-11-13T04:14:14.31" personId="{03704B12-4344-4684-A099-961A2B873960}" id="{5CE02AFB-132C-4FD7-8AF2-7D09E7235BF2}">
    <text>0.94 Factor corrects for the fact that fuel consumption data includes 6% contribution from military and private aviation</text>
  </threadedComment>
  <threadedComment ref="B21" dT="2020-11-13T04:14:17.31" personId="{03704B12-4344-4684-A099-961A2B873960}" id="{6DCDC4C6-7E94-4DC0-A1E5-A94A19365BFB}">
    <text>0.94 Factor corrects for the fact that fuel consumption data includes 6% contribution from military and private aviation</text>
  </threadedComment>
  <threadedComment ref="B29" dT="2020-10-22T14:37:27.64" personId="{03704B12-4344-4684-A099-961A2B873960}" id="{C5D30454-F1BC-4D3A-A899-A98D8F1CADE4}">
    <text>Dedicated RTK assumed to be 15% of the total industry RTK</text>
  </threadedComment>
  <threadedComment ref="B47" dT="2020-10-22T14:36:17.99" personId="{03704B12-4344-4684-A099-961A2B873960}" id="{045975CE-E0B8-48C1-BE8E-A1495CD7964F}">
    <text>Share of activity assuming BRPK value includes belly, short and long haul PAX and assuming belly is computed to RPK based on a 0.1T conversion factor</text>
  </threadedComment>
  <threadedComment ref="B48" dT="2020-10-22T14:36:07.68" personId="{03704B12-4344-4684-A099-961A2B873960}" id="{802CBA86-4929-45C9-BB6D-A77567346A2E}">
    <text>Share of activity assuming BRPK value includes belly, short and long haul PAX and assuming belly is computed to RPK based on a 0.1T conversion factor</text>
  </threadedComment>
  <threadedComment ref="B49" dT="2020-10-22T14:36:13.82" personId="{03704B12-4344-4684-A099-961A2B873960}" id="{3DEB0BA0-471B-4829-8CA0-A196F6BEBC11}">
    <text>Share of activity assuming BRPK value includes belly, short and long haul PAX and assuming belly is computed to RPK based on a 0.1T conversion factor</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customProperty" Target="../customProperty9.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customProperty" Target="../customProperty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1.bin"/><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sheetPr>
  <dimension ref="A1:S30"/>
  <sheetViews>
    <sheetView showGridLines="0" zoomScale="70" zoomScaleNormal="70" workbookViewId="0">
      <selection activeCell="O8" sqref="O8"/>
    </sheetView>
  </sheetViews>
  <sheetFormatPr defaultColWidth="8.85546875" defaultRowHeight="15"/>
  <cols>
    <col min="1" max="1" width="8.7109375" customWidth="1"/>
    <col min="2" max="2" width="4.42578125" customWidth="1"/>
    <col min="3" max="3" width="12.28515625" style="8" customWidth="1"/>
    <col min="4" max="4" width="20.42578125" style="8" customWidth="1"/>
    <col min="5" max="5" width="20.42578125" style="20" customWidth="1"/>
    <col min="6" max="6" width="20.42578125" style="8" customWidth="1"/>
    <col min="7" max="7" width="5.140625" style="8" customWidth="1"/>
    <col min="8" max="9" width="20.42578125" style="8" customWidth="1"/>
    <col min="10" max="10" width="8.85546875" style="8"/>
    <col min="11" max="11" width="27.28515625" style="8" customWidth="1"/>
    <col min="12" max="16384" width="8.85546875" style="8"/>
  </cols>
  <sheetData>
    <row r="1" spans="1:18">
      <c r="A1" s="641"/>
      <c r="B1" s="641"/>
      <c r="C1" s="641"/>
      <c r="D1" s="641"/>
      <c r="E1" s="641"/>
      <c r="F1" s="641"/>
      <c r="G1" s="641"/>
      <c r="H1" s="641"/>
      <c r="I1" s="641"/>
      <c r="J1" s="641"/>
      <c r="K1" s="641"/>
      <c r="L1" s="641"/>
      <c r="M1" s="641"/>
      <c r="N1" s="641"/>
      <c r="O1" s="641"/>
      <c r="P1" s="641"/>
      <c r="Q1" s="641"/>
    </row>
    <row r="2" spans="1:18" customFormat="1" ht="3.6" customHeight="1">
      <c r="E2" s="1"/>
    </row>
    <row r="3" spans="1:18" customFormat="1">
      <c r="E3" s="1"/>
    </row>
    <row r="4" spans="1:18" customFormat="1" ht="15.75">
      <c r="D4" s="345" t="s">
        <v>531</v>
      </c>
      <c r="E4" s="20"/>
      <c r="F4" s="346"/>
      <c r="G4" s="346"/>
      <c r="H4" s="346"/>
    </row>
    <row r="5" spans="1:18" customFormat="1" ht="15.75">
      <c r="D5" s="244" t="s">
        <v>532</v>
      </c>
      <c r="E5" s="20"/>
    </row>
    <row r="6" spans="1:18" customFormat="1" ht="15.75">
      <c r="D6" s="244" t="s">
        <v>634</v>
      </c>
      <c r="E6" s="20"/>
    </row>
    <row r="7" spans="1:18" s="13" customFormat="1" ht="15.75" thickBot="1">
      <c r="E7" s="18"/>
    </row>
    <row r="8" spans="1:18" customFormat="1">
      <c r="E8" s="1"/>
    </row>
    <row r="9" spans="1:18" customFormat="1">
      <c r="E9" s="1"/>
    </row>
    <row r="10" spans="1:18" customFormat="1">
      <c r="E10" s="1"/>
    </row>
    <row r="11" spans="1:18" customFormat="1" ht="21" customHeight="1">
      <c r="C11" s="8"/>
      <c r="D11" s="639" t="s">
        <v>563</v>
      </c>
      <c r="E11" s="639"/>
      <c r="F11" s="639"/>
      <c r="G11" s="639"/>
      <c r="H11" s="639"/>
      <c r="I11" s="639"/>
      <c r="J11" s="639"/>
      <c r="K11" s="639"/>
      <c r="L11" s="639"/>
      <c r="M11" s="639"/>
      <c r="N11" s="639"/>
      <c r="O11" s="639"/>
      <c r="P11" s="639"/>
      <c r="Q11" s="639"/>
    </row>
    <row r="12" spans="1:18" customFormat="1">
      <c r="D12" s="8"/>
      <c r="E12" s="20"/>
      <c r="F12" s="8"/>
      <c r="G12" s="8"/>
      <c r="H12" s="8"/>
      <c r="I12" s="8"/>
      <c r="J12" s="8"/>
      <c r="K12" s="8"/>
      <c r="L12" s="8"/>
      <c r="M12" s="8"/>
      <c r="N12" s="8"/>
      <c r="O12" s="8"/>
      <c r="P12" s="8"/>
      <c r="Q12" s="8"/>
      <c r="R12" s="8"/>
    </row>
    <row r="13" spans="1:18">
      <c r="C13" s="354"/>
    </row>
    <row r="14" spans="1:18">
      <c r="C14" s="354"/>
      <c r="D14" s="354"/>
      <c r="E14" s="354"/>
      <c r="F14" s="354"/>
      <c r="G14" s="354"/>
      <c r="H14" s="354"/>
      <c r="I14" s="354"/>
      <c r="J14" s="354"/>
      <c r="K14" s="354"/>
    </row>
    <row r="15" spans="1:18" ht="25.5" customHeight="1">
      <c r="C15" s="354"/>
      <c r="D15" s="355" t="s">
        <v>387</v>
      </c>
      <c r="E15" s="354"/>
      <c r="F15" s="354"/>
      <c r="G15" s="354"/>
      <c r="H15" s="354"/>
      <c r="I15" s="354"/>
      <c r="J15" s="354"/>
      <c r="K15" s="354"/>
    </row>
    <row r="16" spans="1:18" ht="202.35" customHeight="1">
      <c r="C16" s="354"/>
      <c r="D16" s="642" t="s">
        <v>509</v>
      </c>
      <c r="E16" s="642"/>
      <c r="F16" s="642"/>
      <c r="G16" s="642"/>
      <c r="H16" s="642"/>
      <c r="I16" s="642"/>
      <c r="J16" s="642"/>
      <c r="K16" s="642"/>
      <c r="L16" s="642"/>
    </row>
    <row r="17" spans="3:19">
      <c r="C17" s="354"/>
      <c r="D17" s="354"/>
      <c r="E17" s="354"/>
      <c r="F17" s="354"/>
      <c r="G17" s="354"/>
      <c r="H17" s="354"/>
      <c r="I17" s="354"/>
      <c r="J17" s="354"/>
      <c r="K17" s="354"/>
    </row>
    <row r="18" spans="3:19" ht="26.25">
      <c r="C18" s="354"/>
      <c r="D18" s="355" t="s">
        <v>388</v>
      </c>
      <c r="E18" s="354"/>
      <c r="F18" s="356"/>
      <c r="G18" s="354"/>
      <c r="H18" s="354"/>
      <c r="I18" s="354"/>
      <c r="J18" s="354"/>
      <c r="K18" s="354"/>
      <c r="L18" s="354"/>
      <c r="M18" s="354"/>
      <c r="N18" s="354"/>
      <c r="O18" s="354"/>
      <c r="P18" s="354"/>
      <c r="Q18" s="354"/>
      <c r="R18" s="354"/>
      <c r="S18" s="354"/>
    </row>
    <row r="19" spans="3:19" ht="309.95" customHeight="1">
      <c r="D19" s="640" t="s">
        <v>389</v>
      </c>
      <c r="E19" s="640"/>
      <c r="F19" s="640"/>
      <c r="G19" s="640"/>
      <c r="H19" s="640"/>
      <c r="I19" s="640"/>
      <c r="J19" s="640"/>
      <c r="K19" s="640"/>
      <c r="L19" s="640"/>
      <c r="M19" s="354"/>
      <c r="N19" s="354"/>
      <c r="O19" s="354"/>
      <c r="P19" s="354"/>
      <c r="Q19" s="354"/>
      <c r="R19" s="354"/>
      <c r="S19" s="354"/>
    </row>
    <row r="20" spans="3:19">
      <c r="D20" s="354"/>
      <c r="E20" s="354"/>
      <c r="F20" s="354"/>
      <c r="G20" s="354"/>
      <c r="H20" s="354"/>
      <c r="I20" s="354"/>
      <c r="J20" s="354"/>
      <c r="K20" s="354"/>
      <c r="L20" s="354"/>
      <c r="M20" s="354"/>
      <c r="N20" s="354"/>
      <c r="O20" s="354"/>
      <c r="P20" s="354"/>
      <c r="Q20" s="354"/>
      <c r="R20" s="354"/>
      <c r="S20" s="354"/>
    </row>
    <row r="21" spans="3:19" ht="26.25">
      <c r="D21" s="357" t="s">
        <v>390</v>
      </c>
      <c r="E21" s="354"/>
      <c r="F21" s="354"/>
      <c r="G21" s="354"/>
      <c r="H21" s="354"/>
      <c r="I21" s="354"/>
      <c r="J21" s="354"/>
      <c r="K21" s="354"/>
      <c r="L21" s="354"/>
      <c r="M21" s="354"/>
      <c r="N21" s="354"/>
      <c r="O21" s="354"/>
      <c r="P21" s="354"/>
      <c r="Q21" s="354"/>
      <c r="R21" s="354"/>
      <c r="S21" s="354"/>
    </row>
    <row r="22" spans="3:19" ht="113.25" customHeight="1">
      <c r="D22" s="647" t="s">
        <v>650</v>
      </c>
      <c r="E22" s="647"/>
      <c r="F22" s="647"/>
      <c r="G22" s="647"/>
      <c r="H22" s="647"/>
      <c r="I22" s="647"/>
      <c r="J22" s="647"/>
      <c r="K22" s="647"/>
      <c r="L22" s="647"/>
      <c r="R22" s="354"/>
      <c r="S22" s="354"/>
    </row>
    <row r="24" spans="3:19" ht="26.25">
      <c r="D24" s="355" t="s">
        <v>391</v>
      </c>
      <c r="E24" s="358"/>
      <c r="F24" s="358"/>
    </row>
    <row r="25" spans="3:19" ht="26.25" customHeight="1" thickBot="1">
      <c r="D25" s="359" t="s">
        <v>392</v>
      </c>
      <c r="E25" s="648" t="s">
        <v>393</v>
      </c>
      <c r="F25" s="649"/>
      <c r="G25" s="650" t="s">
        <v>630</v>
      </c>
      <c r="H25" s="651"/>
      <c r="I25" s="651"/>
      <c r="J25" s="651"/>
      <c r="K25" s="651"/>
      <c r="L25" s="652"/>
    </row>
    <row r="26" spans="3:19" ht="26.25" customHeight="1" thickTop="1" thickBot="1">
      <c r="D26" s="360" t="s">
        <v>619</v>
      </c>
      <c r="E26" s="645" t="s">
        <v>620</v>
      </c>
      <c r="F26" s="646"/>
      <c r="G26" s="653" t="s">
        <v>631</v>
      </c>
      <c r="H26" s="654"/>
      <c r="I26" s="654"/>
      <c r="J26" s="654"/>
      <c r="K26" s="654"/>
      <c r="L26" s="655"/>
    </row>
    <row r="27" spans="3:19" ht="26.25" customHeight="1" thickTop="1" thickBot="1">
      <c r="D27" s="360" t="s">
        <v>633</v>
      </c>
      <c r="E27" s="645" t="s">
        <v>629</v>
      </c>
      <c r="F27" s="646"/>
      <c r="G27" s="653" t="s">
        <v>632</v>
      </c>
      <c r="H27" s="654"/>
      <c r="I27" s="654"/>
      <c r="J27" s="654"/>
      <c r="K27" s="654"/>
      <c r="L27" s="655"/>
    </row>
    <row r="28" spans="3:19" ht="67.5" customHeight="1" thickTop="1" thickBot="1">
      <c r="D28" s="360" t="s">
        <v>634</v>
      </c>
      <c r="E28" s="643" t="s">
        <v>684</v>
      </c>
      <c r="F28" s="644"/>
      <c r="G28" s="653" t="s">
        <v>649</v>
      </c>
      <c r="H28" s="654"/>
      <c r="I28" s="654"/>
      <c r="J28" s="654"/>
      <c r="K28" s="654"/>
      <c r="L28" s="655"/>
    </row>
    <row r="29" spans="3:19" ht="26.25" customHeight="1" thickTop="1" thickBot="1">
      <c r="D29" s="360"/>
      <c r="E29" s="643"/>
      <c r="F29" s="644"/>
      <c r="G29" s="653"/>
      <c r="H29" s="654"/>
      <c r="I29" s="654"/>
      <c r="J29" s="654"/>
      <c r="K29" s="654"/>
      <c r="L29" s="655"/>
    </row>
    <row r="30" spans="3:19" ht="15.75" thickTop="1"/>
  </sheetData>
  <sheetProtection algorithmName="SHA-512" hashValue="sxf1tHQsQkwEzqnRjxlW9DkFC359FWBwOhBCNefDJMMLXYV0M34iGbL0ei2XEQ8/eZ/+40wC91ayL1YC6EFAQA==" saltValue="KIstIuX3r9nkqpx8x2jC9Q==" spinCount="100000" sheet="1" objects="1" scenarios="1"/>
  <mergeCells count="15">
    <mergeCell ref="D11:Q11"/>
    <mergeCell ref="D19:L19"/>
    <mergeCell ref="A1:Q1"/>
    <mergeCell ref="D16:L16"/>
    <mergeCell ref="E29:F29"/>
    <mergeCell ref="E26:F26"/>
    <mergeCell ref="E27:F27"/>
    <mergeCell ref="E28:F28"/>
    <mergeCell ref="D22:L22"/>
    <mergeCell ref="E25:F25"/>
    <mergeCell ref="G25:L25"/>
    <mergeCell ref="G26:L26"/>
    <mergeCell ref="G27:L27"/>
    <mergeCell ref="G28:L28"/>
    <mergeCell ref="G29:L29"/>
  </mergeCells>
  <phoneticPr fontId="9" type="noConversion"/>
  <pageMargins left="0.7" right="0.7" top="0.75" bottom="0.75" header="0.3" footer="0.3"/>
  <pageSetup orientation="portrait" horizontalDpi="90" verticalDpi="90" r:id="rId1"/>
  <customProperties>
    <customPr name="SSC_SHEET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FFC000"/>
  </sheetPr>
  <dimension ref="A1:Q27"/>
  <sheetViews>
    <sheetView showGridLines="0" zoomScale="70" zoomScaleNormal="70" workbookViewId="0">
      <selection activeCell="D9" sqref="D8:D9"/>
    </sheetView>
  </sheetViews>
  <sheetFormatPr defaultColWidth="8.85546875" defaultRowHeight="15"/>
  <cols>
    <col min="2" max="2" width="15.85546875" customWidth="1"/>
    <col min="3" max="3" width="83.42578125" customWidth="1"/>
    <col min="4" max="4" width="92.42578125" customWidth="1"/>
  </cols>
  <sheetData>
    <row r="1" spans="1:17" s="8" customFormat="1">
      <c r="A1" s="641"/>
      <c r="B1" s="641"/>
      <c r="C1" s="641"/>
      <c r="D1" s="641"/>
      <c r="E1" s="641"/>
      <c r="F1" s="641"/>
      <c r="G1" s="641"/>
      <c r="H1" s="641"/>
      <c r="I1" s="641"/>
      <c r="J1" s="641"/>
      <c r="K1" s="641"/>
      <c r="L1" s="641"/>
      <c r="M1" s="641"/>
      <c r="N1" s="641"/>
      <c r="O1" s="641"/>
      <c r="P1" s="641"/>
      <c r="Q1" s="641"/>
    </row>
    <row r="2" spans="1:17" ht="3.6" customHeight="1">
      <c r="E2" s="1"/>
    </row>
    <row r="3" spans="1:17">
      <c r="E3" s="1"/>
    </row>
    <row r="4" spans="1:17" ht="15.75">
      <c r="C4" s="345" t="str">
        <f>Intro!$D$4</f>
        <v>SBT Aviation Tool</v>
      </c>
      <c r="D4" s="21"/>
      <c r="F4" s="346"/>
      <c r="G4" s="346"/>
      <c r="H4" s="346"/>
    </row>
    <row r="5" spans="1:17" ht="15.75">
      <c r="C5" s="244" t="str">
        <f>Intro!$D$5</f>
        <v>Sectoral Decarbonization Approach - Aviation Sector</v>
      </c>
      <c r="D5" s="21"/>
    </row>
    <row r="6" spans="1:17" ht="15.75">
      <c r="C6" s="244" t="str">
        <f>Intro!$D$6</f>
        <v>Version 2.0</v>
      </c>
      <c r="D6" s="21"/>
    </row>
    <row r="7" spans="1:17" s="13" customFormat="1" ht="15.75" thickBot="1">
      <c r="E7" s="18"/>
    </row>
    <row r="8" spans="1:17" ht="40.5" customHeight="1"/>
    <row r="9" spans="1:17" ht="26.25">
      <c r="B9" s="656" t="s">
        <v>483</v>
      </c>
      <c r="C9" s="656"/>
    </row>
    <row r="10" spans="1:17" ht="26.25">
      <c r="C10" s="347"/>
    </row>
    <row r="11" spans="1:17">
      <c r="B11" s="348" t="s">
        <v>484</v>
      </c>
      <c r="C11" s="348" t="s">
        <v>485</v>
      </c>
      <c r="D11" s="348" t="s">
        <v>486</v>
      </c>
    </row>
    <row r="12" spans="1:17" ht="37.5" customHeight="1" thickBot="1">
      <c r="B12" s="349" t="s">
        <v>394</v>
      </c>
      <c r="C12" s="350" t="s">
        <v>395</v>
      </c>
      <c r="D12" s="351" t="s">
        <v>572</v>
      </c>
    </row>
    <row r="13" spans="1:17" ht="37.5" customHeight="1" thickTop="1" thickBot="1">
      <c r="B13" s="352" t="s">
        <v>396</v>
      </c>
      <c r="C13" s="350" t="s">
        <v>397</v>
      </c>
      <c r="D13" s="351" t="s">
        <v>562</v>
      </c>
    </row>
    <row r="14" spans="1:17" ht="37.5" customHeight="1" thickTop="1" thickBot="1">
      <c r="B14" s="352" t="s">
        <v>405</v>
      </c>
      <c r="C14" s="350" t="s">
        <v>406</v>
      </c>
      <c r="D14" s="351" t="s">
        <v>564</v>
      </c>
    </row>
    <row r="15" spans="1:17" ht="37.5" customHeight="1" thickTop="1" thickBot="1">
      <c r="B15" s="352" t="s">
        <v>159</v>
      </c>
      <c r="C15" s="350" t="s">
        <v>398</v>
      </c>
      <c r="D15" s="351" t="s">
        <v>507</v>
      </c>
    </row>
    <row r="16" spans="1:17" ht="56.25" customHeight="1" thickTop="1" thickBot="1">
      <c r="B16" s="352" t="s">
        <v>399</v>
      </c>
      <c r="C16" s="350" t="s">
        <v>400</v>
      </c>
      <c r="D16" s="351" t="s">
        <v>508</v>
      </c>
    </row>
    <row r="17" spans="2:4" ht="56.25" customHeight="1" thickTop="1" thickBot="1">
      <c r="B17" s="352" t="s">
        <v>401</v>
      </c>
      <c r="C17" s="350" t="s">
        <v>402</v>
      </c>
      <c r="D17" s="351" t="s">
        <v>561</v>
      </c>
    </row>
    <row r="18" spans="2:4" ht="37.5" customHeight="1" thickTop="1" thickBot="1">
      <c r="B18" s="352" t="s">
        <v>403</v>
      </c>
      <c r="C18" s="350" t="s">
        <v>404</v>
      </c>
      <c r="D18" s="351" t="s">
        <v>565</v>
      </c>
    </row>
    <row r="19" spans="2:4" ht="37.5" customHeight="1" thickTop="1" thickBot="1">
      <c r="B19" s="353" t="s">
        <v>471</v>
      </c>
      <c r="C19" s="350" t="s">
        <v>472</v>
      </c>
      <c r="D19" s="351" t="s">
        <v>473</v>
      </c>
    </row>
    <row r="20" spans="2:4" ht="37.5" customHeight="1" thickTop="1" thickBot="1">
      <c r="B20" s="353" t="s">
        <v>621</v>
      </c>
      <c r="C20" s="350" t="s">
        <v>622</v>
      </c>
      <c r="D20" s="351" t="s">
        <v>566</v>
      </c>
    </row>
    <row r="21" spans="2:4" ht="37.5" customHeight="1" thickTop="1" thickBot="1">
      <c r="B21" s="349" t="s">
        <v>385</v>
      </c>
      <c r="C21" s="350" t="s">
        <v>474</v>
      </c>
      <c r="D21" s="351" t="s">
        <v>567</v>
      </c>
    </row>
    <row r="22" spans="2:4" ht="37.5" customHeight="1" thickTop="1" thickBot="1">
      <c r="B22" s="349" t="s">
        <v>14</v>
      </c>
      <c r="C22" s="350" t="s">
        <v>475</v>
      </c>
      <c r="D22" s="351" t="s">
        <v>568</v>
      </c>
    </row>
    <row r="23" spans="2:4" ht="37.5" customHeight="1" thickTop="1" thickBot="1">
      <c r="B23" s="349" t="s">
        <v>476</v>
      </c>
      <c r="C23" s="350" t="s">
        <v>477</v>
      </c>
      <c r="D23" s="351" t="s">
        <v>569</v>
      </c>
    </row>
    <row r="24" spans="2:4" ht="37.5" customHeight="1" thickTop="1" thickBot="1">
      <c r="B24" s="476" t="s">
        <v>418</v>
      </c>
      <c r="C24" s="350" t="s">
        <v>625</v>
      </c>
      <c r="D24" s="351" t="s">
        <v>626</v>
      </c>
    </row>
    <row r="25" spans="2:4" ht="56.25" customHeight="1" thickTop="1" thickBot="1">
      <c r="B25" s="352" t="s">
        <v>125</v>
      </c>
      <c r="C25" s="350" t="s">
        <v>623</v>
      </c>
      <c r="D25" s="351" t="s">
        <v>571</v>
      </c>
    </row>
    <row r="26" spans="2:4" ht="37.5" customHeight="1" thickTop="1" thickBot="1">
      <c r="B26" s="349" t="s">
        <v>126</v>
      </c>
      <c r="C26" s="350" t="s">
        <v>624</v>
      </c>
      <c r="D26" s="351" t="s">
        <v>570</v>
      </c>
    </row>
    <row r="27" spans="2:4" ht="15.75" thickTop="1"/>
  </sheetData>
  <sheetProtection algorithmName="SHA-512" hashValue="1+8dUUjCwRjvQM0IGe65NF/6L+sUukT1oeoBwdD/qY/8smIJScBE2hG8N561xMPk0gd7l1fCyZK6t/xG414nfg==" saltValue="J+bLubqZyc4dvKuuo6054Q==" spinCount="100000" sheet="1" objects="1" scenarios="1"/>
  <mergeCells count="2">
    <mergeCell ref="B9:C9"/>
    <mergeCell ref="A1:Q1"/>
  </mergeCells>
  <pageMargins left="0.7" right="0.7" top="0.75" bottom="0.75" header="0.3" footer="0.3"/>
  <pageSetup orientation="portrait" r:id="rId1"/>
  <customProperties>
    <customPr name="SSC_SHEET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546E"/>
  </sheetPr>
  <dimension ref="A1:X192"/>
  <sheetViews>
    <sheetView showGridLines="0" tabSelected="1" zoomScale="70" zoomScaleNormal="70" workbookViewId="0">
      <selection activeCell="E15" sqref="E15:F15"/>
    </sheetView>
  </sheetViews>
  <sheetFormatPr defaultColWidth="0" defaultRowHeight="15" zeroHeight="1"/>
  <cols>
    <col min="1" max="1" width="10.42578125" customWidth="1"/>
    <col min="2" max="2" width="4.42578125" customWidth="1"/>
    <col min="3" max="3" width="8.42578125" customWidth="1"/>
    <col min="4" max="4" width="30.42578125" customWidth="1"/>
    <col min="5" max="5" width="22.85546875" style="1" customWidth="1"/>
    <col min="6" max="6" width="22.85546875" customWidth="1"/>
    <col min="7" max="7" width="16.42578125" customWidth="1"/>
    <col min="8" max="8" width="30.42578125" customWidth="1"/>
    <col min="9" max="10" width="22.85546875" customWidth="1"/>
    <col min="11" max="11" width="20.42578125" customWidth="1"/>
    <col min="12" max="12" width="2" customWidth="1"/>
    <col min="13" max="13" width="5" customWidth="1"/>
    <col min="14" max="14" width="8" customWidth="1"/>
    <col min="15" max="15" width="12.140625" style="37" hidden="1" customWidth="1"/>
    <col min="16" max="22" width="8.42578125" hidden="1" customWidth="1"/>
    <col min="23" max="23" width="8.85546875" hidden="1" customWidth="1"/>
    <col min="24" max="16384" width="9.140625" hidden="1"/>
  </cols>
  <sheetData>
    <row r="1" spans="1:23" s="8" customFormat="1">
      <c r="A1" s="641"/>
      <c r="B1" s="641"/>
      <c r="C1" s="641"/>
      <c r="D1" s="641"/>
      <c r="E1" s="641"/>
      <c r="F1" s="641"/>
      <c r="G1" s="641"/>
      <c r="H1" s="641"/>
      <c r="I1" s="641"/>
      <c r="J1" s="641"/>
      <c r="K1" s="641"/>
      <c r="L1" s="641"/>
      <c r="M1" s="641"/>
      <c r="N1" s="89"/>
      <c r="O1" s="659"/>
      <c r="P1" s="641"/>
      <c r="Q1" s="641"/>
      <c r="R1" s="641"/>
      <c r="S1" s="641"/>
      <c r="T1" s="641"/>
      <c r="U1" s="641"/>
      <c r="V1" s="641"/>
      <c r="W1" s="641"/>
    </row>
    <row r="2" spans="1:23" ht="3.6" customHeight="1"/>
    <row r="3" spans="1:23"/>
    <row r="4" spans="1:23" ht="15" customHeight="1" thickBot="1">
      <c r="D4" s="319" t="str">
        <f>Intro!$D$4</f>
        <v>SBT Aviation Tool</v>
      </c>
      <c r="F4" s="12"/>
      <c r="G4" s="12"/>
      <c r="H4" s="12"/>
      <c r="I4" s="12"/>
      <c r="J4" s="245"/>
    </row>
    <row r="5" spans="1:23" ht="15" customHeight="1" thickBot="1">
      <c r="D5" s="244" t="str">
        <f>Intro!$D$5</f>
        <v>Sectoral Decarbonization Approach - Aviation Sector</v>
      </c>
      <c r="I5" s="246" t="s">
        <v>30</v>
      </c>
      <c r="J5" s="247" t="s">
        <v>29</v>
      </c>
    </row>
    <row r="6" spans="1:23" ht="15" customHeight="1" thickBot="1">
      <c r="D6" s="244" t="str">
        <f>Intro!$D$6</f>
        <v>Version 2.0</v>
      </c>
      <c r="I6" s="248" t="s">
        <v>31</v>
      </c>
      <c r="J6" s="326" t="s">
        <v>32</v>
      </c>
      <c r="N6" s="84"/>
    </row>
    <row r="7" spans="1:23" s="13" customFormat="1" ht="15.75" thickBot="1">
      <c r="E7" s="18"/>
      <c r="O7" s="79"/>
    </row>
    <row r="8" spans="1:23" ht="12.75" customHeight="1"/>
    <row r="9" spans="1:23" s="249" customFormat="1" ht="26.25" customHeight="1" thickBot="1">
      <c r="A9"/>
      <c r="B9" s="337" t="s">
        <v>614</v>
      </c>
      <c r="C9" s="336" t="s">
        <v>616</v>
      </c>
    </row>
    <row r="10" spans="1:23" ht="14.45" customHeight="1">
      <c r="B10" s="657" t="s">
        <v>682</v>
      </c>
      <c r="C10" s="657"/>
      <c r="D10" s="657"/>
      <c r="E10" s="657"/>
      <c r="F10" s="657"/>
      <c r="G10" s="657"/>
      <c r="H10" s="657"/>
      <c r="I10" s="657"/>
      <c r="J10" s="657"/>
      <c r="K10" s="657"/>
      <c r="L10" s="657"/>
      <c r="M10" s="657"/>
      <c r="O10" s="226"/>
    </row>
    <row r="11" spans="1:23" ht="34.35" customHeight="1">
      <c r="B11" s="657"/>
      <c r="C11" s="657"/>
      <c r="D11" s="657"/>
      <c r="E11" s="657"/>
      <c r="F11" s="657"/>
      <c r="G11" s="657"/>
      <c r="H11" s="657"/>
      <c r="I11" s="657"/>
      <c r="J11" s="657"/>
      <c r="K11" s="657"/>
      <c r="L11" s="657"/>
      <c r="M11" s="657"/>
      <c r="O11" s="226"/>
    </row>
    <row r="12" spans="1:23" s="8" customFormat="1" ht="30" customHeight="1">
      <c r="B12" s="230"/>
      <c r="C12" s="230"/>
      <c r="D12" s="230"/>
      <c r="E12" s="230"/>
      <c r="F12" s="230"/>
      <c r="G12" s="230"/>
      <c r="H12" s="230"/>
      <c r="I12" s="230"/>
      <c r="J12" s="230"/>
      <c r="K12" s="230"/>
      <c r="L12" s="230"/>
      <c r="M12" s="230"/>
    </row>
    <row r="13" spans="1:23" s="249" customFormat="1" ht="26.25" customHeight="1" thickBot="1">
      <c r="A13"/>
      <c r="B13" s="317">
        <v>1</v>
      </c>
      <c r="C13" s="318" t="s">
        <v>577</v>
      </c>
    </row>
    <row r="14" spans="1:23" ht="18.600000000000001" customHeight="1" thickBot="1"/>
    <row r="15" spans="1:23" ht="33.75" customHeight="1" thickBot="1">
      <c r="D15" s="306" t="s">
        <v>24</v>
      </c>
      <c r="E15" s="668"/>
      <c r="F15" s="669"/>
    </row>
    <row r="16" spans="1:23" ht="33.75" customHeight="1" thickBot="1">
      <c r="D16" s="306" t="s">
        <v>648</v>
      </c>
      <c r="E16" s="672" t="s">
        <v>680</v>
      </c>
      <c r="F16" s="673"/>
      <c r="H16" s="598"/>
    </row>
    <row r="17" spans="2:24" ht="33.75" customHeight="1" thickBot="1">
      <c r="D17" s="306" t="s">
        <v>0</v>
      </c>
      <c r="E17" s="668">
        <v>2019</v>
      </c>
      <c r="F17" s="669"/>
      <c r="G17" s="234"/>
      <c r="N17" s="84"/>
    </row>
    <row r="18" spans="2:24" ht="33.75" customHeight="1" thickBot="1">
      <c r="D18" s="306" t="s">
        <v>1</v>
      </c>
      <c r="E18" s="668"/>
      <c r="F18" s="669"/>
      <c r="G18" s="234" t="str">
        <f ca="1">IF(target&gt;YEAR(NOW())+15,"Target year must comply with SBTi target timeframe criteria","")</f>
        <v/>
      </c>
      <c r="N18" s="84"/>
    </row>
    <row r="19" spans="2:24" ht="33.75" customHeight="1" thickBot="1">
      <c r="D19" s="306" t="s">
        <v>607</v>
      </c>
      <c r="E19" s="670"/>
      <c r="F19" s="671"/>
      <c r="G19" s="234"/>
      <c r="N19" s="84"/>
    </row>
    <row r="20" spans="2:24" ht="23.45" customHeight="1">
      <c r="N20" s="84"/>
    </row>
    <row r="21" spans="2:24" ht="26.25" customHeight="1" thickBot="1">
      <c r="B21" s="317">
        <v>2</v>
      </c>
      <c r="C21" s="318" t="str">
        <f>"WTW Emissions in base year ("&amp;base&amp;")"</f>
        <v>WTW Emissions in base year (2019)</v>
      </c>
      <c r="D21" s="249"/>
      <c r="E21" s="249"/>
      <c r="F21" s="249"/>
      <c r="G21" s="249"/>
      <c r="H21" s="249"/>
      <c r="I21" s="249"/>
      <c r="J21" s="249"/>
      <c r="K21" s="249"/>
      <c r="L21" s="249"/>
      <c r="M21" s="249"/>
      <c r="N21" s="249"/>
      <c r="O21" s="249"/>
      <c r="P21" s="249" t="s">
        <v>131</v>
      </c>
      <c r="Q21" s="249"/>
      <c r="R21" s="249"/>
      <c r="S21" s="249"/>
      <c r="T21" s="249"/>
      <c r="U21" s="249"/>
      <c r="V21" s="249"/>
      <c r="W21" s="249"/>
      <c r="X21" s="249"/>
    </row>
    <row r="22" spans="2:24" ht="21.75" thickBot="1">
      <c r="C22" s="194"/>
      <c r="N22" s="84"/>
      <c r="P22" s="195"/>
      <c r="Q22" s="195"/>
      <c r="R22" s="195"/>
      <c r="S22" s="195"/>
      <c r="T22" s="195"/>
      <c r="U22" s="195"/>
      <c r="V22" s="195"/>
      <c r="X22" s="84"/>
    </row>
    <row r="23" spans="2:24" ht="23.25" customHeight="1" thickBot="1">
      <c r="C23" s="194"/>
      <c r="D23" s="306" t="s">
        <v>599</v>
      </c>
      <c r="E23" s="668"/>
      <c r="F23" s="669"/>
      <c r="N23" s="84"/>
      <c r="P23" s="195"/>
      <c r="Q23" s="195"/>
      <c r="R23" s="195"/>
      <c r="S23" s="195"/>
      <c r="T23" s="195"/>
      <c r="U23" s="195"/>
      <c r="V23" s="195"/>
      <c r="X23" s="84"/>
    </row>
    <row r="24" spans="2:24" ht="15.75" thickBot="1">
      <c r="C24" s="7"/>
      <c r="E24" s="207"/>
    </row>
    <row r="25" spans="2:24" ht="15.75" thickBot="1">
      <c r="C25" s="8"/>
      <c r="D25" s="8"/>
      <c r="E25" s="663" t="s">
        <v>510</v>
      </c>
      <c r="F25" s="664"/>
      <c r="G25" s="3"/>
      <c r="H25" s="3"/>
      <c r="I25" s="663" t="s">
        <v>5</v>
      </c>
      <c r="J25" s="664"/>
      <c r="N25" s="84"/>
      <c r="P25" s="660" t="s">
        <v>106</v>
      </c>
      <c r="Q25" s="660"/>
      <c r="R25" s="662" t="s">
        <v>107</v>
      </c>
      <c r="S25" s="660"/>
      <c r="T25" s="661"/>
      <c r="U25" s="660" t="s">
        <v>105</v>
      </c>
      <c r="V25" s="660"/>
    </row>
    <row r="26" spans="2:24" ht="15.75" thickBot="1">
      <c r="D26" s="6"/>
      <c r="E26" s="301" t="s">
        <v>3</v>
      </c>
      <c r="F26" s="361" t="s">
        <v>470</v>
      </c>
      <c r="G26" s="10"/>
      <c r="H26" s="10"/>
      <c r="I26" s="302" t="s">
        <v>3</v>
      </c>
      <c r="J26" s="361" t="s">
        <v>470</v>
      </c>
      <c r="P26" s="34" t="s">
        <v>104</v>
      </c>
      <c r="Q26" s="34" t="s">
        <v>103</v>
      </c>
      <c r="R26" s="36" t="s">
        <v>104</v>
      </c>
      <c r="S26" s="35" t="s">
        <v>103</v>
      </c>
      <c r="T26" s="35" t="s">
        <v>119</v>
      </c>
      <c r="U26" s="34" t="s">
        <v>104</v>
      </c>
      <c r="V26" s="34" t="s">
        <v>103</v>
      </c>
    </row>
    <row r="27" spans="2:24" ht="15.75" thickBot="1">
      <c r="E27"/>
      <c r="N27" s="84"/>
      <c r="O27" s="83" t="s">
        <v>469</v>
      </c>
      <c r="P27" s="198" t="e">
        <f>IF($E$19=DED_only,0,IF($E$23=WTW_avail,P28,P29))</f>
        <v>#DIV/0!</v>
      </c>
      <c r="Q27" s="199" t="e">
        <f>IF($E$19=DED_only,0,IF($E$23=WTW_avail,Q28,Q29))</f>
        <v>#DIV/0!</v>
      </c>
      <c r="R27" s="200"/>
      <c r="S27" s="201"/>
      <c r="T27" s="202" t="e">
        <f>IF($E$19=DED_only,0,IF($E$23=WTW_avail,T28,T29))</f>
        <v>#DIV/0!</v>
      </c>
      <c r="U27" s="198">
        <f>IF($E$19=PAX_only,0,IF($E$23=WTW_avail,U28,U29))</f>
        <v>0</v>
      </c>
      <c r="V27" s="198">
        <f>IF($E$19=PAX_only,0,IF($E$23=WTW_avail,V28,V29))</f>
        <v>0</v>
      </c>
      <c r="W27" s="206" t="e">
        <f>pse+ple+be</f>
        <v>#DIV/0!</v>
      </c>
    </row>
    <row r="28" spans="2:24" ht="28.5" customHeight="1" thickBot="1">
      <c r="D28" s="298" t="str">
        <f>" Well to Wake Emissions"&amp;CHAR(10)&amp;" (tCO2e)"</f>
        <v xml:space="preserve"> Well to Wake Emissions
 (tCO2e)</v>
      </c>
      <c r="E28" s="592"/>
      <c r="F28" s="593"/>
      <c r="H28" s="298" t="str">
        <f>" Well to Wake Emissions"&amp;CHAR(10)&amp;" (tCO2e)"</f>
        <v xml:space="preserve"> Well to Wake Emissions
 (tCO2e)</v>
      </c>
      <c r="I28" s="22"/>
      <c r="J28" s="299"/>
      <c r="N28" s="84"/>
      <c r="P28" s="40" t="e">
        <f>((E28/emissions_units)*(1-T41)*(F28))</f>
        <v>#DIV/0!</v>
      </c>
      <c r="Q28" s="196" t="e">
        <f>(E28/emissions_units)*(1-T41)*(1-F28)</f>
        <v>#DIV/0!</v>
      </c>
      <c r="R28" s="38"/>
      <c r="S28" s="16"/>
      <c r="T28" s="209" t="e">
        <f>(E28/emissions_units)*T41</f>
        <v>#DIV/0!</v>
      </c>
      <c r="U28" s="40">
        <f>((I28/emissions_units)*J28)</f>
        <v>0</v>
      </c>
      <c r="V28" s="40">
        <f>((I28/emissions_units)*(1-J28))</f>
        <v>0</v>
      </c>
    </row>
    <row r="29" spans="2:24" ht="28.5" customHeight="1" thickBot="1">
      <c r="D29" s="298" t="str">
        <f>"Tank to Wake Emissions"&amp;CHAR(10)&amp;" (tCO2e)"</f>
        <v>Tank to Wake Emissions
 (tCO2e)</v>
      </c>
      <c r="E29" s="508"/>
      <c r="F29" s="509"/>
      <c r="H29" s="298" t="str">
        <f>"Tank to Wake Emissions"&amp;CHAR(10)&amp;" (tCO2e)"</f>
        <v>Tank to Wake Emissions
 (tCO2e)</v>
      </c>
      <c r="I29" s="22"/>
      <c r="J29" s="300"/>
      <c r="N29" s="84"/>
      <c r="P29" s="40" t="e">
        <f>((E29/emissions_units)*(1-T41)*(F29))*wtw_factor</f>
        <v>#DIV/0!</v>
      </c>
      <c r="Q29" s="196" t="e">
        <f>(E29/emissions_units)*(1-T41)*(1-F29)*wtw_factor</f>
        <v>#DIV/0!</v>
      </c>
      <c r="R29" s="38"/>
      <c r="S29" s="16"/>
      <c r="T29" s="209" t="e">
        <f>(E29/emissions_units)*T41*wtw_factor</f>
        <v>#DIV/0!</v>
      </c>
      <c r="U29" s="40">
        <f>((I29/emissions_units)*J29)*wtw_factor</f>
        <v>0</v>
      </c>
      <c r="V29" s="40">
        <f>((I29/emissions_units)*(1-J29))*wtw_factor</f>
        <v>0</v>
      </c>
    </row>
    <row r="30" spans="2:24" ht="28.5" customHeight="1" thickBot="1">
      <c r="D30" s="310" t="str">
        <f>"Calculated Well-to-Wake Emissions"&amp;CHAR(10)&amp;" (tCO2e)"</f>
        <v>Calculated Well-to-Wake Emissions
 (tCO2e)</v>
      </c>
      <c r="E30" s="27">
        <f>E29*('Fuel to emissions calculator'!$F$18/'Fuel to emissions calculator'!$F$17)</f>
        <v>0</v>
      </c>
      <c r="F30" s="27">
        <f>IFERROR(E30*F29,0)</f>
        <v>0</v>
      </c>
      <c r="G30" s="59"/>
      <c r="H30" s="310" t="str">
        <f>"Calculated Well-to-Wake Emissions"&amp;CHAR(10)&amp;" (tCO2e)"</f>
        <v>Calculated Well-to-Wake Emissions
 (tCO2e)</v>
      </c>
      <c r="I30" s="27">
        <f>I29*('Fuel to emissions calculator'!$F$18/'Fuel to emissions calculator'!$F$17)</f>
        <v>0</v>
      </c>
      <c r="J30" s="27">
        <f>dse*emissions_units</f>
        <v>0</v>
      </c>
      <c r="N30" s="84"/>
      <c r="P30" s="40"/>
      <c r="Q30" s="196"/>
      <c r="R30" s="40"/>
      <c r="S30" s="16"/>
      <c r="T30" s="33"/>
      <c r="U30" s="1"/>
      <c r="V30" s="33"/>
    </row>
    <row r="31" spans="2:24" ht="32.450000000000003" customHeight="1">
      <c r="G31" s="77"/>
      <c r="H31" s="77"/>
      <c r="I31" s="77"/>
      <c r="K31" s="77"/>
      <c r="L31" s="77"/>
      <c r="N31" s="84"/>
    </row>
    <row r="32" spans="2:24" ht="26.25" customHeight="1" thickBot="1">
      <c r="B32" s="317">
        <v>3</v>
      </c>
      <c r="C32" s="318" t="str">
        <f>"Activity data in base year (" &amp;base&amp;")"</f>
        <v>Activity data in base year (2019)</v>
      </c>
      <c r="D32" s="249"/>
      <c r="E32" s="249"/>
      <c r="F32" s="249"/>
      <c r="G32" s="249"/>
      <c r="H32" s="249"/>
      <c r="I32" s="249"/>
      <c r="J32" s="249"/>
      <c r="K32" s="249"/>
      <c r="L32" s="249"/>
      <c r="M32" s="249"/>
      <c r="N32" s="249"/>
      <c r="O32" s="249"/>
      <c r="P32" s="249"/>
      <c r="Q32" s="249"/>
      <c r="R32" s="249"/>
      <c r="S32" s="249"/>
      <c r="T32" s="249"/>
      <c r="U32" s="249"/>
      <c r="V32" s="249"/>
      <c r="W32" s="249"/>
      <c r="X32" s="249"/>
    </row>
    <row r="33" spans="2:24" ht="18" customHeight="1" thickBot="1">
      <c r="B33" s="7"/>
      <c r="C33" s="7"/>
    </row>
    <row r="34" spans="2:24" ht="15.75" thickBot="1">
      <c r="C34" s="8"/>
      <c r="D34" s="8"/>
      <c r="E34" s="665" t="s">
        <v>510</v>
      </c>
      <c r="F34" s="666"/>
      <c r="G34" s="3"/>
      <c r="H34" s="3"/>
      <c r="I34" s="665" t="s">
        <v>5</v>
      </c>
      <c r="J34" s="666"/>
    </row>
    <row r="35" spans="2:24" ht="15.2" customHeight="1" thickBot="1">
      <c r="D35" s="6"/>
      <c r="E35" s="302" t="s">
        <v>3</v>
      </c>
      <c r="F35" s="304" t="s">
        <v>470</v>
      </c>
      <c r="G35" s="10"/>
      <c r="H35" s="10"/>
      <c r="I35" s="301" t="s">
        <v>3</v>
      </c>
      <c r="J35" s="304" t="s">
        <v>470</v>
      </c>
      <c r="P35" s="660" t="s">
        <v>106</v>
      </c>
      <c r="Q35" s="661"/>
      <c r="R35" s="662" t="s">
        <v>107</v>
      </c>
      <c r="S35" s="661"/>
      <c r="T35" s="62"/>
      <c r="U35" s="660" t="s">
        <v>105</v>
      </c>
      <c r="V35" s="660"/>
    </row>
    <row r="36" spans="2:24" ht="15" customHeight="1" thickBot="1">
      <c r="D36" s="6"/>
      <c r="E36" s="10"/>
      <c r="F36" s="14"/>
      <c r="G36" s="10"/>
      <c r="H36" s="10"/>
      <c r="I36" s="10"/>
      <c r="J36" s="14"/>
      <c r="K36" s="59"/>
      <c r="N36" s="59"/>
      <c r="P36" s="34" t="s">
        <v>104</v>
      </c>
      <c r="Q36" s="35" t="s">
        <v>103</v>
      </c>
      <c r="R36" s="36" t="s">
        <v>104</v>
      </c>
      <c r="S36" s="35" t="s">
        <v>103</v>
      </c>
      <c r="T36" s="34" t="s">
        <v>119</v>
      </c>
      <c r="U36" s="34" t="s">
        <v>104</v>
      </c>
      <c r="V36" s="34" t="s">
        <v>103</v>
      </c>
    </row>
    <row r="37" spans="2:24" ht="30" customHeight="1" thickBot="1">
      <c r="D37" s="474" t="str">
        <f>"Total Flown Passengers 
(RPK)"</f>
        <v>Total Flown Passengers 
(RPK)</v>
      </c>
      <c r="E37" s="595"/>
      <c r="F37" s="604"/>
      <c r="G37" s="470" t="str">
        <f>IF(E23=TTW_avail, IF(F29&gt;0, IF(SUM(F37:F38)=0,"Please enter share of activity &lt;1,500km",""),""),IF(F28&gt;0, IF(SUM(F37:F38)=0,"Please enter share of activity &lt;1,500km",""),""))</f>
        <v/>
      </c>
      <c r="H37" s="475"/>
      <c r="I37" s="88"/>
      <c r="J37" s="88"/>
      <c r="O37" s="80" t="s">
        <v>125</v>
      </c>
      <c r="P37" s="40">
        <f>IF(E19=DED_only,0,((E37/activity_units)*F37))</f>
        <v>0</v>
      </c>
      <c r="Q37" s="58">
        <f>IF(E19=DED_only,0,((E37/activity_units)-((E37/activity_units)*F37)))</f>
        <v>0</v>
      </c>
      <c r="R37" s="38"/>
      <c r="S37" s="39"/>
      <c r="T37" s="33"/>
      <c r="U37" s="1"/>
      <c r="V37" s="33"/>
    </row>
    <row r="38" spans="2:24" ht="30" customHeight="1" thickBot="1">
      <c r="D38" s="474" t="str">
        <f>"Total Flown Belly Freight 
(RTK)"</f>
        <v>Total Flown Belly Freight 
(RTK)</v>
      </c>
      <c r="E38" s="595"/>
      <c r="F38" s="604"/>
      <c r="H38" s="474" t="str">
        <f>"Total Flown Dedicated Cargo 
(RTK)"</f>
        <v>Total Flown Dedicated Cargo 
(RTK)</v>
      </c>
      <c r="I38" s="22"/>
      <c r="J38" s="303"/>
      <c r="K38" s="470" t="str">
        <f>IF(E23=TTW_avail,IF(J29&gt;0,IF(J38=0,"Please enter share of activity &lt;1,500km",""),""),IF(J28&gt;0,IF(J38=0,"Please enter share of activity &lt;1,500km",""),""))</f>
        <v/>
      </c>
      <c r="O38" s="81" t="s">
        <v>468</v>
      </c>
      <c r="P38" s="40">
        <f>IF(E19=DED_only,0,P37*activity_co)</f>
        <v>0</v>
      </c>
      <c r="Q38" s="58">
        <f>IF(E19=DED_only,0,Q37*activity_co)</f>
        <v>0</v>
      </c>
      <c r="R38" s="38">
        <f>IF(E19=DED_only,0,(E38/activity_units)*F38)</f>
        <v>0</v>
      </c>
      <c r="S38" s="78">
        <f>IF(E19=DED_only,0,((E38/activity_units)-((E38/activity_units)*F38)))</f>
        <v>0</v>
      </c>
      <c r="T38" s="33">
        <f>IF(E19=DED_only,0,bla+bsa)</f>
        <v>0</v>
      </c>
      <c r="U38" s="1">
        <f>IF(E19=PAX_only,0,(I38/activity_units)*J38)</f>
        <v>0</v>
      </c>
      <c r="V38" s="33">
        <f>IF(E19=PAX_only,0,(I38/activity_units)*(1-J38))</f>
        <v>0</v>
      </c>
    </row>
    <row r="39" spans="2:24" ht="15.75" thickBot="1">
      <c r="E39" s="77"/>
      <c r="F39" s="77"/>
      <c r="I39" s="77"/>
      <c r="J39" s="77"/>
      <c r="U39" s="1"/>
      <c r="V39" s="33"/>
    </row>
    <row r="40" spans="2:24" ht="15.75" thickBot="1">
      <c r="D40" s="17" t="str">
        <f>"Total "&amp;base&amp;" RTK"</f>
        <v>Total 2019 RTK</v>
      </c>
      <c r="E40" s="27">
        <f>(E37*Catalogues!$M$2)+E38</f>
        <v>0</v>
      </c>
      <c r="F40" s="27">
        <f>(F37*Catalogues!$M$2)+F38</f>
        <v>0</v>
      </c>
      <c r="H40" s="306" t="str">
        <f>"Total "&amp;base&amp;" Billion RTK"</f>
        <v>Total 2019 Billion RTK</v>
      </c>
      <c r="I40" s="27">
        <f>(I37*Catalogues!$M$2)+I38</f>
        <v>0</v>
      </c>
      <c r="J40" s="27">
        <f>(J37*Catalogues!$M$2)+J38</f>
        <v>0</v>
      </c>
      <c r="O40" s="203" t="s">
        <v>467</v>
      </c>
      <c r="P40" s="14">
        <f>P37*emissions_factor</f>
        <v>0</v>
      </c>
      <c r="Q40" s="14">
        <f>Q37*emissions_factor</f>
        <v>0</v>
      </c>
      <c r="R40" s="14">
        <f>bsa</f>
        <v>0</v>
      </c>
      <c r="S40" s="14">
        <f>bla</f>
        <v>0</v>
      </c>
      <c r="T40" s="14">
        <f>S40+R40</f>
        <v>0</v>
      </c>
      <c r="U40" s="14"/>
      <c r="V40" s="204"/>
    </row>
    <row r="41" spans="2:24">
      <c r="D41" s="17"/>
      <c r="E41" s="16"/>
      <c r="F41" s="16"/>
      <c r="H41" s="5"/>
      <c r="O41" s="203"/>
      <c r="P41" s="205" t="e">
        <f>P40/SUM($P$40:$S$40)</f>
        <v>#DIV/0!</v>
      </c>
      <c r="Q41" s="205" t="e">
        <f t="shared" ref="Q41:T41" si="0">Q40/SUM($P$40:$S$40)</f>
        <v>#DIV/0!</v>
      </c>
      <c r="R41" s="205" t="e">
        <f t="shared" si="0"/>
        <v>#DIV/0!</v>
      </c>
      <c r="S41" s="205" t="e">
        <f t="shared" si="0"/>
        <v>#DIV/0!</v>
      </c>
      <c r="T41" s="205" t="e">
        <f t="shared" si="0"/>
        <v>#DIV/0!</v>
      </c>
      <c r="U41" s="59"/>
      <c r="V41" s="59"/>
    </row>
    <row r="42" spans="2:24" ht="29.85" customHeight="1">
      <c r="D42" s="17"/>
      <c r="F42" s="471"/>
      <c r="G42" s="16"/>
      <c r="H42" s="473"/>
      <c r="I42" s="16"/>
    </row>
    <row r="43" spans="2:24" ht="26.25" customHeight="1" thickBot="1">
      <c r="B43" s="317">
        <v>4</v>
      </c>
      <c r="C43" s="318" t="str">
        <f>"Activity data in target year ("&amp;target&amp;")"</f>
        <v>Activity data in target year ()</v>
      </c>
      <c r="D43" s="249"/>
      <c r="E43" s="249"/>
      <c r="F43" s="472"/>
      <c r="G43" s="249"/>
      <c r="H43" s="249"/>
      <c r="I43" s="249"/>
      <c r="J43" s="249"/>
      <c r="K43" s="249"/>
      <c r="L43" s="249"/>
      <c r="M43" s="249"/>
      <c r="N43" s="249"/>
      <c r="O43" s="249"/>
      <c r="P43" s="249"/>
      <c r="Q43" s="249"/>
      <c r="R43" s="249"/>
      <c r="S43" s="249"/>
      <c r="T43" s="249"/>
      <c r="U43" s="249"/>
      <c r="V43" s="249"/>
      <c r="W43" s="249"/>
      <c r="X43" s="249"/>
    </row>
    <row r="44" spans="2:24" ht="15.75" thickBot="1">
      <c r="E44"/>
    </row>
    <row r="45" spans="2:24" ht="30" customHeight="1" thickBot="1">
      <c r="D45" s="306" t="s">
        <v>603</v>
      </c>
      <c r="E45" s="477" t="s">
        <v>600</v>
      </c>
      <c r="F45" s="210" t="str">
        <f>IF(activity_approach=Catalogues!$P$2,"&lt;- Please select manual data entry to access the table below","")</f>
        <v>&lt;- Please select manual data entry to access the table below</v>
      </c>
      <c r="N45" s="84"/>
    </row>
    <row r="46" spans="2:24" ht="27" customHeight="1" thickBot="1">
      <c r="D46" s="306" t="s">
        <v>601</v>
      </c>
      <c r="E46" s="238">
        <v>2.9000000000000001E-2</v>
      </c>
      <c r="N46" s="84"/>
    </row>
    <row r="47" spans="2:24" ht="27" customHeight="1" thickBot="1">
      <c r="D47" s="306" t="str">
        <f>"Enter company wide CAGR, "&amp;base&amp;" to "&amp;target</f>
        <v xml:space="preserve">Enter company wide CAGR, 2019 to </v>
      </c>
      <c r="E47" s="308"/>
      <c r="N47" s="84"/>
    </row>
    <row r="48" spans="2:24"/>
    <row r="49" spans="2:24" ht="15.75" thickBot="1">
      <c r="D49" s="217"/>
      <c r="E49" s="218"/>
      <c r="F49" s="219"/>
      <c r="G49" s="219"/>
      <c r="H49" s="219"/>
      <c r="I49" s="219"/>
      <c r="J49" s="219"/>
      <c r="K49" s="220"/>
    </row>
    <row r="50" spans="2:24" ht="15.75" thickBot="1">
      <c r="D50" s="221" t="str">
        <f>"Enter "&amp;target&amp;" activity"</f>
        <v>Enter  activity</v>
      </c>
      <c r="E50" s="665" t="s">
        <v>510</v>
      </c>
      <c r="F50" s="666"/>
      <c r="G50" s="3"/>
      <c r="H50" s="3"/>
      <c r="I50" s="665" t="s">
        <v>5</v>
      </c>
      <c r="J50" s="666"/>
      <c r="K50" s="222"/>
      <c r="P50" s="660" t="s">
        <v>106</v>
      </c>
      <c r="Q50" s="661"/>
      <c r="R50" s="662" t="s">
        <v>107</v>
      </c>
      <c r="S50" s="661"/>
      <c r="T50" s="62"/>
      <c r="U50" s="660" t="s">
        <v>105</v>
      </c>
      <c r="V50" s="660"/>
    </row>
    <row r="51" spans="2:24" ht="18" customHeight="1" thickBot="1">
      <c r="D51" s="223"/>
      <c r="E51" s="301" t="s">
        <v>3</v>
      </c>
      <c r="F51" s="304" t="s">
        <v>482</v>
      </c>
      <c r="G51" s="10"/>
      <c r="H51" s="10"/>
      <c r="I51" s="301" t="s">
        <v>3</v>
      </c>
      <c r="J51" s="304" t="s">
        <v>470</v>
      </c>
      <c r="K51" s="222"/>
      <c r="P51" s="34" t="s">
        <v>104</v>
      </c>
      <c r="Q51" s="35" t="s">
        <v>103</v>
      </c>
      <c r="R51" s="36" t="s">
        <v>104</v>
      </c>
      <c r="S51" s="35" t="s">
        <v>103</v>
      </c>
      <c r="T51" s="34" t="s">
        <v>119</v>
      </c>
      <c r="U51" s="34" t="s">
        <v>104</v>
      </c>
      <c r="V51" s="34" t="s">
        <v>103</v>
      </c>
    </row>
    <row r="52" spans="2:24" ht="29.25" customHeight="1" thickBot="1">
      <c r="D52" s="309" t="str">
        <f>"Forecasted flown activity 
(RPK)"</f>
        <v>Forecasted flown activity 
(RPK)</v>
      </c>
      <c r="E52" s="22"/>
      <c r="F52" s="197"/>
      <c r="G52" s="235" t="str">
        <f>IF(activity_approach=Catalogues!P2,"",IF(E23=TTW_avail,IF(F29&gt;0,IF(SUM(F52:F53)=0,"Please enter share of activity &lt;1,500km",""),""),IF(F28&gt;0,IF(SUM(F52:F53)=0,"Please enter share of activity &lt;1,500km",""),"")))</f>
        <v/>
      </c>
      <c r="I52" s="28"/>
      <c r="J52" s="88"/>
      <c r="K52" s="222"/>
      <c r="O52" s="81" t="s">
        <v>125</v>
      </c>
      <c r="P52" s="1">
        <f>IF($E$19=DED_only,0,(E52/activity_units)*F52)</f>
        <v>0</v>
      </c>
      <c r="Q52" s="60">
        <f>IF($E$19=DED_only,0,E52/(activity_units)*(1-F52))</f>
        <v>0</v>
      </c>
      <c r="R52" s="61"/>
      <c r="S52" s="60"/>
      <c r="T52" s="1"/>
      <c r="U52" s="1"/>
      <c r="V52" s="1"/>
    </row>
    <row r="53" spans="2:24" ht="29.25" customHeight="1" thickBot="1">
      <c r="D53" s="309" t="str">
        <f>"Forecasted flown activity 
(RTK)"</f>
        <v>Forecasted flown activity 
(RTK)</v>
      </c>
      <c r="E53" s="22"/>
      <c r="F53" s="197"/>
      <c r="H53" s="298" t="str">
        <f>"Forecasted dedicated cargo 
(RTK)"</f>
        <v>Forecasted dedicated cargo 
(RTK)</v>
      </c>
      <c r="I53" s="213"/>
      <c r="J53" s="197"/>
      <c r="K53" s="236" t="str">
        <f>IF(activity_approach=Catalogues!P2,"",IF(E23=TTW_avail,IF(J29&gt;0,IF(J53=0,"Please enter share of activity &lt;1,500km",""),""),IF(J28&gt;0,IF(J53=0,"Please enter share of activity &lt;1,500km",""),"")))</f>
        <v/>
      </c>
      <c r="O53" s="81" t="s">
        <v>126</v>
      </c>
      <c r="P53" s="40">
        <f>IF($E$19=DED_only,0,P52*activity_co)</f>
        <v>0</v>
      </c>
      <c r="Q53" s="58">
        <f>IF($E$19=DED_only,0,Q52*activity_co)</f>
        <v>0</v>
      </c>
      <c r="R53" s="38">
        <f>IF(E19=DED_only,0,(E53/activity_units)*F53)</f>
        <v>0</v>
      </c>
      <c r="S53" s="39">
        <f>IF(E19=DED_only,0,(E53/activity_units)*(1-F53))</f>
        <v>0</v>
      </c>
      <c r="T53" s="33">
        <f>IF($E$19=Catalogues!$AB$4,0,S53+R53)</f>
        <v>0</v>
      </c>
      <c r="U53" s="1">
        <f>IF($E$19=PAX_only,0,(I53/activity_units)*J53)</f>
        <v>0</v>
      </c>
      <c r="V53" s="33">
        <f>IF($E$19=PAX_only,0,(I53/activity_units)*(1-J53))</f>
        <v>0</v>
      </c>
    </row>
    <row r="54" spans="2:24">
      <c r="D54" s="226"/>
      <c r="E54" s="224"/>
      <c r="F54" s="224"/>
      <c r="H54" s="298"/>
      <c r="I54" s="224"/>
      <c r="J54" s="224"/>
      <c r="K54" s="222"/>
      <c r="P54" s="1"/>
      <c r="Q54" s="1"/>
      <c r="R54" s="1"/>
      <c r="S54" s="1"/>
      <c r="T54" s="1"/>
      <c r="U54" s="1"/>
      <c r="V54" s="1"/>
    </row>
    <row r="55" spans="2:24" ht="15.75" thickBot="1">
      <c r="D55" s="309" t="str">
        <f>"Total "&amp;target&amp;" RTK"</f>
        <v>Total  RTK</v>
      </c>
      <c r="E55" s="216">
        <f>(E52*Catalogues!$M$2)+E53</f>
        <v>0</v>
      </c>
      <c r="F55" s="216">
        <f>(F52*Catalogues!$M$2)+F53</f>
        <v>0</v>
      </c>
      <c r="H55" s="298"/>
      <c r="I55" s="216">
        <f>(I52*Catalogues!$M$2)+I53</f>
        <v>0</v>
      </c>
      <c r="J55" s="216">
        <f>(J52*Catalogues!$M$2)+J53</f>
        <v>0</v>
      </c>
      <c r="K55" s="222"/>
    </row>
    <row r="56" spans="2:24">
      <c r="D56" s="25"/>
      <c r="E56" s="26"/>
      <c r="F56" s="26"/>
      <c r="G56" s="26"/>
      <c r="H56" s="26"/>
      <c r="I56" s="26"/>
      <c r="J56" s="26"/>
      <c r="K56" s="87"/>
    </row>
    <row r="57" spans="2:24">
      <c r="D57" s="2"/>
      <c r="E57" s="207" t="str">
        <f>IF(activity_approach=Catalogues!P2,"",IF(E52&lt;E37,"Check! "&amp;target&amp;" year activity is less than "&amp;base&amp;" year",IF(E53&lt;E38,"Check! "&amp;target&amp;" year activity is less than "&amp;base&amp;" year","")))</f>
        <v/>
      </c>
      <c r="I57" s="207" t="str">
        <f>IF(activity_approach=Catalogues!P2,"",IF(I53&lt;I38,"Check! "&amp;target&amp;" year activity is less than "&amp;base&amp;" year",""))</f>
        <v/>
      </c>
    </row>
    <row r="58" spans="2:24" ht="19.5" customHeight="1"/>
    <row r="59" spans="2:24" ht="26.25" customHeight="1" thickBot="1">
      <c r="B59" s="317">
        <v>5</v>
      </c>
      <c r="C59" s="318" t="s">
        <v>576</v>
      </c>
      <c r="D59" s="249"/>
      <c r="E59" s="249"/>
      <c r="F59" s="249"/>
      <c r="G59" s="249"/>
      <c r="H59" s="249"/>
      <c r="I59" s="249"/>
      <c r="J59" s="249"/>
      <c r="K59" s="249"/>
      <c r="L59" s="249"/>
      <c r="M59" s="249"/>
      <c r="N59" s="249"/>
      <c r="O59" s="249"/>
      <c r="P59" s="249"/>
      <c r="Q59" s="249"/>
      <c r="R59" s="249"/>
      <c r="S59" s="249"/>
      <c r="T59" s="249"/>
      <c r="U59" s="249"/>
      <c r="V59" s="249"/>
      <c r="W59" s="249"/>
      <c r="X59" s="249"/>
    </row>
    <row r="60" spans="2:24" ht="26.1" customHeight="1"/>
    <row r="61" spans="2:24" ht="31.7" customHeight="1">
      <c r="F61" s="1"/>
      <c r="H61" s="658"/>
      <c r="I61" s="658"/>
      <c r="J61" s="658"/>
      <c r="K61" s="211"/>
    </row>
    <row r="62" spans="2:24" ht="18.75">
      <c r="D62" s="23"/>
      <c r="E62" s="208"/>
      <c r="F62" s="311"/>
      <c r="H62" s="658"/>
      <c r="I62" s="658"/>
      <c r="J62" s="658"/>
    </row>
    <row r="63" spans="2:24"/>
    <row r="64" spans="2:24"/>
    <row r="65"/>
    <row r="66"/>
    <row r="67"/>
    <row r="68"/>
    <row r="69"/>
    <row r="70"/>
    <row r="71"/>
    <row r="72"/>
    <row r="73"/>
    <row r="74"/>
    <row r="75"/>
    <row r="76"/>
    <row r="77"/>
    <row r="78"/>
    <row r="79"/>
    <row r="80"/>
    <row r="81" spans="2:15"/>
    <row r="82" spans="2:15" ht="20.100000000000001" customHeight="1"/>
    <row r="83" spans="2:15" ht="34.5" customHeight="1"/>
    <row r="84" spans="2:15" ht="26.25" customHeight="1"/>
    <row r="85" spans="2:15" ht="30">
      <c r="B85" s="667" t="str">
        <f>"Target results | "&amp;E16</f>
        <v>Target results | 1.5°C (Interim)</v>
      </c>
      <c r="C85" s="667"/>
      <c r="D85" s="667"/>
      <c r="E85" s="239" t="str">
        <f>"Base year 
("&amp;base&amp;")"</f>
        <v>Base year 
(2019)</v>
      </c>
      <c r="F85" s="239" t="str">
        <f>"Target year 
("&amp;target&amp;")"</f>
        <v>Target year 
()</v>
      </c>
      <c r="G85" s="239" t="str">
        <f>"% Reduction ("&amp;base&amp;"-"&amp;target&amp;")"</f>
        <v>% Reduction (2019-)</v>
      </c>
      <c r="H85" s="239" t="str">
        <f>"Average linear reduction rate 
("&amp;base&amp;"-"&amp;target&amp;")"</f>
        <v>Average linear reduction rate 
(2019-)</v>
      </c>
      <c r="I85" s="239" t="str">
        <f>"CAGR
("&amp;base&amp;"-"&amp;target&amp;")"</f>
        <v>CAGR
(2019-)</v>
      </c>
      <c r="J85" s="305"/>
    </row>
    <row r="86" spans="2:15" ht="26.25" customHeight="1" thickBot="1">
      <c r="B86" s="314"/>
      <c r="C86" s="314"/>
      <c r="D86" s="324" t="str">
        <f>company&amp;" carbon intensity"&amp;" (gCO2e/RTK)"</f>
        <v xml:space="preserve"> carbon intensity (gCO2e/RTK)</v>
      </c>
      <c r="E86" s="315" t="str">
        <f ca="1">IFERROR(INDEX(Calculations!E90:CL95,4,MATCH(base,Calculations!E90:CL90,0)),"")</f>
        <v/>
      </c>
      <c r="F86" s="315" t="str">
        <f>IFERROR(INDEX(Calculations!E90:CL95,4,MATCH(target,Calculations!E90:CL90,0)),"")</f>
        <v/>
      </c>
      <c r="G86" s="316" t="str">
        <f ca="1">IFERROR((F86/E86)-1,"")</f>
        <v/>
      </c>
      <c r="H86" s="316" t="str">
        <f ca="1">IFERROR((G86/(target-base)),"")</f>
        <v/>
      </c>
      <c r="I86" s="316" t="str">
        <f ca="1">IFERROR((F86/E86)^(1/(target-base))-1,"")</f>
        <v/>
      </c>
    </row>
    <row r="87" spans="2:15" ht="26.25" customHeight="1" thickTop="1" thickBot="1">
      <c r="B87" s="314"/>
      <c r="C87" s="314"/>
      <c r="D87" s="324" t="str">
        <f>"Sector carbon intensity"&amp;" (gCO2e/RTK)"</f>
        <v>Sector carbon intensity (gCO2e/RTK)</v>
      </c>
      <c r="E87" s="315" t="str">
        <f ca="1">IFERROR(INDEX(Calculations!E90:AN96,7,MATCH(base,Calculations!E90:AN90,0)),"")</f>
        <v/>
      </c>
      <c r="F87" s="315" t="str">
        <f>IFERROR(INDEX(Calculations!E90:AN96,7,MATCH(target,Calculations!E90:AN90,0)),"")</f>
        <v/>
      </c>
      <c r="G87" s="316" t="str">
        <f ca="1">IFERROR((F87/E87)-1,"")</f>
        <v/>
      </c>
      <c r="H87" s="316" t="str">
        <f ca="1">IFERROR((G87/(target-base)),"")</f>
        <v/>
      </c>
      <c r="I87" s="316" t="str">
        <f ca="1">IFERROR((F87/E87)^(1/(target-base))-1,"")</f>
        <v/>
      </c>
    </row>
    <row r="88" spans="2:15" ht="26.25" customHeight="1" thickTop="1" thickBot="1">
      <c r="B88" s="314"/>
      <c r="C88" s="314"/>
      <c r="D88" s="324" t="str">
        <f>company&amp;" absolute emissions"&amp;" (MTCO2e)"</f>
        <v xml:space="preserve"> absolute emissions (MTCO2e)</v>
      </c>
      <c r="E88" s="315">
        <f ca="1">INDEX(Calculations!E90:CL95,2,MATCH(base, Calculations!E90:CL90,0))</f>
        <v>0</v>
      </c>
      <c r="F88" s="315" t="str">
        <f>IFERROR(INDEX(Calculations!E90:CL95,2,MATCH(target, Calculations!E90:CL90,0)),"")</f>
        <v/>
      </c>
      <c r="G88" s="316" t="str">
        <f ca="1">IFERROR((F88/E88)-1,"")</f>
        <v/>
      </c>
      <c r="H88" s="316" t="str">
        <f ca="1">IFERROR((G88/(target-base)),"")</f>
        <v/>
      </c>
      <c r="I88" s="316" t="str">
        <f ca="1">IFERROR((F88/E88)^(1/(target-base))-1,"")</f>
        <v/>
      </c>
    </row>
    <row r="89" spans="2:15" ht="22.5" customHeight="1" thickTop="1"/>
    <row r="90" spans="2:15" s="82" customFormat="1" ht="22.5" customHeight="1">
      <c r="O90" s="83"/>
    </row>
    <row r="91" spans="2:15" ht="43.7" customHeight="1">
      <c r="E91"/>
    </row>
    <row r="92" spans="2:15" ht="21" thickBot="1">
      <c r="D92" s="318" t="str">
        <f>"Additional graphs | "&amp;E16</f>
        <v>Additional graphs | 1.5°C (Interim)</v>
      </c>
      <c r="E92" s="318"/>
      <c r="F92" s="318"/>
      <c r="G92" s="318"/>
      <c r="H92" s="318"/>
      <c r="I92" s="318"/>
      <c r="J92" s="318"/>
    </row>
    <row r="93" spans="2:15">
      <c r="E93"/>
    </row>
    <row r="94" spans="2:15"/>
    <row r="95" spans="2:15"/>
    <row r="96" spans="2:15"/>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spans="1:24"/>
    <row r="146" spans="1:24"/>
    <row r="147" spans="1:24"/>
    <row r="148" spans="1:24">
      <c r="A148" s="82"/>
      <c r="B148" s="82"/>
      <c r="C148" s="82"/>
      <c r="D148" s="82"/>
      <c r="E148" s="82"/>
      <c r="F148" s="82"/>
      <c r="G148" s="82"/>
      <c r="H148" s="82"/>
      <c r="I148" s="82"/>
      <c r="J148" s="82"/>
      <c r="K148" s="82"/>
      <c r="L148" s="82"/>
      <c r="M148" s="82"/>
      <c r="N148" s="82"/>
      <c r="O148" s="83"/>
      <c r="P148" s="82"/>
      <c r="Q148" s="82"/>
      <c r="R148" s="82"/>
      <c r="S148" s="82"/>
      <c r="T148" s="82"/>
      <c r="U148" s="82"/>
      <c r="V148" s="82"/>
      <c r="W148" s="82"/>
      <c r="X148" s="82"/>
    </row>
    <row r="149" spans="1:24">
      <c r="E149"/>
    </row>
    <row r="150" spans="1:24" ht="21" thickBot="1">
      <c r="D150" s="318" t="str">
        <f>"Target data tables | "&amp;E16</f>
        <v>Target data tables | 1.5°C (Interim)</v>
      </c>
      <c r="E150" s="318"/>
      <c r="F150" s="318"/>
      <c r="G150" s="318"/>
      <c r="H150" s="318"/>
      <c r="I150" s="318"/>
      <c r="J150" s="318"/>
    </row>
    <row r="151" spans="1:24"/>
    <row r="152" spans="1:24" ht="30">
      <c r="D152" s="312" t="s">
        <v>479</v>
      </c>
      <c r="E152" s="312" t="s">
        <v>480</v>
      </c>
      <c r="F152" s="312" t="s">
        <v>602</v>
      </c>
      <c r="G152" s="312" t="s">
        <v>481</v>
      </c>
      <c r="H152" s="321"/>
    </row>
    <row r="153" spans="1:24">
      <c r="D153" s="313">
        <v>2015</v>
      </c>
      <c r="E153" s="257" t="str">
        <f>IFERROR(INDEX(Calculations!$A$90:$AN$98,4,MATCH(Airlines!D153,Calculations!$A$90:$AN$90,0)),"")</f>
        <v/>
      </c>
      <c r="F153" s="257" t="str">
        <f>IFERROR(INDEX(Calculations!$A$90:$AN$98,2,MATCH(Airlines!D153,Calculations!$A$90:$AN$90,0)),"")</f>
        <v/>
      </c>
      <c r="G153" s="257" t="str">
        <f>IFERROR(INDEX(Calculations!$A$90:$AN$98,7,MATCH(Airlines!D153,Calculations!$A$90:$AN$90,0)),"")</f>
        <v/>
      </c>
      <c r="H153" s="320" t="str">
        <f t="shared" ref="H153:H188" si="1">IF(D153&gt;=covid_start, IF(D153&lt;covid_recovery,"&lt;- Data not shown due to COVID irregularity",IF(D153=target,"&lt;- Target Year Data",IF(D153=base,"&lt;- Base Year Data",""))),IF(D153=target,"&lt;- Target Year Data",IF(D153=base,"&lt;- Base Year Data","")))</f>
        <v/>
      </c>
    </row>
    <row r="154" spans="1:24">
      <c r="D154" s="313">
        <v>2016</v>
      </c>
      <c r="E154" s="257" t="str">
        <f>IFERROR(INDEX(Calculations!$A$90:$AN$98,4,MATCH(Airlines!D154,Calculations!$A$90:$AN$90,0)),"")</f>
        <v/>
      </c>
      <c r="F154" s="257" t="str">
        <f>IFERROR(INDEX(Calculations!$A$90:$AN$98,2,MATCH(Airlines!D154,Calculations!$A$90:$AN$90,0)),"")</f>
        <v/>
      </c>
      <c r="G154" s="257" t="str">
        <f>IFERROR(INDEX(Calculations!$A$90:$AN$98,7,MATCH(Airlines!D154,Calculations!$A$90:$AN$90,0)),"")</f>
        <v/>
      </c>
      <c r="H154" s="320" t="str">
        <f t="shared" si="1"/>
        <v/>
      </c>
    </row>
    <row r="155" spans="1:24">
      <c r="D155" s="313">
        <v>2017</v>
      </c>
      <c r="E155" s="257" t="str">
        <f>IFERROR(INDEX(Calculations!$A$90:$AN$98,4,MATCH(Airlines!D155,Calculations!$A$90:$AN$90,0)),"")</f>
        <v/>
      </c>
      <c r="F155" s="257" t="str">
        <f>IFERROR(INDEX(Calculations!$A$90:$AN$98,2,MATCH(Airlines!D155,Calculations!$A$90:$AN$90,0)),"")</f>
        <v/>
      </c>
      <c r="G155" s="257" t="str">
        <f>IFERROR(INDEX(Calculations!$A$90:$AN$98,7,MATCH(Airlines!D155,Calculations!$A$90:$AN$90,0)),"")</f>
        <v/>
      </c>
      <c r="H155" s="320" t="str">
        <f t="shared" si="1"/>
        <v/>
      </c>
    </row>
    <row r="156" spans="1:24">
      <c r="D156" s="313">
        <v>2018</v>
      </c>
      <c r="E156" s="257" t="str">
        <f>IFERROR(INDEX(Calculations!$A$90:$AN$98,4,MATCH(Airlines!D156,Calculations!$A$90:$AN$90,0)),"")</f>
        <v/>
      </c>
      <c r="F156" s="257" t="str">
        <f>IFERROR(INDEX(Calculations!$A$90:$AN$98,2,MATCH(Airlines!D156,Calculations!$A$90:$AN$90,0)),"")</f>
        <v/>
      </c>
      <c r="G156" s="257" t="str">
        <f>IFERROR(INDEX(Calculations!$A$90:$AN$98,7,MATCH(Airlines!D156,Calculations!$A$90:$AN$90,0)),"")</f>
        <v/>
      </c>
      <c r="H156" s="320" t="str">
        <f t="shared" si="1"/>
        <v/>
      </c>
    </row>
    <row r="157" spans="1:24">
      <c r="D157" s="313">
        <v>2019</v>
      </c>
      <c r="E157" s="257" t="str">
        <f ca="1">IFERROR(INDEX(Calculations!$A$90:$AN$98,4,MATCH(Airlines!D157,Calculations!$A$90:$AN$90,0)),"")</f>
        <v/>
      </c>
      <c r="F157" s="257">
        <f ca="1">IFERROR(INDEX(Calculations!$A$90:$AN$98,2,MATCH(Airlines!D157,Calculations!$A$90:$AN$90,0)),"")</f>
        <v>0</v>
      </c>
      <c r="G157" s="257" t="str">
        <f ca="1">IFERROR(INDEX(Calculations!$A$90:$AN$98,7,MATCH(Airlines!D157,Calculations!$A$90:$AN$90,0)),"")</f>
        <v/>
      </c>
      <c r="H157" s="320" t="str">
        <f t="shared" si="1"/>
        <v>&lt;- Base Year Data</v>
      </c>
    </row>
    <row r="158" spans="1:24">
      <c r="D158" s="313">
        <v>2020</v>
      </c>
      <c r="E158" s="257" t="str">
        <f>IFERROR(INDEX(Calculations!$A$90:$AN$98,4,MATCH(Airlines!D158,Calculations!$A$90:$AN$90,0)),"")</f>
        <v/>
      </c>
      <c r="F158" s="257" t="str">
        <f>IFERROR(INDEX(Calculations!$A$90:$AN$98,2,MATCH(Airlines!D158,Calculations!$A$90:$AN$90,0)),"")</f>
        <v/>
      </c>
      <c r="G158" s="257" t="str">
        <f ca="1">IFERROR(INDEX(Calculations!$A$90:$AN$98,7,MATCH(Airlines!D158,Calculations!$A$90:$AN$90,0)),"")</f>
        <v/>
      </c>
      <c r="H158" s="320" t="str">
        <f t="shared" si="1"/>
        <v>&lt;- Data not shown due to COVID irregularity</v>
      </c>
    </row>
    <row r="159" spans="1:24">
      <c r="D159" s="313">
        <v>2021</v>
      </c>
      <c r="E159" s="257" t="str">
        <f>IFERROR(INDEX(Calculations!$A$90:$AN$98,4,MATCH(Airlines!D159,Calculations!$A$90:$AN$90,0)),"")</f>
        <v/>
      </c>
      <c r="F159" s="257" t="str">
        <f>IFERROR(INDEX(Calculations!$A$90:$AN$98,2,MATCH(Airlines!D159,Calculations!$A$90:$AN$90,0)),"")</f>
        <v/>
      </c>
      <c r="G159" s="257" t="str">
        <f ca="1">IFERROR(INDEX(Calculations!$A$90:$AN$98,7,MATCH(Airlines!D159,Calculations!$A$90:$AN$90,0)),"")</f>
        <v/>
      </c>
      <c r="H159" s="320" t="str">
        <f t="shared" si="1"/>
        <v>&lt;- Data not shown due to COVID irregularity</v>
      </c>
    </row>
    <row r="160" spans="1:24">
      <c r="D160" s="313">
        <v>2022</v>
      </c>
      <c r="E160" s="257" t="str">
        <f>IFERROR(INDEX(Calculations!$A$90:$AN$98,4,MATCH(Airlines!D160,Calculations!$A$90:$AN$90,0)),"")</f>
        <v/>
      </c>
      <c r="F160" s="257" t="str">
        <f>IFERROR(INDEX(Calculations!$A$90:$AN$98,2,MATCH(Airlines!D160,Calculations!$A$90:$AN$90,0)),"")</f>
        <v/>
      </c>
      <c r="G160" s="257" t="str">
        <f ca="1">IFERROR(INDEX(Calculations!$A$90:$AN$98,7,MATCH(Airlines!D160,Calculations!$A$90:$AN$90,0)),"")</f>
        <v/>
      </c>
      <c r="H160" s="320" t="str">
        <f t="shared" si="1"/>
        <v>&lt;- Data not shown due to COVID irregularity</v>
      </c>
    </row>
    <row r="161" spans="4:8">
      <c r="D161" s="313">
        <v>2023</v>
      </c>
      <c r="E161" s="257" t="str">
        <f ca="1">IFERROR(INDEX(Calculations!$A$90:$AN$98,4,MATCH(Airlines!D161,Calculations!$A$90:$AN$90,0)),"")</f>
        <v/>
      </c>
      <c r="F161" s="257">
        <f ca="1">IFERROR(INDEX(Calculations!$A$90:$AN$98,2,MATCH(Airlines!D161,Calculations!$A$90:$AN$90,0)),"")</f>
        <v>0</v>
      </c>
      <c r="G161" s="257" t="str">
        <f ca="1">IFERROR(INDEX(Calculations!$A$90:$AN$98,7,MATCH(Airlines!D161,Calculations!$A$90:$AN$90,0)),"")</f>
        <v/>
      </c>
      <c r="H161" s="320" t="str">
        <f t="shared" si="1"/>
        <v/>
      </c>
    </row>
    <row r="162" spans="4:8">
      <c r="D162" s="313">
        <v>2024</v>
      </c>
      <c r="E162" s="257" t="str">
        <f ca="1">IFERROR(INDEX(Calculations!$A$90:$AN$98,4,MATCH(Airlines!D162,Calculations!$A$90:$AN$90,0)),"")</f>
        <v/>
      </c>
      <c r="F162" s="257">
        <f ca="1">IFERROR(INDEX(Calculations!$A$90:$AN$98,2,MATCH(Airlines!D162,Calculations!$A$90:$AN$90,0)),"")</f>
        <v>0</v>
      </c>
      <c r="G162" s="257" t="str">
        <f ca="1">IFERROR(INDEX(Calculations!$A$90:$AN$98,7,MATCH(Airlines!D162,Calculations!$A$90:$AN$90,0)),"")</f>
        <v/>
      </c>
      <c r="H162" s="320" t="str">
        <f t="shared" si="1"/>
        <v/>
      </c>
    </row>
    <row r="163" spans="4:8">
      <c r="D163" s="313">
        <v>2025</v>
      </c>
      <c r="E163" s="257" t="str">
        <f ca="1">IFERROR(INDEX(Calculations!$A$90:$AN$98,4,MATCH(Airlines!D163,Calculations!$A$90:$AN$90,0)),"")</f>
        <v/>
      </c>
      <c r="F163" s="257">
        <f ca="1">IFERROR(INDEX(Calculations!$A$90:$AN$98,2,MATCH(Airlines!D163,Calculations!$A$90:$AN$90,0)),"")</f>
        <v>0</v>
      </c>
      <c r="G163" s="257" t="str">
        <f ca="1">IFERROR(INDEX(Calculations!$A$90:$AN$98,7,MATCH(Airlines!D163,Calculations!$A$90:$AN$90,0)),"")</f>
        <v/>
      </c>
      <c r="H163" s="320" t="str">
        <f t="shared" si="1"/>
        <v/>
      </c>
    </row>
    <row r="164" spans="4:8">
      <c r="D164" s="313">
        <v>2026</v>
      </c>
      <c r="E164" s="257" t="str">
        <f ca="1">IFERROR(INDEX(Calculations!$A$90:$AN$98,4,MATCH(Airlines!D164,Calculations!$A$90:$AN$90,0)),"")</f>
        <v/>
      </c>
      <c r="F164" s="257">
        <f ca="1">IFERROR(INDEX(Calculations!$A$90:$AN$98,2,MATCH(Airlines!D164,Calculations!$A$90:$AN$90,0)),"")</f>
        <v>0</v>
      </c>
      <c r="G164" s="257" t="str">
        <f ca="1">IFERROR(INDEX(Calculations!$A$90:$AN$98,7,MATCH(Airlines!D164,Calculations!$A$90:$AN$90,0)),"")</f>
        <v/>
      </c>
      <c r="H164" s="320" t="str">
        <f t="shared" si="1"/>
        <v/>
      </c>
    </row>
    <row r="165" spans="4:8">
      <c r="D165" s="313">
        <v>2027</v>
      </c>
      <c r="E165" s="257" t="str">
        <f ca="1">IFERROR(INDEX(Calculations!$A$90:$AN$98,4,MATCH(Airlines!D165,Calculations!$A$90:$AN$90,0)),"")</f>
        <v/>
      </c>
      <c r="F165" s="257">
        <f ca="1">IFERROR(INDEX(Calculations!$A$90:$AN$98,2,MATCH(Airlines!D165,Calculations!$A$90:$AN$90,0)),"")</f>
        <v>0</v>
      </c>
      <c r="G165" s="257" t="str">
        <f ca="1">IFERROR(INDEX(Calculations!$A$90:$AN$98,7,MATCH(Airlines!D165,Calculations!$A$90:$AN$90,0)),"")</f>
        <v/>
      </c>
      <c r="H165" s="320" t="str">
        <f t="shared" si="1"/>
        <v/>
      </c>
    </row>
    <row r="166" spans="4:8">
      <c r="D166" s="313">
        <v>2028</v>
      </c>
      <c r="E166" s="257" t="str">
        <f ca="1">IFERROR(INDEX(Calculations!$A$90:$AN$98,4,MATCH(Airlines!D166,Calculations!$A$90:$AN$90,0)),"")</f>
        <v/>
      </c>
      <c r="F166" s="257">
        <f ca="1">IFERROR(INDEX(Calculations!$A$90:$AN$98,2,MATCH(Airlines!D166,Calculations!$A$90:$AN$90,0)),"")</f>
        <v>0</v>
      </c>
      <c r="G166" s="257" t="str">
        <f ca="1">IFERROR(INDEX(Calculations!$A$90:$AN$98,7,MATCH(Airlines!D166,Calculations!$A$90:$AN$90,0)),"")</f>
        <v/>
      </c>
      <c r="H166" s="320" t="str">
        <f t="shared" si="1"/>
        <v/>
      </c>
    </row>
    <row r="167" spans="4:8">
      <c r="D167" s="313">
        <v>2029</v>
      </c>
      <c r="E167" s="257" t="str">
        <f ca="1">IFERROR(INDEX(Calculations!$A$90:$AN$98,4,MATCH(Airlines!D167,Calculations!$A$90:$AN$90,0)),"")</f>
        <v/>
      </c>
      <c r="F167" s="257">
        <f ca="1">IFERROR(INDEX(Calculations!$A$90:$AN$98,2,MATCH(Airlines!D167,Calculations!$A$90:$AN$90,0)),"")</f>
        <v>0</v>
      </c>
      <c r="G167" s="257" t="str">
        <f ca="1">IFERROR(INDEX(Calculations!$A$90:$AN$98,7,MATCH(Airlines!D167,Calculations!$A$90:$AN$90,0)),"")</f>
        <v/>
      </c>
      <c r="H167" s="320" t="str">
        <f t="shared" si="1"/>
        <v/>
      </c>
    </row>
    <row r="168" spans="4:8">
      <c r="D168" s="313">
        <v>2030</v>
      </c>
      <c r="E168" s="257" t="str">
        <f ca="1">IFERROR(INDEX(Calculations!$A$90:$AN$98,4,MATCH(Airlines!D168,Calculations!$A$90:$AN$90,0)),"")</f>
        <v/>
      </c>
      <c r="F168" s="257">
        <f ca="1">IFERROR(INDEX(Calculations!$A$90:$AN$98,2,MATCH(Airlines!D168,Calculations!$A$90:$AN$90,0)),"")</f>
        <v>0</v>
      </c>
      <c r="G168" s="257" t="str">
        <f ca="1">IFERROR(INDEX(Calculations!$A$90:$AN$98,7,MATCH(Airlines!D168,Calculations!$A$90:$AN$90,0)),"")</f>
        <v/>
      </c>
      <c r="H168" s="320" t="str">
        <f t="shared" si="1"/>
        <v/>
      </c>
    </row>
    <row r="169" spans="4:8">
      <c r="D169" s="313">
        <v>2031</v>
      </c>
      <c r="E169" s="257" t="str">
        <f ca="1">IFERROR(INDEX(Calculations!$A$90:$AN$98,4,MATCH(Airlines!D169,Calculations!$A$90:$AN$90,0)),"")</f>
        <v/>
      </c>
      <c r="F169" s="257">
        <f ca="1">IFERROR(INDEX(Calculations!$A$90:$AN$98,2,MATCH(Airlines!D169,Calculations!$A$90:$AN$90,0)),"")</f>
        <v>0</v>
      </c>
      <c r="G169" s="257" t="str">
        <f ca="1">IFERROR(INDEX(Calculations!$A$90:$AN$98,7,MATCH(Airlines!D169,Calculations!$A$90:$AN$90,0)),"")</f>
        <v/>
      </c>
      <c r="H169" s="320" t="str">
        <f t="shared" si="1"/>
        <v/>
      </c>
    </row>
    <row r="170" spans="4:8">
      <c r="D170" s="313">
        <v>2032</v>
      </c>
      <c r="E170" s="257" t="str">
        <f ca="1">IFERROR(INDEX(Calculations!$A$90:$AN$98,4,MATCH(Airlines!D170,Calculations!$A$90:$AN$90,0)),"")</f>
        <v/>
      </c>
      <c r="F170" s="257">
        <f ca="1">IFERROR(INDEX(Calculations!$A$90:$AN$98,2,MATCH(Airlines!D170,Calculations!$A$90:$AN$90,0)),"")</f>
        <v>0</v>
      </c>
      <c r="G170" s="257" t="str">
        <f ca="1">IFERROR(INDEX(Calculations!$A$90:$AN$98,7,MATCH(Airlines!D170,Calculations!$A$90:$AN$90,0)),"")</f>
        <v/>
      </c>
      <c r="H170" s="320" t="str">
        <f t="shared" si="1"/>
        <v/>
      </c>
    </row>
    <row r="171" spans="4:8">
      <c r="D171" s="313">
        <v>2033</v>
      </c>
      <c r="E171" s="257" t="str">
        <f ca="1">IFERROR(INDEX(Calculations!$A$90:$AN$98,4,MATCH(Airlines!D171,Calculations!$A$90:$AN$90,0)),"")</f>
        <v/>
      </c>
      <c r="F171" s="257">
        <f ca="1">IFERROR(INDEX(Calculations!$A$90:$AN$98,2,MATCH(Airlines!D171,Calculations!$A$90:$AN$90,0)),"")</f>
        <v>0</v>
      </c>
      <c r="G171" s="257" t="str">
        <f ca="1">IFERROR(INDEX(Calculations!$A$90:$AN$98,7,MATCH(Airlines!D171,Calculations!$A$90:$AN$90,0)),"")</f>
        <v/>
      </c>
      <c r="H171" s="320" t="str">
        <f t="shared" si="1"/>
        <v/>
      </c>
    </row>
    <row r="172" spans="4:8">
      <c r="D172" s="313">
        <v>2034</v>
      </c>
      <c r="E172" s="257" t="str">
        <f ca="1">IFERROR(INDEX(Calculations!$A$90:$AN$98,4,MATCH(Airlines!D172,Calculations!$A$90:$AN$90,0)),"")</f>
        <v/>
      </c>
      <c r="F172" s="257">
        <f ca="1">IFERROR(INDEX(Calculations!$A$90:$AN$98,2,MATCH(Airlines!D172,Calculations!$A$90:$AN$90,0)),"")</f>
        <v>0</v>
      </c>
      <c r="G172" s="257" t="str">
        <f ca="1">IFERROR(INDEX(Calculations!$A$90:$AN$98,7,MATCH(Airlines!D172,Calculations!$A$90:$AN$90,0)),"")</f>
        <v/>
      </c>
      <c r="H172" s="320" t="str">
        <f t="shared" si="1"/>
        <v/>
      </c>
    </row>
    <row r="173" spans="4:8">
      <c r="D173" s="313">
        <v>2035</v>
      </c>
      <c r="E173" s="257" t="str">
        <f ca="1">IFERROR(INDEX(Calculations!$A$90:$AN$98,4,MATCH(Airlines!D173,Calculations!$A$90:$AN$90,0)),"")</f>
        <v/>
      </c>
      <c r="F173" s="257">
        <f ca="1">IFERROR(INDEX(Calculations!$A$90:$AN$98,2,MATCH(Airlines!D173,Calculations!$A$90:$AN$90,0)),"")</f>
        <v>0</v>
      </c>
      <c r="G173" s="257" t="str">
        <f ca="1">IFERROR(INDEX(Calculations!$A$90:$AN$98,7,MATCH(Airlines!D173,Calculations!$A$90:$AN$90,0)),"")</f>
        <v/>
      </c>
      <c r="H173" s="320" t="str">
        <f t="shared" si="1"/>
        <v/>
      </c>
    </row>
    <row r="174" spans="4:8">
      <c r="D174" s="313">
        <v>2036</v>
      </c>
      <c r="E174" s="257" t="str">
        <f ca="1">IFERROR(INDEX(Calculations!$A$90:$AN$98,4,MATCH(Airlines!D174,Calculations!$A$90:$AN$90,0)),"")</f>
        <v/>
      </c>
      <c r="F174" s="257">
        <f ca="1">IFERROR(INDEX(Calculations!$A$90:$AN$98,2,MATCH(Airlines!D174,Calculations!$A$90:$AN$90,0)),"")</f>
        <v>0</v>
      </c>
      <c r="G174" s="257" t="str">
        <f ca="1">IFERROR(INDEX(Calculations!$A$90:$AN$98,7,MATCH(Airlines!D174,Calculations!$A$90:$AN$90,0)),"")</f>
        <v/>
      </c>
      <c r="H174" s="320" t="str">
        <f t="shared" si="1"/>
        <v/>
      </c>
    </row>
    <row r="175" spans="4:8">
      <c r="D175" s="313">
        <v>2037</v>
      </c>
      <c r="E175" s="257" t="str">
        <f ca="1">IFERROR(INDEX(Calculations!$A$90:$AN$98,4,MATCH(Airlines!D175,Calculations!$A$90:$AN$90,0)),"")</f>
        <v/>
      </c>
      <c r="F175" s="257">
        <f ca="1">IFERROR(INDEX(Calculations!$A$90:$AN$98,2,MATCH(Airlines!D175,Calculations!$A$90:$AN$90,0)),"")</f>
        <v>0</v>
      </c>
      <c r="G175" s="257" t="str">
        <f ca="1">IFERROR(INDEX(Calculations!$A$90:$AN$98,7,MATCH(Airlines!D175,Calculations!$A$90:$AN$90,0)),"")</f>
        <v/>
      </c>
      <c r="H175" s="320" t="str">
        <f t="shared" si="1"/>
        <v/>
      </c>
    </row>
    <row r="176" spans="4:8">
      <c r="D176" s="313">
        <v>2038</v>
      </c>
      <c r="E176" s="257" t="str">
        <f ca="1">IFERROR(INDEX(Calculations!$A$90:$AN$98,4,MATCH(Airlines!D176,Calculations!$A$90:$AN$90,0)),"")</f>
        <v/>
      </c>
      <c r="F176" s="257">
        <f ca="1">IFERROR(INDEX(Calculations!$A$90:$AN$98,2,MATCH(Airlines!D176,Calculations!$A$90:$AN$90,0)),"")</f>
        <v>0</v>
      </c>
      <c r="G176" s="257" t="str">
        <f ca="1">IFERROR(INDEX(Calculations!$A$90:$AN$98,7,MATCH(Airlines!D176,Calculations!$A$90:$AN$90,0)),"")</f>
        <v/>
      </c>
      <c r="H176" s="320" t="str">
        <f t="shared" si="1"/>
        <v/>
      </c>
    </row>
    <row r="177" spans="4:8">
      <c r="D177" s="313">
        <v>2039</v>
      </c>
      <c r="E177" s="257" t="str">
        <f ca="1">IFERROR(INDEX(Calculations!$A$90:$AN$98,4,MATCH(Airlines!D177,Calculations!$A$90:$AN$90,0)),"")</f>
        <v/>
      </c>
      <c r="F177" s="257">
        <f ca="1">IFERROR(INDEX(Calculations!$A$90:$AN$98,2,MATCH(Airlines!D177,Calculations!$A$90:$AN$90,0)),"")</f>
        <v>0</v>
      </c>
      <c r="G177" s="257" t="str">
        <f ca="1">IFERROR(INDEX(Calculations!$A$90:$AN$98,7,MATCH(Airlines!D177,Calculations!$A$90:$AN$90,0)),"")</f>
        <v/>
      </c>
      <c r="H177" s="320" t="str">
        <f t="shared" si="1"/>
        <v/>
      </c>
    </row>
    <row r="178" spans="4:8">
      <c r="D178" s="313">
        <v>2040</v>
      </c>
      <c r="E178" s="257" t="str">
        <f ca="1">IFERROR(INDEX(Calculations!$A$90:$AN$98,4,MATCH(Airlines!D178,Calculations!$A$90:$AN$90,0)),"")</f>
        <v/>
      </c>
      <c r="F178" s="257">
        <f ca="1">IFERROR(INDEX(Calculations!$A$90:$AN$98,2,MATCH(Airlines!D178,Calculations!$A$90:$AN$90,0)),"")</f>
        <v>0</v>
      </c>
      <c r="G178" s="257" t="str">
        <f ca="1">IFERROR(INDEX(Calculations!$A$90:$AN$98,7,MATCH(Airlines!D178,Calculations!$A$90:$AN$90,0)),"")</f>
        <v/>
      </c>
      <c r="H178" s="320" t="str">
        <f t="shared" si="1"/>
        <v/>
      </c>
    </row>
    <row r="179" spans="4:8">
      <c r="D179" s="313">
        <v>2041</v>
      </c>
      <c r="E179" s="257" t="str">
        <f ca="1">IFERROR(INDEX(Calculations!$A$90:$AN$98,4,MATCH(Airlines!D179,Calculations!$A$90:$AN$90,0)),"")</f>
        <v/>
      </c>
      <c r="F179" s="257">
        <f ca="1">IFERROR(INDEX(Calculations!$A$90:$AN$98,2,MATCH(Airlines!D179,Calculations!$A$90:$AN$90,0)),"")</f>
        <v>0</v>
      </c>
      <c r="G179" s="257" t="str">
        <f ca="1">IFERROR(INDEX(Calculations!$A$90:$AN$98,7,MATCH(Airlines!D179,Calculations!$A$90:$AN$90,0)),"")</f>
        <v/>
      </c>
      <c r="H179" s="320" t="str">
        <f t="shared" si="1"/>
        <v/>
      </c>
    </row>
    <row r="180" spans="4:8">
      <c r="D180" s="313">
        <v>2042</v>
      </c>
      <c r="E180" s="257" t="str">
        <f ca="1">IFERROR(INDEX(Calculations!$A$90:$AN$98,4,MATCH(Airlines!D180,Calculations!$A$90:$AN$90,0)),"")</f>
        <v/>
      </c>
      <c r="F180" s="257">
        <f ca="1">IFERROR(INDEX(Calculations!$A$90:$AN$98,2,MATCH(Airlines!D180,Calculations!$A$90:$AN$90,0)),"")</f>
        <v>0</v>
      </c>
      <c r="G180" s="257" t="str">
        <f ca="1">IFERROR(INDEX(Calculations!$A$90:$AN$98,7,MATCH(Airlines!D180,Calculations!$A$90:$AN$90,0)),"")</f>
        <v/>
      </c>
      <c r="H180" s="320" t="str">
        <f t="shared" si="1"/>
        <v/>
      </c>
    </row>
    <row r="181" spans="4:8">
      <c r="D181" s="313">
        <v>2043</v>
      </c>
      <c r="E181" s="257" t="str">
        <f ca="1">IFERROR(INDEX(Calculations!$A$90:$AN$98,4,MATCH(Airlines!D181,Calculations!$A$90:$AN$90,0)),"")</f>
        <v/>
      </c>
      <c r="F181" s="257">
        <f ca="1">IFERROR(INDEX(Calculations!$A$90:$AN$98,2,MATCH(Airlines!D181,Calculations!$A$90:$AN$90,0)),"")</f>
        <v>0</v>
      </c>
      <c r="G181" s="257" t="str">
        <f ca="1">IFERROR(INDEX(Calculations!$A$90:$AN$98,7,MATCH(Airlines!D181,Calculations!$A$90:$AN$90,0)),"")</f>
        <v/>
      </c>
      <c r="H181" s="320" t="str">
        <f t="shared" si="1"/>
        <v/>
      </c>
    </row>
    <row r="182" spans="4:8">
      <c r="D182" s="313">
        <v>2044</v>
      </c>
      <c r="E182" s="257" t="str">
        <f ca="1">IFERROR(INDEX(Calculations!$A$90:$AN$98,4,MATCH(Airlines!D182,Calculations!$A$90:$AN$90,0)),"")</f>
        <v/>
      </c>
      <c r="F182" s="257">
        <f ca="1">IFERROR(INDEX(Calculations!$A$90:$AN$98,2,MATCH(Airlines!D182,Calculations!$A$90:$AN$90,0)),"")</f>
        <v>0</v>
      </c>
      <c r="G182" s="257" t="str">
        <f ca="1">IFERROR(INDEX(Calculations!$A$90:$AN$98,7,MATCH(Airlines!D182,Calculations!$A$90:$AN$90,0)),"")</f>
        <v/>
      </c>
      <c r="H182" s="320" t="str">
        <f t="shared" si="1"/>
        <v/>
      </c>
    </row>
    <row r="183" spans="4:8">
      <c r="D183" s="313">
        <v>2045</v>
      </c>
      <c r="E183" s="257" t="str">
        <f ca="1">IFERROR(INDEX(Calculations!$A$90:$AN$98,4,MATCH(Airlines!D183,Calculations!$A$90:$AN$90,0)),"")</f>
        <v/>
      </c>
      <c r="F183" s="257">
        <f ca="1">IFERROR(INDEX(Calculations!$A$90:$AN$98,2,MATCH(Airlines!D183,Calculations!$A$90:$AN$90,0)),"")</f>
        <v>0</v>
      </c>
      <c r="G183" s="257" t="str">
        <f ca="1">IFERROR(INDEX(Calculations!$A$90:$AN$98,7,MATCH(Airlines!D183,Calculations!$A$90:$AN$90,0)),"")</f>
        <v/>
      </c>
      <c r="H183" s="320" t="str">
        <f t="shared" si="1"/>
        <v/>
      </c>
    </row>
    <row r="184" spans="4:8">
      <c r="D184" s="313">
        <v>2046</v>
      </c>
      <c r="E184" s="257" t="str">
        <f ca="1">IFERROR(INDEX(Calculations!$A$90:$AN$98,4,MATCH(Airlines!D184,Calculations!$A$90:$AN$90,0)),"")</f>
        <v/>
      </c>
      <c r="F184" s="257">
        <f ca="1">IFERROR(INDEX(Calculations!$A$90:$AN$98,2,MATCH(Airlines!D184,Calculations!$A$90:$AN$90,0)),"")</f>
        <v>0</v>
      </c>
      <c r="G184" s="257" t="str">
        <f ca="1">IFERROR(INDEX(Calculations!$A$90:$AN$98,7,MATCH(Airlines!D184,Calculations!$A$90:$AN$90,0)),"")</f>
        <v/>
      </c>
      <c r="H184" s="320" t="str">
        <f t="shared" si="1"/>
        <v/>
      </c>
    </row>
    <row r="185" spans="4:8">
      <c r="D185" s="313">
        <v>2047</v>
      </c>
      <c r="E185" s="257" t="str">
        <f ca="1">IFERROR(INDEX(Calculations!$A$90:$AN$98,4,MATCH(Airlines!D185,Calculations!$A$90:$AN$90,0)),"")</f>
        <v/>
      </c>
      <c r="F185" s="257">
        <f ca="1">IFERROR(INDEX(Calculations!$A$90:$AN$98,2,MATCH(Airlines!D185,Calculations!$A$90:$AN$90,0)),"")</f>
        <v>0</v>
      </c>
      <c r="G185" s="257" t="str">
        <f ca="1">IFERROR(INDEX(Calculations!$A$90:$AN$98,7,MATCH(Airlines!D185,Calculations!$A$90:$AN$90,0)),"")</f>
        <v/>
      </c>
      <c r="H185" s="320" t="str">
        <f t="shared" si="1"/>
        <v/>
      </c>
    </row>
    <row r="186" spans="4:8">
      <c r="D186" s="313">
        <v>2048</v>
      </c>
      <c r="E186" s="257" t="str">
        <f ca="1">IFERROR(INDEX(Calculations!$A$90:$AN$98,4,MATCH(Airlines!D186,Calculations!$A$90:$AN$90,0)),"")</f>
        <v/>
      </c>
      <c r="F186" s="257">
        <f ca="1">IFERROR(INDEX(Calculations!$A$90:$AN$98,2,MATCH(Airlines!D186,Calculations!$A$90:$AN$90,0)),"")</f>
        <v>0</v>
      </c>
      <c r="G186" s="257" t="str">
        <f ca="1">IFERROR(INDEX(Calculations!$A$90:$AN$98,7,MATCH(Airlines!D186,Calculations!$A$90:$AN$90,0)),"")</f>
        <v/>
      </c>
      <c r="H186" s="320" t="str">
        <f t="shared" si="1"/>
        <v/>
      </c>
    </row>
    <row r="187" spans="4:8">
      <c r="D187" s="313">
        <v>2049</v>
      </c>
      <c r="E187" s="257" t="str">
        <f ca="1">IFERROR(INDEX(Calculations!$A$90:$AN$98,4,MATCH(Airlines!D187,Calculations!$A$90:$AN$90,0)),"")</f>
        <v/>
      </c>
      <c r="F187" s="257">
        <f ca="1">IFERROR(INDEX(Calculations!$A$90:$AN$98,2,MATCH(Airlines!D187,Calculations!$A$90:$AN$90,0)),"")</f>
        <v>0</v>
      </c>
      <c r="G187" s="257" t="str">
        <f ca="1">IFERROR(INDEX(Calculations!$A$90:$AN$98,7,MATCH(Airlines!D187,Calculations!$A$90:$AN$90,0)),"")</f>
        <v/>
      </c>
      <c r="H187" s="320" t="str">
        <f t="shared" si="1"/>
        <v/>
      </c>
    </row>
    <row r="188" spans="4:8">
      <c r="D188" s="313">
        <v>2050</v>
      </c>
      <c r="E188" s="257" t="str">
        <f ca="1">IFERROR(INDEX(Calculations!$A$90:$AN$98,4,MATCH(Airlines!D188,Calculations!$A$90:$AN$90,0)),"")</f>
        <v/>
      </c>
      <c r="F188" s="257">
        <f ca="1">IFERROR(INDEX(Calculations!$A$90:$AN$98,2,MATCH(Airlines!D188,Calculations!$A$90:$AN$90,0)),"")</f>
        <v>0</v>
      </c>
      <c r="G188" s="257" t="str">
        <f ca="1">IFERROR(INDEX(Calculations!$A$90:$AN$98,7,MATCH(Airlines!D188,Calculations!$A$90:$AN$90,0)),"")</f>
        <v/>
      </c>
      <c r="H188" s="320" t="str">
        <f t="shared" si="1"/>
        <v/>
      </c>
    </row>
    <row r="189" spans="4:8"/>
    <row r="190" spans="4:8"/>
    <row r="191" spans="4:8"/>
    <row r="192" spans="4:8"/>
  </sheetData>
  <sheetProtection algorithmName="SHA-512" hashValue="iRtHNAQfDX7hHEJiz1d6BMBihPAK0tQtjxZQxz6AmhNSb38B96BIR9MGj2H9JVJME+QwerqVWCRd7FJtNGrfug==" saltValue="2DMCw/JlEzYYRRk5ziIF9w==" spinCount="100000" sheet="1" objects="1" scenarios="1"/>
  <protectedRanges>
    <protectedRange sqref="A58:XFD58 E15:F19 E23 E28:F29 I28:J29 E37:F38 I38:J38 E45 E47 E52:F53 I53:J53" name="Own_Locked"/>
  </protectedRanges>
  <mergeCells count="26">
    <mergeCell ref="B85:D85"/>
    <mergeCell ref="I34:J34"/>
    <mergeCell ref="E15:F15"/>
    <mergeCell ref="E23:F23"/>
    <mergeCell ref="E34:F34"/>
    <mergeCell ref="E25:F25"/>
    <mergeCell ref="E19:F19"/>
    <mergeCell ref="E18:F18"/>
    <mergeCell ref="E17:F17"/>
    <mergeCell ref="E16:F16"/>
    <mergeCell ref="I50:J50"/>
    <mergeCell ref="B10:M11"/>
    <mergeCell ref="H61:J62"/>
    <mergeCell ref="O1:W1"/>
    <mergeCell ref="P50:Q50"/>
    <mergeCell ref="R50:S50"/>
    <mergeCell ref="U50:V50"/>
    <mergeCell ref="U25:V25"/>
    <mergeCell ref="P25:Q25"/>
    <mergeCell ref="P35:Q35"/>
    <mergeCell ref="R35:S35"/>
    <mergeCell ref="U35:V35"/>
    <mergeCell ref="R25:T25"/>
    <mergeCell ref="A1:M1"/>
    <mergeCell ref="I25:J25"/>
    <mergeCell ref="E50:F50"/>
  </mergeCells>
  <conditionalFormatting sqref="D49:K49 D51:H51 D50:E50 G50:H50 K50:K53 E53:J53 E52:F52 H52 I54:J54 E54:G54 D52:D55 D56:K56 H54:H55">
    <cfRule type="expression" dxfId="264" priority="111">
      <formula>$E$45="Enter Overall CAGR"</formula>
    </cfRule>
  </conditionalFormatting>
  <conditionalFormatting sqref="D47">
    <cfRule type="expression" dxfId="263" priority="110">
      <formula>$E$45="Input Activity Data Manually"</formula>
    </cfRule>
  </conditionalFormatting>
  <conditionalFormatting sqref="G52">
    <cfRule type="expression" dxfId="262" priority="87">
      <formula>$E$45="Enter Overall CAGR"</formula>
    </cfRule>
  </conditionalFormatting>
  <conditionalFormatting sqref="K54:K55">
    <cfRule type="expression" dxfId="261" priority="70">
      <formula>$E$45="Enter Overall CAGR"</formula>
    </cfRule>
  </conditionalFormatting>
  <conditionalFormatting sqref="D86:D87">
    <cfRule type="expression" dxfId="260" priority="63">
      <formula>ISTEXT($D$17)=FALSE</formula>
    </cfRule>
  </conditionalFormatting>
  <conditionalFormatting sqref="D88">
    <cfRule type="expression" dxfId="259" priority="61">
      <formula>ISTEXT($D$17)=FALSE</formula>
    </cfRule>
  </conditionalFormatting>
  <conditionalFormatting sqref="C86">
    <cfRule type="expression" dxfId="258" priority="59">
      <formula>ISTEXT($D$17)=FALSE</formula>
    </cfRule>
  </conditionalFormatting>
  <conditionalFormatting sqref="C87">
    <cfRule type="expression" dxfId="257" priority="57">
      <formula>ISTEXT($D$17)=FALSE</formula>
    </cfRule>
  </conditionalFormatting>
  <conditionalFormatting sqref="C88">
    <cfRule type="expression" dxfId="256" priority="55">
      <formula>ISTEXT($D$17)=FALSE</formula>
    </cfRule>
  </conditionalFormatting>
  <conditionalFormatting sqref="B86">
    <cfRule type="expression" dxfId="255" priority="52">
      <formula>ISTEXT($D$17)=FALSE</formula>
    </cfRule>
  </conditionalFormatting>
  <conditionalFormatting sqref="B87">
    <cfRule type="expression" dxfId="254" priority="50">
      <formula>ISTEXT($D$17)=FALSE</formula>
    </cfRule>
  </conditionalFormatting>
  <conditionalFormatting sqref="B88">
    <cfRule type="expression" dxfId="253" priority="48">
      <formula>ISTEXT($D$17)=FALSE</formula>
    </cfRule>
  </conditionalFormatting>
  <conditionalFormatting sqref="G55">
    <cfRule type="expression" dxfId="252" priority="35">
      <formula>$E$45="Enter Overall CAGR"</formula>
    </cfRule>
  </conditionalFormatting>
  <dataValidations xWindow="1382" yWindow="1155" count="22">
    <dataValidation type="decimal" allowBlank="1" showInputMessage="1" showErrorMessage="1" errorTitle="Only enter for flights &lt;1,500 km" error="This value should be less than the total activity of Dedicated Freight" promptTitle="Optional Input" prompt="Optional: Indicate what percentage of emissions originate from passenger flights &lt;1,500km in stage length is available" sqref="J29" xr:uid="{00000000-0002-0000-0200-000000000000}">
      <formula1>0</formula1>
      <formula2>1</formula2>
    </dataValidation>
    <dataValidation type="whole" errorStyle="warning" operator="lessThan" allowBlank="1" showInputMessage="1" showErrorMessage="1" errorTitle="Check Units!" error="Please enter emissions data in million tonnes of CO2e" promptTitle="Total WTW Emissions " prompt="Input total emissions from all dedicated freight flights (all stage lengths)_x000a_ operated on a Well-to-Wake (WTW) basis." sqref="I30" xr:uid="{00000000-0002-0000-0200-000001000000}">
      <formula1>50</formula1>
    </dataValidation>
    <dataValidation type="whole" errorStyle="warning" operator="lessThan" allowBlank="1" showInputMessage="1" showErrorMessage="1" errorTitle="Check Units!" error="Please enter emissions data in million tonnes of CO2e" promptTitle="Total WTW Emissions" prompt="Input total emissions from all passenger flights (all stage lenghts) operated on a Well-to-Wake (WTW) basis." sqref="E30" xr:uid="{00000000-0002-0000-0200-000002000000}">
      <formula1>100</formula1>
    </dataValidation>
    <dataValidation type="decimal" allowBlank="1" showInputMessage="1" showErrorMessage="1" errorTitle="Please enter a percentage" error="Please enter the percentage of emissions originating from flights &lt;1,500km" promptTitle="Optional Input" prompt="Optional: Indicate what percentage of activity originate from passenger flights &lt;1,500km in stage length is available" sqref="F38" xr:uid="{00000000-0002-0000-0200-000003000000}">
      <formula1>0</formula1>
      <formula2>1</formula2>
    </dataValidation>
    <dataValidation errorStyle="warning" allowBlank="1" showInputMessage="1" showErrorMessage="1" errorTitle="Check Units!" error="Please enter activity data in Billion RPK" promptTitle="Total Passenger Activity (RPK)" prompt="Input total RPK from all *flown* passengers across all stage lengths. " sqref="E37" xr:uid="{00000000-0002-0000-0200-000004000000}"/>
    <dataValidation errorStyle="warning" allowBlank="1" showInputMessage="1" showErrorMessage="1" errorTitle="Check Units!" error="Please enter activity data in Billion RTK" promptTitle="Total Belly Freight Acivity(RTK)" prompt="Input total belly RTK from all *flown* Belly Freight across all stage lengths. If segmented data for Belly Freight is unavailable, please enter all activity as RPK in the cell above " sqref="E38" xr:uid="{00000000-0002-0000-0200-000005000000}"/>
    <dataValidation operator="lessThan" allowBlank="1" showInputMessage="1" showErrorMessage="1" errorTitle="Only enter for flights &lt;1,500 km" error="This value should be less than the total activity of PAX operations" promptTitle="Optional Input" prompt="Optional: If a breakdown of emissions originating from passenger flights &lt;1,500km in stage length is available" sqref="F30" xr:uid="{00000000-0002-0000-0200-000006000000}"/>
    <dataValidation allowBlank="1" showInputMessage="1" showErrorMessage="1" promptTitle="Input growth CAGR" prompt="Input expected CAGR over selected target timeframe. This CAGR will be applied evenly across all operating segments. NB: Growth faster than the pathway activity growth rate will result in more stringent pathways._x000a_" sqref="E47" xr:uid="{00000000-0002-0000-0200-000007000000}"/>
    <dataValidation type="decimal" allowBlank="1" showInputMessage="1" showErrorMessage="1" errorTitle="Please enter a percentage" error="Please enter the percentage of emissions originating from flights &lt;1,500km" promptTitle="Optional Input" prompt="Optional: Indicate what percentage of forecasted activity will originate from passenger flights &lt;1,500km in stage length" sqref="F52:F53" xr:uid="{00000000-0002-0000-0200-000008000000}">
      <formula1>0</formula1>
      <formula2>1</formula2>
    </dataValidation>
    <dataValidation allowBlank="1" showInputMessage="1" showErrorMessage="1" promptTitle="Input Forecasted Belly Freight" prompt="Input total forecasted RTK from all belly freight operations across all stage lengths in the target year" sqref="E53" xr:uid="{00000000-0002-0000-0200-000009000000}"/>
    <dataValidation type="decimal" allowBlank="1" showInputMessage="1" showErrorMessage="1" errorTitle="Only enter for flights &lt;1,500 km" error="This value should be less than the total activity of PAX operations" promptTitle="Optional Input" prompt="Optional: Indicate what percentage of emissions originate from passenger flights &lt;1,500km in stage length is available" sqref="F29" xr:uid="{00000000-0002-0000-0200-00000A000000}">
      <formula1>0</formula1>
      <formula2>1</formula2>
    </dataValidation>
    <dataValidation operator="lessThan" allowBlank="1" showInputMessage="1" showErrorMessage="1" errorTitle="Only enter for flights &lt;1,500 km" error="This value should be less than the total activity of Dedicated Freight" promptTitle="Optional Input" prompt="Optional: If a breakdown of emissions originating from dedicated freight flights &lt;1,500km in stage length is available" sqref="J30" xr:uid="{00000000-0002-0000-0200-00000B000000}"/>
    <dataValidation errorStyle="warning" operator="lessThan" allowBlank="1" showInputMessage="1" showErrorMessage="1" errorTitle="Check Units!" error="Please enter emissions data in million tonnes of CO2e" promptTitle="Total TTW Emissions" prompt="Input emissions from combustion of jet fuel, this will be your scope 1 emissions inventory in million metric tonnes of CO2e. Please see the &quot;Definitions&quot; tab for explanations of CO2e." sqref="E29" xr:uid="{00000000-0002-0000-0200-00000C000000}"/>
    <dataValidation errorStyle="warning" operator="lessThan" allowBlank="1" showInputMessage="1" showErrorMessage="1" errorTitle="Check Units!" error="Please enter emissions data in million tonnes of CO2e" promptTitle="Total TTW Emissions " prompt="Input emissions from combustion of jet fuel, this will be your scope 1 emissions inventory in million metric tonnes of CO2e. Please see the &quot;Definitions&quot; tab for explanations of CO2e." sqref="I29" xr:uid="{00000000-0002-0000-0200-00000D000000}"/>
    <dataValidation errorStyle="warning" operator="lessThan" allowBlank="1" showInputMessage="1" showErrorMessage="1" errorTitle="Check Units!" error="Please enter emissions data in million tonnes of CO2e" promptTitle="Total WTW Emissions" prompt="Input emissions on a WTW basis (scope 1 and scope 3, category 3) in metric tonnes of CO2e. Please see the &quot;Definitions&quot; tab for explanations of CO2e." sqref="E28" xr:uid="{00000000-0002-0000-0200-00000E000000}"/>
    <dataValidation errorStyle="warning" allowBlank="1" showInputMessage="1" showErrorMessage="1" errorTitle="Check Units" error="Please enter activity data in Billion RPK" promptTitle="Total Dedicated Freight RTK" prompt="For dedicated freight operations, enter total flown RTK" sqref="I38" xr:uid="{00000000-0002-0000-0200-00000F000000}"/>
    <dataValidation errorStyle="warning" operator="lessThan" allowBlank="1" showInputMessage="1" showErrorMessage="1" errorTitle="Check Units!" error="Please enter emissions data in million tonnes of CO2e" promptTitle="Total WTW Emissions " prompt="Input total emissions from all dedicated freight flights (all stage lengths)_x000a_ operated on a Well-to-Wake (WTW) basis." sqref="I28" xr:uid="{00000000-0002-0000-0200-000010000000}"/>
    <dataValidation allowBlank="1" showInputMessage="1" showErrorMessage="1" promptTitle="Input Forecasted RPK" prompt="Input total forecasted RPK from all passengers operations across all stage lengths in the target year" sqref="E52" xr:uid="{00000000-0002-0000-0200-000011000000}"/>
    <dataValidation allowBlank="1" showInputMessage="1" showErrorMessage="1" promptTitle="Input Forecasted RTK " prompt="Input total forecasted RTK from all dedicated cargo operations across all stage lengths in the target year" sqref="I53" xr:uid="{00000000-0002-0000-0200-000012000000}"/>
    <dataValidation type="decimal" allowBlank="1" showInputMessage="1" showErrorMessage="1" errorTitle="Please enter a percentage" error="Please enter the percentage of emissions originating from flights &lt;1,500km" promptTitle="Optional Input" prompt="Optional: Indicate what percentage of forecasted activity will originate from dedicated cargo flights &lt;1,500km in stage length" sqref="J53" xr:uid="{00000000-0002-0000-0200-000013000000}">
      <formula1>0</formula1>
      <formula2>1</formula2>
    </dataValidation>
    <dataValidation type="decimal" allowBlank="1" showInputMessage="1" showErrorMessage="1" errorTitle="Please enter a percentage" error="Please enter the percentage of emissions originating from flights &lt;1,500km" promptTitle="Optional Input" prompt="Optional: Indicate what percentage of emissions originate from passenger flights &lt;1,500km in stage length, if available" sqref="J28 F28" xr:uid="{00000000-0002-0000-0200-000014000000}">
      <formula1>0</formula1>
      <formula2>1</formula2>
    </dataValidation>
    <dataValidation type="decimal" allowBlank="1" showInputMessage="1" showErrorMessage="1" errorTitle="Please enter a percentage" error="Please enter the percentage of emissions originating from flights &lt;1,500km" promptTitle="Optional Input" prompt="Optional: Indicate what percentage of activity originate from passenger flights &lt;1,500km in stage length, if available" sqref="F37 J38" xr:uid="{00000000-0002-0000-0200-000015000000}">
      <formula1>0</formula1>
      <formula2>1</formula2>
    </dataValidation>
  </dataValidations>
  <pageMargins left="0.7" right="0.7" top="0.75" bottom="0.75" header="0.3" footer="0.3"/>
  <pageSetup orientation="portrait" horizontalDpi="90" verticalDpi="90" r:id="rId1"/>
  <customProperties>
    <customPr name="SSC_SHEET_GU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1" id="{C753FA10-928B-4BEA-A9B3-629E24009847}">
            <xm:f>$E$45=Catalogues!$P$3</xm:f>
            <x14:dxf>
              <fill>
                <patternFill patternType="darkUp">
                  <fgColor theme="0" tint="-0.34998626667073579"/>
                  <bgColor theme="0"/>
                </patternFill>
              </fill>
            </x14:dxf>
          </x14:cfRule>
          <xm:sqref>E47</xm:sqref>
        </x14:conditionalFormatting>
        <x14:conditionalFormatting xmlns:xm="http://schemas.microsoft.com/office/excel/2006/main">
          <x14:cfRule type="expression" priority="67" id="{44FDAE33-ED7C-4D93-9154-0AB1AD4380A0}">
            <xm:f>$E$19=Catalogues!$AB$2</xm:f>
            <x14:dxf>
              <font>
                <color theme="0"/>
              </font>
              <fill>
                <patternFill patternType="solid">
                  <fgColor theme="0"/>
                  <bgColor theme="0"/>
                </patternFill>
              </fill>
              <border>
                <left/>
                <right/>
                <top/>
                <bottom/>
                <vertical/>
                <horizontal/>
              </border>
            </x14:dxf>
          </x14:cfRule>
          <xm:sqref>H50:H51 K50:K51 H34:K42 I57 H45:K49 H52:K56 H23:L31</xm:sqref>
        </x14:conditionalFormatting>
        <x14:conditionalFormatting xmlns:xm="http://schemas.microsoft.com/office/excel/2006/main">
          <x14:cfRule type="expression" priority="2" id="{16B67DF4-F816-4FB1-ADE5-9BA0AEF553BC}">
            <xm:f>$E$19=Catalogues!$AB$4</xm:f>
            <x14:dxf>
              <font>
                <color theme="0"/>
              </font>
              <fill>
                <patternFill patternType="solid">
                  <fgColor theme="0"/>
                  <bgColor theme="0"/>
                </patternFill>
              </fill>
              <border>
                <left/>
                <right/>
                <top/>
                <bottom/>
                <vertical/>
                <horizontal/>
              </border>
            </x14:dxf>
          </x14:cfRule>
          <xm:sqref>D34:F41 D49:F56 G30 D25:F30</xm:sqref>
        </x14:conditionalFormatting>
        <x14:conditionalFormatting xmlns:xm="http://schemas.microsoft.com/office/excel/2006/main">
          <x14:cfRule type="expression" priority="90" id="{52351DEA-1249-40D4-82AA-F7D9E0F4B457}">
            <xm:f>$E$19=Catalogues!$AB$4</xm:f>
            <x14:dxf>
              <font>
                <color theme="0"/>
              </font>
              <fill>
                <patternFill patternType="solid">
                  <fgColor theme="0"/>
                  <bgColor theme="0"/>
                </patternFill>
              </fill>
              <border>
                <left/>
                <right/>
                <top/>
                <bottom/>
                <vertical/>
                <horizontal/>
              </border>
            </x14:dxf>
          </x14:cfRule>
          <xm:sqref>E34:F34</xm:sqref>
        </x14:conditionalFormatting>
        <x14:conditionalFormatting xmlns:xm="http://schemas.microsoft.com/office/excel/2006/main">
          <x14:cfRule type="expression" priority="98" id="{D587F519-0D95-43E1-BA7F-DE0DC3A3CDD6}">
            <xm:f>$E$23=Catalogues!$AD$3</xm:f>
            <x14:dxf>
              <font>
                <color theme="0"/>
              </font>
              <fill>
                <patternFill>
                  <fgColor theme="0"/>
                </patternFill>
              </fill>
            </x14:dxf>
          </x14:cfRule>
          <xm:sqref>D28 H28</xm:sqref>
        </x14:conditionalFormatting>
        <x14:conditionalFormatting xmlns:xm="http://schemas.microsoft.com/office/excel/2006/main">
          <x14:cfRule type="expression" priority="86" id="{B6DF7D04-C32B-4D1E-90E6-0EC146C1089B}">
            <xm:f>$E$19=Catalogues!$AB$4</xm:f>
            <x14:dxf>
              <font>
                <color theme="0"/>
              </font>
              <fill>
                <patternFill patternType="solid">
                  <fgColor theme="0"/>
                  <bgColor theme="0"/>
                </patternFill>
              </fill>
              <border>
                <left/>
                <right/>
                <top/>
                <bottom/>
                <vertical/>
                <horizontal/>
              </border>
            </x14:dxf>
          </x14:cfRule>
          <xm:sqref>E50:F50</xm:sqref>
        </x14:conditionalFormatting>
        <x14:conditionalFormatting xmlns:xm="http://schemas.microsoft.com/office/excel/2006/main">
          <x14:cfRule type="expression" priority="76" id="{3400F2B0-0B4A-4244-9622-FC8106BAF7F7}">
            <xm:f>$E$19='file:///C:\Users\solazheng\Library\Containers\com.microsoft.Excel\Data\Documents\Users\collins Nicholas\AppData\Local\Microsoft\Windows\INetCache\Content.Outlook\X21HJ5CR\[CONFIDENTIAL-SBTi_Aviation_tool_demo_V28(Vs)_Locked.xlsx]Assumptions'!#REF!</xm:f>
            <x14:dxf>
              <font>
                <color theme="0"/>
              </font>
              <fill>
                <patternFill patternType="solid">
                  <fgColor theme="0"/>
                  <bgColor theme="0"/>
                </patternFill>
              </fill>
              <border>
                <left/>
                <right/>
                <top/>
                <bottom/>
                <vertical/>
                <horizontal/>
              </border>
            </x14:dxf>
          </x14:cfRule>
          <xm:sqref>I38</xm:sqref>
        </x14:conditionalFormatting>
        <x14:conditionalFormatting xmlns:xm="http://schemas.microsoft.com/office/excel/2006/main">
          <x14:cfRule type="expression" priority="89" id="{8D0E996D-4F8D-4949-8271-499D62168992}">
            <xm:f>$E$23=Catalogues!$AD$3</xm:f>
            <x14:dxf>
              <font>
                <color theme="0" tint="-0.34998626667073579"/>
              </font>
              <fill>
                <patternFill>
                  <bgColor theme="0" tint="-0.34998626667073579"/>
                </patternFill>
              </fill>
            </x14:dxf>
          </x14:cfRule>
          <xm:sqref>I28:J28</xm:sqref>
        </x14:conditionalFormatting>
        <x14:conditionalFormatting xmlns:xm="http://schemas.microsoft.com/office/excel/2006/main">
          <x14:cfRule type="expression" priority="69" id="{79D2ECEE-029B-4F8B-8858-7EB943D13DCD}">
            <xm:f>$E$19=Catalogues!$AB$2</xm:f>
            <x14:dxf>
              <font>
                <color theme="0"/>
              </font>
              <fill>
                <patternFill patternType="solid">
                  <fgColor theme="0"/>
                  <bgColor theme="0"/>
                </patternFill>
              </fill>
              <border>
                <left/>
                <right/>
                <top/>
                <bottom/>
                <vertical/>
                <horizontal/>
              </border>
            </x14:dxf>
          </x14:cfRule>
          <xm:sqref>K54:K55</xm:sqref>
        </x14:conditionalFormatting>
        <x14:conditionalFormatting xmlns:xm="http://schemas.microsoft.com/office/excel/2006/main">
          <x14:cfRule type="expression" priority="73" id="{0B69A8DB-4549-458E-9984-D1E85EAB53B8}">
            <xm:f>$E$23=Catalogues!$AD$2</xm:f>
            <x14: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x14:dxf>
          </x14:cfRule>
          <xm:sqref>I29:J30</xm:sqref>
        </x14:conditionalFormatting>
        <x14:conditionalFormatting xmlns:xm="http://schemas.microsoft.com/office/excel/2006/main">
          <x14:cfRule type="expression" priority="65" id="{D203AB17-8F88-41D6-BF4A-0A37CF5CD049}">
            <xm:f>$E$19=Catalogues!$AB$2</xm:f>
            <x14:dxf>
              <font>
                <color theme="0"/>
              </font>
              <fill>
                <patternFill patternType="solid">
                  <fgColor theme="0"/>
                  <bgColor theme="0"/>
                </patternFill>
              </fill>
              <border>
                <left/>
                <right/>
                <top/>
                <bottom/>
                <vertical/>
                <horizontal/>
              </border>
            </x14:dxf>
          </x14:cfRule>
          <xm:sqref>I50:J51</xm:sqref>
        </x14:conditionalFormatting>
        <x14:conditionalFormatting xmlns:xm="http://schemas.microsoft.com/office/excel/2006/main">
          <x14:cfRule type="expression" priority="62" id="{5E74691B-729B-4887-BFD4-6E581500885E}">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D86:D87</xm:sqref>
        </x14:conditionalFormatting>
        <x14:conditionalFormatting xmlns:xm="http://schemas.microsoft.com/office/excel/2006/main">
          <x14:cfRule type="expression" priority="60" id="{2F924E24-8D86-42E7-8305-1A37DCA74251}">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D88</xm:sqref>
        </x14:conditionalFormatting>
        <x14:conditionalFormatting xmlns:xm="http://schemas.microsoft.com/office/excel/2006/main">
          <x14:cfRule type="expression" priority="58" id="{86F6C4A3-096E-4B7E-866D-E2AD9EE8B47D}">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C86</xm:sqref>
        </x14:conditionalFormatting>
        <x14:conditionalFormatting xmlns:xm="http://schemas.microsoft.com/office/excel/2006/main">
          <x14:cfRule type="expression" priority="56" id="{0E6923D2-609F-4F58-AB8D-0D9A5611F913}">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C87</xm:sqref>
        </x14:conditionalFormatting>
        <x14:conditionalFormatting xmlns:xm="http://schemas.microsoft.com/office/excel/2006/main">
          <x14:cfRule type="expression" priority="54" id="{8DD8BD14-0144-4288-8F19-FF053219C27D}">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C88</xm:sqref>
        </x14:conditionalFormatting>
        <x14:conditionalFormatting xmlns:xm="http://schemas.microsoft.com/office/excel/2006/main">
          <x14:cfRule type="expression" priority="51" id="{7E434C73-F3A1-497C-962B-1031C680E210}">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B86</xm:sqref>
        </x14:conditionalFormatting>
        <x14:conditionalFormatting xmlns:xm="http://schemas.microsoft.com/office/excel/2006/main">
          <x14:cfRule type="expression" priority="49" id="{FAF95600-FA86-405B-9C3C-8D443F71F7CD}">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B87</xm:sqref>
        </x14:conditionalFormatting>
        <x14:conditionalFormatting xmlns:xm="http://schemas.microsoft.com/office/excel/2006/main">
          <x14:cfRule type="expression" priority="47" id="{7BD4A408-98AF-45C1-90FF-893EA97B5577}">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B88</xm:sqref>
        </x14:conditionalFormatting>
        <x14:conditionalFormatting xmlns:xm="http://schemas.microsoft.com/office/excel/2006/main">
          <x14:cfRule type="expression" priority="45" id="{66AE7098-E553-4FF9-88D6-2EDF888AA3D0}">
            <xm:f>$E$19=Catalogues!$AB$2</xm:f>
            <x14:dxf>
              <font>
                <color theme="0"/>
              </font>
              <fill>
                <patternFill patternType="solid">
                  <fgColor theme="0"/>
                  <bgColor theme="0"/>
                </patternFill>
              </fill>
              <border>
                <left/>
                <right/>
                <top/>
                <bottom/>
                <vertical/>
                <horizontal/>
              </border>
            </x14:dxf>
          </x14:cfRule>
          <xm:sqref>H54:H55</xm:sqref>
        </x14:conditionalFormatting>
        <x14:conditionalFormatting xmlns:xm="http://schemas.microsoft.com/office/excel/2006/main">
          <x14:cfRule type="expression" priority="40" id="{F2E3D855-CCC0-4DC4-A814-7CAC8FC0F850}">
            <xm:f>$E$19=Catalogues!$AB$2</xm:f>
            <x14:dxf>
              <font>
                <color theme="0"/>
              </font>
              <fill>
                <patternFill patternType="solid">
                  <bgColor theme="0"/>
                </patternFill>
              </fill>
              <border>
                <left/>
                <right/>
                <top/>
                <bottom/>
              </border>
            </x14:dxf>
          </x14:cfRule>
          <xm:sqref>I55:K56 H56</xm:sqref>
        </x14:conditionalFormatting>
        <x14:conditionalFormatting xmlns:xm="http://schemas.microsoft.com/office/excel/2006/main">
          <x14:cfRule type="expression" priority="38" id="{AD1C837E-9697-4B6C-9250-ADAAC928220E}">
            <xm:f>$E$19=Catalogues!$AB$4</xm:f>
            <x14:dxf>
              <font>
                <color theme="0"/>
              </font>
              <fill>
                <patternFill patternType="solid">
                  <fgColor theme="0"/>
                  <bgColor theme="0"/>
                </patternFill>
              </fill>
              <border>
                <left/>
                <right/>
                <top/>
                <bottom/>
                <vertical/>
                <horizontal/>
              </border>
            </x14:dxf>
          </x14:cfRule>
          <xm:sqref>D55</xm:sqref>
        </x14:conditionalFormatting>
        <x14:conditionalFormatting xmlns:xm="http://schemas.microsoft.com/office/excel/2006/main">
          <x14:cfRule type="expression" priority="31" id="{82577CC4-AC84-421C-BB26-6BADE7553CFD}">
            <xm:f>$E$19=Catalogues!$AB$2</xm:f>
            <x14:dxf>
              <font>
                <color theme="0"/>
              </font>
              <fill>
                <patternFill patternType="solid">
                  <bgColor theme="0"/>
                </patternFill>
              </fill>
              <border>
                <left/>
                <right/>
                <top/>
                <bottom/>
              </border>
            </x14:dxf>
          </x14:cfRule>
          <xm:sqref>H55</xm:sqref>
        </x14:conditionalFormatting>
        <x14:conditionalFormatting xmlns:xm="http://schemas.microsoft.com/office/excel/2006/main">
          <x14:cfRule type="expression" priority="24" id="{26283022-29ED-40FE-9361-150C0EA3A440}">
            <xm:f>$E$19=Catalogues!$AB$2</xm:f>
            <x14:dxf>
              <font>
                <color theme="0"/>
              </font>
              <fill>
                <patternFill patternType="solid">
                  <bgColor theme="0"/>
                </patternFill>
              </fill>
              <border>
                <left/>
                <right/>
                <top/>
                <bottom/>
              </border>
            </x14:dxf>
          </x14:cfRule>
          <xm:sqref>H54</xm:sqref>
        </x14:conditionalFormatting>
        <x14:conditionalFormatting xmlns:xm="http://schemas.microsoft.com/office/excel/2006/main">
          <x14:cfRule type="expression" priority="16" id="{0C6E3B96-D3CB-4134-A4C6-8DC4C205CB91}">
            <xm:f>$E$23=Catalogues!$AD$2</xm:f>
            <x14:dxf>
              <font>
                <color theme="0"/>
              </font>
              <fill>
                <patternFill>
                  <fgColor theme="0"/>
                </patternFill>
              </fill>
            </x14:dxf>
          </x14:cfRule>
          <xm:sqref>H29</xm:sqref>
        </x14:conditionalFormatting>
        <x14:conditionalFormatting xmlns:xm="http://schemas.microsoft.com/office/excel/2006/main">
          <x14:cfRule type="expression" priority="13" id="{6283EB80-592D-479D-8E23-67052E87B457}">
            <xm:f>$E$23=Catalogues!$AD$2</xm:f>
            <x14:dxf>
              <font>
                <color theme="0"/>
              </font>
              <fill>
                <patternFill>
                  <fgColor theme="0"/>
                </patternFill>
              </fill>
            </x14:dxf>
          </x14:cfRule>
          <xm:sqref>D29</xm:sqref>
        </x14:conditionalFormatting>
        <x14:conditionalFormatting xmlns:xm="http://schemas.microsoft.com/office/excel/2006/main">
          <x14:cfRule type="expression" priority="94" id="{43B1FC05-F128-4BF5-B06B-7FC5C97B1012}">
            <xm:f>$E$23=Catalogues!$AD$3</xm:f>
            <x14:dxf>
              <font>
                <color theme="0" tint="-0.34998626667073579"/>
              </font>
              <fill>
                <patternFill>
                  <bgColor theme="0" tint="-0.34998626667073579"/>
                </patternFill>
              </fill>
            </x14:dxf>
          </x14:cfRule>
          <xm:sqref>E28</xm:sqref>
        </x14:conditionalFormatting>
        <x14:conditionalFormatting xmlns:xm="http://schemas.microsoft.com/office/excel/2006/main">
          <x14:cfRule type="expression" priority="12" id="{52804FE8-4357-4F77-A7EF-B153CB34076A}">
            <xm:f>$E$23=Catalogues!$AD$3</xm:f>
            <x14:dxf>
              <font>
                <color theme="0" tint="-0.34998626667073579"/>
              </font>
              <fill>
                <patternFill>
                  <bgColor theme="0" tint="-0.34998626667073579"/>
                </patternFill>
              </fill>
            </x14:dxf>
          </x14:cfRule>
          <xm:sqref>F28</xm:sqref>
        </x14:conditionalFormatting>
        <x14:conditionalFormatting xmlns:xm="http://schemas.microsoft.com/office/excel/2006/main">
          <x14:cfRule type="expression" priority="10" id="{EFA4F8C3-B7F8-46A3-9B87-403076F50734}">
            <xm:f>$E$23=Catalogues!$AD$2</xm:f>
            <x14: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x14:dxf>
          </x14:cfRule>
          <xm:sqref>E29</xm:sqref>
        </x14:conditionalFormatting>
        <x14:conditionalFormatting xmlns:xm="http://schemas.microsoft.com/office/excel/2006/main">
          <x14:cfRule type="expression" priority="8" id="{CA01480E-0C92-448C-B6FF-9769B3DF84A3}">
            <xm:f>$E$23=Catalogues!$AD$2</xm:f>
            <x14: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x14:dxf>
          </x14:cfRule>
          <xm:sqref>F29</xm:sqref>
        </x14:conditionalFormatting>
        <x14:conditionalFormatting xmlns:xm="http://schemas.microsoft.com/office/excel/2006/main">
          <x14:cfRule type="expression" priority="6" id="{4954C1DE-F532-4F77-B912-3344087C1131}">
            <xm:f>$E$23=Catalogues!$AD$2</xm:f>
            <x14: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x14:dxf>
          </x14:cfRule>
          <xm:sqref>E30</xm:sqref>
        </x14:conditionalFormatting>
        <x14:conditionalFormatting xmlns:xm="http://schemas.microsoft.com/office/excel/2006/main">
          <x14:cfRule type="expression" priority="4" id="{939BB3C7-6256-4F4F-A54F-32BF452C3D0E}">
            <xm:f>$E$23=Catalogues!$AD$2</xm:f>
            <x14:dxf>
              <font>
                <color theme="0" tint="-0.34998626667073579"/>
              </font>
              <fill>
                <patternFill>
                  <fgColor theme="0" tint="-0.34998626667073579"/>
                  <bgColor theme="0" tint="-0.34998626667073579"/>
                </patternFill>
              </fill>
              <border>
                <left style="thin">
                  <color auto="1"/>
                </left>
                <right style="thin">
                  <color auto="1"/>
                </right>
                <top style="thin">
                  <color auto="1"/>
                </top>
                <bottom style="thin">
                  <color auto="1"/>
                </bottom>
                <vertical/>
                <horizontal/>
              </border>
            </x14:dxf>
          </x14:cfRule>
          <xm:sqref>F30</xm:sqref>
        </x14:conditionalFormatting>
      </x14:conditionalFormattings>
    </ext>
    <ext xmlns:x14="http://schemas.microsoft.com/office/spreadsheetml/2009/9/main" uri="{CCE6A557-97BC-4b89-ADB6-D9C93CAAB3DF}">
      <x14:dataValidations xmlns:xm="http://schemas.microsoft.com/office/excel/2006/main" xWindow="1382" yWindow="1155" count="7">
        <x14:dataValidation type="list" allowBlank="1" showErrorMessage="1" promptTitle="Choose forecast approach" prompt="CAGR referes to a Compound Annual Growth Rate evenly applied across all operating segments from base year to 2050_x000a_" xr:uid="{00000000-0002-0000-0200-000016000000}">
          <x14:formula1>
            <xm:f>Catalogues!$P$2:$P$3</xm:f>
          </x14:formula1>
          <xm:sqref>E45</xm:sqref>
        </x14:dataValidation>
        <x14:dataValidation type="list" allowBlank="1" showInputMessage="1" errorTitle="Invalid Target Year" error="Target year date should be between 5-15 years after the current year" xr:uid="{00000000-0002-0000-0200-000017000000}">
          <x14:formula1>
            <xm:f>Catalogues!$AB$2:$AB$4</xm:f>
          </x14:formula1>
          <xm:sqref>E19</xm:sqref>
        </x14:dataValidation>
        <x14:dataValidation type="list" allowBlank="1" showInputMessage="1" showErrorMessage="1" promptTitle="If TTW input is selected" prompt="Tank-to-Wake emissions will be converted automatically into Well-to-Wake emissions" xr:uid="{00000000-0002-0000-0200-000018000000}">
          <x14:formula1>
            <xm:f>Catalogues!$AD$2:$AD$3</xm:f>
          </x14:formula1>
          <xm:sqref>E23:F23</xm:sqref>
        </x14:dataValidation>
        <x14:dataValidation type="list" allowBlank="1" showInputMessage="1" showErrorMessage="1" errorTitle="Invalid Target Year" error="Targets must cover a minimum of 5 years and a maximum of 15 years from the date the target is submitted to the SBTi for validation." promptTitle="Input a target year" prompt="Targets must cover a minimum of 5 years and a maximum of 10 years from the date the target is submitted to the SBTi for validation." xr:uid="{00000000-0002-0000-0200-000019000000}">
          <x14:formula1>
            <xm:f>Catalogues!$Z$6:$Z$28</xm:f>
          </x14:formula1>
          <xm:sqref>E18:F18</xm:sqref>
        </x14:dataValidation>
        <x14:dataValidation type="list" allowBlank="1" showInputMessage="1" errorTitle="Invalid base year" promptTitle="Input a target base year" prompt="This should be the most recent year in which a full GHG inventory was completed. " xr:uid="{00000000-0002-0000-0200-00001A000000}">
          <x14:formula1>
            <xm:f>Catalogues!$Y$5:$Y$7</xm:f>
          </x14:formula1>
          <xm:sqref>E17:F17</xm:sqref>
        </x14:dataValidation>
        <x14:dataValidation type="custom" allowBlank="1" showInputMessage="1" showErrorMessage="1" xr:uid="{00000000-0002-0000-0200-00001B000000}">
          <x14:formula1>
            <xm:f>(INDEX(Calculations!E103:AN106,3,MATCH(target,Calculations!E90:AN90,0))/(INDEX(Calculations!E103:AN106,3,MATCH(base,Calculations!E90:AN90,0))))^(1/(target-base))-1</xm:f>
          </x14:formula1>
          <xm:sqref>E46</xm:sqref>
        </x14:dataValidation>
        <x14:dataValidation type="list" allowBlank="1" showInputMessage="1" showErrorMessage="1" xr:uid="{C8CDFD63-B081-4206-BDC1-9AA8EE3CB732}">
          <x14:formula1>
            <xm:f>Catalogues!$R$2</xm:f>
          </x14:formula1>
          <xm:sqref>E16:F16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546E"/>
  </sheetPr>
  <dimension ref="A1:Z68"/>
  <sheetViews>
    <sheetView showGridLines="0" zoomScale="70" zoomScaleNormal="70" workbookViewId="0">
      <selection activeCell="N1" sqref="N1:N1048576"/>
    </sheetView>
  </sheetViews>
  <sheetFormatPr defaultColWidth="0" defaultRowHeight="15"/>
  <cols>
    <col min="1" max="1" width="10.42578125" customWidth="1"/>
    <col min="2" max="2" width="4.42578125" customWidth="1"/>
    <col min="3" max="3" width="8.42578125" customWidth="1"/>
    <col min="4" max="4" width="30.42578125" customWidth="1"/>
    <col min="5" max="5" width="22.85546875" customWidth="1"/>
    <col min="6" max="10" width="20.42578125" customWidth="1"/>
    <col min="11" max="11" width="4.85546875" customWidth="1"/>
    <col min="12" max="12" width="5" customWidth="1"/>
    <col min="13" max="13" width="2.42578125" customWidth="1"/>
    <col min="14" max="14" width="3.7109375" customWidth="1"/>
    <col min="15" max="15" width="9.140625" style="226" hidden="1" customWidth="1"/>
    <col min="16" max="16" width="8.85546875" hidden="1" customWidth="1"/>
    <col min="17" max="23" width="9.140625" hidden="1" customWidth="1"/>
    <col min="24" max="26" width="8.85546875" hidden="1" customWidth="1"/>
  </cols>
  <sheetData>
    <row r="1" spans="1:23" s="8" customFormat="1">
      <c r="A1" s="641"/>
      <c r="B1" s="641"/>
      <c r="C1" s="641"/>
      <c r="D1" s="641"/>
      <c r="E1" s="641"/>
      <c r="F1" s="641"/>
      <c r="G1" s="641"/>
      <c r="H1" s="641"/>
      <c r="I1" s="641"/>
      <c r="J1" s="641"/>
      <c r="K1" s="641"/>
      <c r="L1" s="641"/>
      <c r="M1" s="641"/>
      <c r="N1" s="89"/>
      <c r="O1" s="659"/>
      <c r="P1" s="641"/>
      <c r="Q1" s="641"/>
      <c r="R1" s="641"/>
      <c r="S1" s="641"/>
      <c r="T1" s="641"/>
      <c r="U1" s="641"/>
      <c r="V1" s="641"/>
      <c r="W1" s="641"/>
    </row>
    <row r="2" spans="1:23" ht="3.6" customHeight="1">
      <c r="E2" s="1"/>
    </row>
    <row r="3" spans="1:23">
      <c r="E3" s="1"/>
    </row>
    <row r="4" spans="1:23" ht="15" customHeight="1" thickBot="1">
      <c r="D4" s="319" t="str">
        <f>Intro!$D$4</f>
        <v>SBT Aviation Tool</v>
      </c>
      <c r="F4" s="12"/>
      <c r="G4" s="12"/>
      <c r="H4" s="12"/>
    </row>
    <row r="5" spans="1:23" ht="15" customHeight="1" thickBot="1">
      <c r="D5" s="244" t="str">
        <f>Intro!$D$5</f>
        <v>Sectoral Decarbonization Approach - Aviation Sector</v>
      </c>
      <c r="I5" s="22" t="s">
        <v>30</v>
      </c>
      <c r="J5" s="9" t="s">
        <v>29</v>
      </c>
    </row>
    <row r="6" spans="1:23" ht="15" customHeight="1" thickBot="1">
      <c r="D6" s="244" t="str">
        <f>Intro!$D$6</f>
        <v>Version 2.0</v>
      </c>
      <c r="I6" s="27" t="s">
        <v>31</v>
      </c>
      <c r="J6" s="88" t="s">
        <v>32</v>
      </c>
      <c r="N6" s="84"/>
    </row>
    <row r="7" spans="1:23" s="13" customFormat="1" ht="15.75" thickBot="1">
      <c r="E7" s="18"/>
      <c r="O7" s="227"/>
    </row>
    <row r="8" spans="1:23">
      <c r="E8" s="1"/>
    </row>
    <row r="9" spans="1:23" s="249" customFormat="1" ht="26.25" customHeight="1" thickBot="1">
      <c r="A9"/>
      <c r="B9" s="337" t="s">
        <v>614</v>
      </c>
      <c r="C9" s="336" t="s">
        <v>615</v>
      </c>
    </row>
    <row r="10" spans="1:23" ht="14.45" customHeight="1">
      <c r="B10" s="657" t="s">
        <v>687</v>
      </c>
      <c r="C10" s="657"/>
      <c r="D10" s="657"/>
      <c r="E10" s="657"/>
      <c r="F10" s="657"/>
      <c r="G10" s="657"/>
      <c r="H10" s="657"/>
      <c r="I10" s="657"/>
      <c r="J10" s="657"/>
      <c r="K10" s="657"/>
      <c r="L10" s="657"/>
      <c r="M10" s="657"/>
    </row>
    <row r="11" spans="1:23" ht="39.200000000000003" customHeight="1">
      <c r="B11" s="657"/>
      <c r="C11" s="657"/>
      <c r="D11" s="657"/>
      <c r="E11" s="657"/>
      <c r="F11" s="657"/>
      <c r="G11" s="657"/>
      <c r="H11" s="657"/>
      <c r="I11" s="657"/>
      <c r="J11" s="657"/>
      <c r="K11" s="657"/>
      <c r="L11" s="657"/>
      <c r="M11" s="657"/>
    </row>
    <row r="12" spans="1:23" s="8" customFormat="1" ht="30" customHeight="1">
      <c r="B12" s="230"/>
      <c r="C12" s="230"/>
      <c r="D12" s="230"/>
      <c r="E12" s="230"/>
      <c r="F12" s="230"/>
      <c r="G12" s="230"/>
      <c r="H12" s="230"/>
      <c r="I12" s="230"/>
      <c r="J12" s="230"/>
      <c r="K12" s="230"/>
      <c r="L12" s="230"/>
      <c r="M12" s="230"/>
      <c r="O12" s="231"/>
    </row>
    <row r="13" spans="1:23" s="249" customFormat="1" ht="26.25" customHeight="1" thickBot="1">
      <c r="A13"/>
      <c r="B13" s="317">
        <v>1</v>
      </c>
      <c r="C13" s="318" t="s">
        <v>577</v>
      </c>
    </row>
    <row r="14" spans="1:23" ht="22.5" customHeight="1" thickBot="1"/>
    <row r="15" spans="1:23" ht="26.25" customHeight="1" thickBot="1">
      <c r="D15" s="306" t="s">
        <v>24</v>
      </c>
      <c r="E15" s="668"/>
      <c r="F15" s="669"/>
    </row>
    <row r="16" spans="1:23" ht="26.25" customHeight="1" thickBot="1">
      <c r="D16" s="306" t="s">
        <v>648</v>
      </c>
      <c r="E16" s="674" t="s">
        <v>680</v>
      </c>
      <c r="F16" s="675"/>
      <c r="G16" s="207"/>
    </row>
    <row r="17" spans="1:24" ht="26.25" customHeight="1" thickBot="1">
      <c r="D17" s="306" t="s">
        <v>0</v>
      </c>
      <c r="E17" s="668"/>
      <c r="F17" s="669"/>
    </row>
    <row r="18" spans="1:24" ht="26.25" customHeight="1" thickBot="1">
      <c r="D18" s="306" t="s">
        <v>1</v>
      </c>
      <c r="E18" s="668"/>
      <c r="F18" s="669"/>
      <c r="G18" s="234" t="str">
        <f ca="1">IF(S34_target&gt;YEAR(NOW())+15,"Target year must comply with SBTi target timeframe criteria","")</f>
        <v/>
      </c>
    </row>
    <row r="19" spans="1:24" ht="26.25" customHeight="1" thickBot="1">
      <c r="D19" s="306" t="s">
        <v>607</v>
      </c>
      <c r="E19" s="670" t="s">
        <v>497</v>
      </c>
      <c r="F19" s="671"/>
    </row>
    <row r="22" spans="1:24" s="249" customFormat="1" ht="26.25" customHeight="1" thickBot="1">
      <c r="A22"/>
      <c r="B22" s="317">
        <v>2</v>
      </c>
      <c r="C22" s="318" t="str">
        <f>"WTW Emissions in base year ("&amp;S34_base&amp;")"</f>
        <v>WTW Emissions in base year ()</v>
      </c>
      <c r="P22" s="249" t="s">
        <v>131</v>
      </c>
    </row>
    <row r="23" spans="1:24" ht="21.75" thickBot="1">
      <c r="C23" s="194"/>
      <c r="E23" s="1"/>
      <c r="N23" s="84"/>
      <c r="T23" s="195"/>
      <c r="U23" s="195"/>
      <c r="V23" s="195"/>
      <c r="X23" s="84"/>
    </row>
    <row r="24" spans="1:24" ht="16.7" customHeight="1" thickBot="1">
      <c r="C24" s="194"/>
      <c r="D24" s="17" t="s">
        <v>599</v>
      </c>
      <c r="E24" s="678" t="s">
        <v>598</v>
      </c>
      <c r="F24" s="679"/>
      <c r="N24" s="84"/>
      <c r="Q24" t="s">
        <v>2</v>
      </c>
      <c r="T24" s="195"/>
      <c r="U24" s="195"/>
      <c r="V24" s="195"/>
      <c r="X24" s="84"/>
    </row>
    <row r="25" spans="1:24" ht="15.75" thickBot="1">
      <c r="C25" s="7"/>
      <c r="D25" s="2"/>
    </row>
    <row r="26" spans="1:24" ht="30" customHeight="1" thickBot="1">
      <c r="C26" s="8"/>
      <c r="D26" s="85" t="str">
        <f>"Well to Wake emissions (tCO2e)"</f>
        <v>Well to Wake emissions (tCO2e)</v>
      </c>
      <c r="E26" s="22">
        <v>10000000</v>
      </c>
      <c r="N26" s="84"/>
      <c r="Q26" s="198">
        <f>IF($E$19=PAX_only,0,IF($E$24=WTW_avail,Q27,Q28))</f>
        <v>10</v>
      </c>
      <c r="R26" t="s">
        <v>517</v>
      </c>
    </row>
    <row r="27" spans="1:24" ht="30" customHeight="1" thickBot="1">
      <c r="D27" s="85" t="str">
        <f>"Tank to Wake emissions (tCO2e)"</f>
        <v>Tank to Wake emissions (tCO2e)</v>
      </c>
      <c r="E27" s="22"/>
      <c r="Q27" s="40">
        <f>((E26/emissions_units)*(1-F29))</f>
        <v>10</v>
      </c>
      <c r="R27" t="s">
        <v>518</v>
      </c>
    </row>
    <row r="28" spans="1:24" ht="26.25" customHeight="1" thickBot="1">
      <c r="D28" s="323" t="str">
        <f>"Calculated Well-to-Wake Emissions"</f>
        <v>Calculated Well-to-Wake Emissions</v>
      </c>
      <c r="E28" s="27">
        <f>E27*('Fuel to emissions calculator'!$F$18/'Fuel to emissions calculator'!$F$17)</f>
        <v>0</v>
      </c>
      <c r="N28" s="84"/>
      <c r="Q28" s="40">
        <f>((E27/emissions_units)*(1-F30))*wtw_factor</f>
        <v>0</v>
      </c>
      <c r="R28" t="s">
        <v>519</v>
      </c>
      <c r="S28" s="206"/>
    </row>
    <row r="29" spans="1:24" ht="27.2" customHeight="1">
      <c r="N29" s="84"/>
      <c r="Q29" s="40"/>
    </row>
    <row r="30" spans="1:24" s="249" customFormat="1" ht="26.25" customHeight="1" thickBot="1">
      <c r="A30"/>
      <c r="B30" s="317">
        <v>3</v>
      </c>
      <c r="C30" s="318" t="str">
        <f>"Base and target year contracted freight activity"</f>
        <v>Base and target year contracted freight activity</v>
      </c>
    </row>
    <row r="31" spans="1:24" ht="22.7" customHeight="1"/>
    <row r="32" spans="1:24" ht="15.75" thickBot="1">
      <c r="D32" s="3"/>
      <c r="E32" s="10"/>
      <c r="F32" s="10"/>
      <c r="G32" s="10"/>
      <c r="H32" s="10"/>
      <c r="Q32" t="s">
        <v>25</v>
      </c>
    </row>
    <row r="33" spans="1:18" ht="30" customHeight="1" thickBot="1">
      <c r="C33" s="676" t="str">
        <f>"Base year flown contracted freight (RTK)"</f>
        <v>Base year flown contracted freight (RTK)</v>
      </c>
      <c r="D33" s="677"/>
      <c r="E33" s="22">
        <v>20000000000</v>
      </c>
      <c r="H33" s="10"/>
      <c r="Q33" s="1">
        <f>E33/activity_units</f>
        <v>20</v>
      </c>
      <c r="R33" t="s">
        <v>520</v>
      </c>
    </row>
    <row r="34" spans="1:18" ht="15.75" thickBot="1">
      <c r="D34" s="325"/>
      <c r="H34" s="10"/>
      <c r="Q34" s="1"/>
    </row>
    <row r="35" spans="1:18" s="232" customFormat="1" ht="30" customHeight="1" thickBot="1">
      <c r="D35" s="298" t="s">
        <v>605</v>
      </c>
      <c r="E35" s="477" t="s">
        <v>600</v>
      </c>
      <c r="O35" s="322"/>
      <c r="Q35" s="3">
        <f>E36/activity_units</f>
        <v>0</v>
      </c>
      <c r="R35" s="232" t="s">
        <v>521</v>
      </c>
    </row>
    <row r="36" spans="1:18" s="232" customFormat="1" ht="30" customHeight="1" thickBot="1">
      <c r="C36" s="676" t="str">
        <f>"Target year flown contracted freight (RTK)"</f>
        <v>Target year flown contracted freight (RTK)</v>
      </c>
      <c r="D36" s="677"/>
      <c r="E36" s="22"/>
      <c r="O36" s="322"/>
    </row>
    <row r="37" spans="1:18" s="232" customFormat="1" ht="30" customHeight="1" thickBot="1">
      <c r="C37" s="676" t="s">
        <v>604</v>
      </c>
      <c r="D37" s="677"/>
      <c r="E37" s="228">
        <v>0.03</v>
      </c>
      <c r="O37" s="322"/>
    </row>
    <row r="38" spans="1:18">
      <c r="E38" t="s">
        <v>685</v>
      </c>
    </row>
    <row r="39" spans="1:18" s="249" customFormat="1" ht="26.25" customHeight="1" thickBot="1">
      <c r="A39"/>
      <c r="B39" s="317">
        <v>4</v>
      </c>
      <c r="C39" s="318" t="s">
        <v>576</v>
      </c>
    </row>
    <row r="41" spans="1:18" ht="18.75">
      <c r="D41" s="23"/>
      <c r="E41" s="24"/>
    </row>
    <row r="42" spans="1:18" ht="18.75">
      <c r="D42" s="229"/>
      <c r="E42" s="208"/>
    </row>
    <row r="66" spans="2:7" ht="30" customHeight="1">
      <c r="B66" s="667" t="str">
        <f>"Target results | "&amp;'Contracted Freight'!E16</f>
        <v>Target results | 1.5°C (Interim)</v>
      </c>
      <c r="C66" s="667"/>
      <c r="D66" s="667"/>
      <c r="E66" s="239" t="str">
        <f>"Base year 
("&amp;S34_base&amp;")"</f>
        <v>Base year 
()</v>
      </c>
      <c r="F66" s="239" t="str">
        <f>"Target year 
("&amp;S34_target&amp;")"</f>
        <v>Target year 
()</v>
      </c>
      <c r="G66" s="239" t="str">
        <f>"% Reduction 
("&amp;S34_base&amp;"-"&amp;S34_target&amp;")"</f>
        <v>% Reduction 
(-)</v>
      </c>
    </row>
    <row r="67" spans="2:7" ht="30" customHeight="1" thickBot="1">
      <c r="B67" s="314"/>
      <c r="C67" s="314"/>
      <c r="D67" s="324" t="str">
        <f>E15&amp;" carbon intensity"&amp;" (gCO2e/RTK)"</f>
        <v xml:space="preserve"> carbon intensity (gCO2e/RTK)</v>
      </c>
      <c r="E67" s="315" t="str">
        <f>IFERROR(ROUND(INDEX(Calculations!E150:AN165,12,MATCH(S34_base,Calculations!E150:AN150,0)),0),"")</f>
        <v/>
      </c>
      <c r="F67" s="315" t="str">
        <f>IFERROR(ROUND(INDEX(Calculations!E150:AN165,12,MATCH(S34_target,Calculations!E150:AN150,0)),0),"")</f>
        <v/>
      </c>
      <c r="G67" s="344" t="str">
        <f>IFERROR((F67/E67)-1,"")</f>
        <v/>
      </c>
    </row>
    <row r="68" spans="2:7" ht="30" customHeight="1" thickTop="1"/>
  </sheetData>
  <sheetProtection algorithmName="SHA-512" hashValue="HuZxR40rra/yvthZgJYs0cnypNrn/+TDcC/ufR6B8elOHsfTugJUYcGUYxboidxfzbYgrON6N1j6AT53WF1gJQ==" saltValue="5CmtLtlDwGJVfPY/EdgoDg==" spinCount="100000" sheet="1" objects="1" scenarios="1"/>
  <protectedRanges>
    <protectedRange sqref="E17:F19 E24 E26:E27 E33 E35:E37 E15:F16" name="CF_Lock"/>
  </protectedRanges>
  <mergeCells count="13">
    <mergeCell ref="B66:D66"/>
    <mergeCell ref="O1:W1"/>
    <mergeCell ref="E15:F15"/>
    <mergeCell ref="E17:F17"/>
    <mergeCell ref="E18:F18"/>
    <mergeCell ref="E19:F19"/>
    <mergeCell ref="B10:M11"/>
    <mergeCell ref="E16:F16"/>
    <mergeCell ref="C36:D36"/>
    <mergeCell ref="C33:D33"/>
    <mergeCell ref="C37:D37"/>
    <mergeCell ref="E24:F24"/>
    <mergeCell ref="A1:M1"/>
  </mergeCells>
  <conditionalFormatting sqref="D67">
    <cfRule type="expression" dxfId="219" priority="12">
      <formula>ISTEXT($D$17)=FALSE</formula>
    </cfRule>
  </conditionalFormatting>
  <conditionalFormatting sqref="C67">
    <cfRule type="expression" dxfId="218" priority="10">
      <formula>ISTEXT($D$17)=FALSE</formula>
    </cfRule>
  </conditionalFormatting>
  <conditionalFormatting sqref="B67">
    <cfRule type="expression" dxfId="217" priority="6">
      <formula>ISTEXT($D$17)=FALSE</formula>
    </cfRule>
  </conditionalFormatting>
  <dataValidations xWindow="1208" yWindow="788" count="4">
    <dataValidation errorStyle="warning" operator="lessThan" allowBlank="1" showErrorMessage="1" errorTitle="Check Units!" error="Please enter emissions data in million tonnes of CO2e" promptTitle="Total WTW Emissions " prompt="Input total emissions from all dedicated freight flights (all stage lengths)_x000a_ operated on a Well-to-Wake (WTW) basis." sqref="E26" xr:uid="{00000000-0002-0000-0300-000000000000}"/>
    <dataValidation errorStyle="warning" operator="lessThan" allowBlank="1" showErrorMessage="1" errorTitle="Check Units!" error="Please enter emissions data in million tonnes of CO2e" promptTitle="Total TTW Emissions " prompt="Input emissions from combustion of jet fuel, this will be your scope 1 emissions inventory in million metric tonnes of CO2e. Please see the &quot;Definitions&quot; tab for explanations of CO2e." sqref="E27" xr:uid="{00000000-0002-0000-0300-000001000000}"/>
    <dataValidation type="whole" errorStyle="warning" operator="lessThan" allowBlank="1" showErrorMessage="1" errorTitle="Check Units!" error="Please enter emissions data in million tonnes of CO2e" promptTitle="Total WTW Emissions " prompt="Input total emissions from all dedicated freight flights (all stage lengths)_x000a_ operated on a Well-to-Wake (WTW) basis." sqref="E28" xr:uid="{00000000-0002-0000-0300-000002000000}">
      <formula1>50</formula1>
    </dataValidation>
    <dataValidation errorStyle="warning" allowBlank="1" showErrorMessage="1" errorTitle="Check Units" error="Please enter activity data in Billion RPK" promptTitle="Total Dedicated Freight RTK" prompt="For dedicated freight operations, enter total flown RTK" sqref="E33 E36" xr:uid="{00000000-0002-0000-0300-000003000000}"/>
  </dataValidations>
  <pageMargins left="0.7" right="0.7" top="0.75" bottom="0.75" header="0.3" footer="0.3"/>
  <pageSetup orientation="portrait" horizontalDpi="90" verticalDpi="90" r:id="rId1"/>
  <customProperties>
    <customPr name="SSC_SHEET_GU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37" id="{1228ED16-5AEF-4C5B-ABE9-D71C21BE6F2A}">
            <xm:f>$E$24=Catalogues!$AD$2</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D27:E28</xm:sqref>
        </x14:conditionalFormatting>
        <x14:conditionalFormatting xmlns:xm="http://schemas.microsoft.com/office/excel/2006/main">
          <x14:cfRule type="expression" priority="38" id="{61BD215B-84BC-4009-92A8-78502782D5C8}">
            <xm:f>$E$24=Catalogues!$AD$3</xm:f>
            <x14:dxf>
              <font>
                <color theme="0"/>
              </font>
              <fill>
                <patternFill>
                  <fgColor theme="0"/>
                  <bgColor theme="0"/>
                </patternFill>
              </fill>
              <border>
                <left/>
                <right/>
                <top/>
                <bottom/>
              </border>
            </x14:dxf>
          </x14:cfRule>
          <xm:sqref>D26:E26</xm:sqref>
        </x14:conditionalFormatting>
        <x14:conditionalFormatting xmlns:xm="http://schemas.microsoft.com/office/excel/2006/main">
          <x14:cfRule type="expression" priority="33" id="{9D7CEEA1-FFFE-49BC-BB35-14255CCB422C}">
            <xm:f>$E$23=Catalogues!$AD$2</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D28:E28</xm:sqref>
        </x14:conditionalFormatting>
        <x14:conditionalFormatting xmlns:xm="http://schemas.microsoft.com/office/excel/2006/main">
          <x14:cfRule type="expression" priority="29" id="{C9532644-D71C-44B8-B0F6-656CA5CB7F01}">
            <xm:f>$E$19=Catalogues!$AB$2</xm:f>
            <x14:dxf>
              <font>
                <color theme="0"/>
              </font>
              <fill>
                <patternFill patternType="solid">
                  <fgColor theme="0"/>
                  <bgColor theme="0"/>
                </patternFill>
              </fill>
              <border>
                <left/>
                <right/>
                <top/>
                <bottom/>
                <vertical/>
                <horizontal/>
              </border>
            </x14:dxf>
          </x14:cfRule>
          <xm:sqref>D32 D34 E33 C33</xm:sqref>
        </x14:conditionalFormatting>
        <x14:conditionalFormatting xmlns:xm="http://schemas.microsoft.com/office/excel/2006/main">
          <x14:cfRule type="expression" priority="30" id="{10342D3F-15B6-4898-B689-C13228B67A25}">
            <xm:f>$E$19='file:///C:\Users\solazheng\Library\Containers\com.microsoft.Excel\Data\Documents\Users\collins Nicholas\AppData\Local\Microsoft\Windows\INetCache\Content.Outlook\X21HJ5CR\[CONFIDENTIAL-SBTi_Aviation_tool_demo_V28(Vs)_Locked.xlsx]Assumptions'!#REF!</xm:f>
            <x14:dxf>
              <font>
                <color theme="0"/>
              </font>
              <fill>
                <patternFill patternType="solid">
                  <fgColor theme="0"/>
                  <bgColor theme="0"/>
                </patternFill>
              </fill>
              <border>
                <left/>
                <right/>
                <top/>
                <bottom/>
                <vertical/>
                <horizontal/>
              </border>
            </x14:dxf>
          </x14:cfRule>
          <xm:sqref>E33</xm:sqref>
        </x14:conditionalFormatting>
        <x14:conditionalFormatting xmlns:xm="http://schemas.microsoft.com/office/excel/2006/main">
          <x14:cfRule type="expression" priority="27" id="{AA5EE1E4-F66B-4C42-82E8-F8D2C038D218}">
            <xm:f>$E$19=Catalogues!$AB$2</xm:f>
            <x14:dxf>
              <font>
                <color theme="0"/>
              </font>
              <fill>
                <patternFill patternType="solid">
                  <fgColor theme="0"/>
                  <bgColor theme="0"/>
                </patternFill>
              </fill>
              <border>
                <left/>
                <right/>
                <top/>
                <bottom/>
                <vertical/>
                <horizontal/>
              </border>
            </x14:dxf>
          </x14:cfRule>
          <xm:sqref>C37</xm:sqref>
        </x14:conditionalFormatting>
        <x14:conditionalFormatting xmlns:xm="http://schemas.microsoft.com/office/excel/2006/main">
          <x14:cfRule type="expression" priority="18" id="{AF3494E8-57CC-4286-A951-6B8F21CB0EC4}">
            <xm:f>$E$35=Catalogues!$P$3</xm:f>
            <x14:dxf>
              <font>
                <color theme="0"/>
              </font>
              <fill>
                <patternFill>
                  <fgColor theme="0"/>
                  <bgColor theme="0"/>
                </patternFill>
              </fill>
              <border>
                <left/>
                <right/>
                <top/>
                <bottom/>
              </border>
            </x14:dxf>
          </x14:cfRule>
          <xm:sqref>E37 C37</xm:sqref>
        </x14:conditionalFormatting>
        <x14:conditionalFormatting xmlns:xm="http://schemas.microsoft.com/office/excel/2006/main">
          <x14:cfRule type="expression" priority="17" id="{BB11EA33-AC77-44EE-8578-9A9B089B47C7}">
            <xm:f>$E$35=Catalogues!$P$2</xm:f>
            <x14:dxf>
              <font>
                <color theme="0"/>
              </font>
              <fill>
                <patternFill>
                  <bgColor theme="0"/>
                </patternFill>
              </fill>
              <border>
                <left/>
                <right/>
                <top/>
                <bottom/>
              </border>
            </x14:dxf>
          </x14:cfRule>
          <xm:sqref>E36 C36</xm:sqref>
        </x14:conditionalFormatting>
        <x14:conditionalFormatting xmlns:xm="http://schemas.microsoft.com/office/excel/2006/main">
          <x14:cfRule type="expression" priority="16" id="{8912B811-911A-4A09-8303-AEA141BF9906}">
            <xm:f>$E$35=Catalogues!$P$2</xm:f>
            <x14:dxf>
              <font>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border>
            </x14:dxf>
          </x14:cfRule>
          <xm:sqref>E36</xm:sqref>
        </x14:conditionalFormatting>
        <x14:conditionalFormatting xmlns:xm="http://schemas.microsoft.com/office/excel/2006/main">
          <x14:cfRule type="expression" priority="15" id="{A320A346-4118-4BF4-90B8-07E9DEB37EE4}">
            <xm:f>$E$24=Catalogues!$AD$3</xm:f>
            <x14:dxf>
              <font>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E26</xm:sqref>
        </x14:conditionalFormatting>
        <x14:conditionalFormatting xmlns:xm="http://schemas.microsoft.com/office/excel/2006/main">
          <x14:cfRule type="expression" priority="14" id="{0A1E2610-39C5-4204-8AAF-AB7FFDC50B4F}">
            <xm:f>$E$24=Catalogues!$AD$2</xm:f>
            <x14:dxf>
              <font>
                <color theme="0" tint="-0.499984740745262"/>
              </font>
              <fill>
                <patternFill>
                  <bgColor theme="0" tint="-0.499984740745262"/>
                </patternFill>
              </fill>
              <border>
                <left style="thin">
                  <color auto="1"/>
                </left>
                <right style="thin">
                  <color auto="1"/>
                </right>
                <top style="thin">
                  <color auto="1"/>
                </top>
                <bottom style="thin">
                  <color auto="1"/>
                </bottom>
                <vertical/>
                <horizontal/>
              </border>
            </x14:dxf>
          </x14:cfRule>
          <xm:sqref>E27</xm:sqref>
        </x14:conditionalFormatting>
        <x14:conditionalFormatting xmlns:xm="http://schemas.microsoft.com/office/excel/2006/main">
          <x14:cfRule type="expression" priority="13" id="{2BE7E498-C5E8-40DD-A121-F50AE9685FD8}">
            <xm:f>$E$35=Catalogues!$P$3</xm:f>
            <x14:dxf>
              <font>
                <color theme="0" tint="-0.499984740745262"/>
              </font>
              <fill>
                <patternFill>
                  <bgColor theme="0" tint="-0.499984740745262"/>
                </patternFill>
              </fill>
              <border>
                <left style="thin">
                  <color auto="1"/>
                </left>
                <right style="thin">
                  <color auto="1"/>
                </right>
                <top style="thin">
                  <color auto="1"/>
                </top>
                <bottom style="thin">
                  <color auto="1"/>
                </bottom>
                <vertical/>
                <horizontal/>
              </border>
            </x14:dxf>
          </x14:cfRule>
          <xm:sqref>E37</xm:sqref>
        </x14:conditionalFormatting>
        <x14:conditionalFormatting xmlns:xm="http://schemas.microsoft.com/office/excel/2006/main">
          <x14:cfRule type="expression" priority="11" id="{1CC229CC-E288-4155-87B1-999E1EE2F4F7}">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D67</xm:sqref>
        </x14:conditionalFormatting>
        <x14:conditionalFormatting xmlns:xm="http://schemas.microsoft.com/office/excel/2006/main">
          <x14:cfRule type="expression" priority="9" id="{18747FE1-4002-4634-8F12-027009B1F13D}">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C67</xm:sqref>
        </x14:conditionalFormatting>
        <x14:conditionalFormatting xmlns:xm="http://schemas.microsoft.com/office/excel/2006/main">
          <x14:cfRule type="expression" priority="5" id="{98920EC7-3483-4995-9883-D97847817258}">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B67</xm:sqref>
        </x14:conditionalFormatting>
      </x14:conditionalFormattings>
    </ext>
    <ext xmlns:x14="http://schemas.microsoft.com/office/spreadsheetml/2009/9/main" uri="{CCE6A557-97BC-4b89-ADB6-D9C93CAAB3DF}">
      <x14:dataValidations xmlns:xm="http://schemas.microsoft.com/office/excel/2006/main" xWindow="1208" yWindow="788" count="6">
        <x14:dataValidation type="list" allowBlank="1" showInputMessage="1" errorTitle="Invalid Target Year" error="Target year date should be between 5-15 years after the current year" xr:uid="{00000000-0002-0000-0300-000004000000}">
          <x14:formula1>
            <xm:f>Catalogues!$AI$3</xm:f>
          </x14:formula1>
          <xm:sqref>E19:F19</xm:sqref>
        </x14:dataValidation>
        <x14:dataValidation type="list" allowBlank="1" showInputMessage="1" showErrorMessage="1" errorTitle="Invalid Target Year" error="Targets must cover a minimum of 5 years and a maximum of 15 years from the date the target is submitted to the SBTi for validation." promptTitle="Input a target year" prompt="Targets must cover a minimum of 5 years and a maximum of 15 years from the date the target is submitted to the SBTi for validation." xr:uid="{00000000-0002-0000-0300-000005000000}">
          <x14:formula1>
            <xm:f>Catalogues!$Z$6:$Z$28</xm:f>
          </x14:formula1>
          <xm:sqref>E18:F18</xm:sqref>
        </x14:dataValidation>
        <x14:dataValidation type="list" allowBlank="1" showInputMessage="1" showErrorMessage="1" xr:uid="{00000000-0002-0000-0300-000006000000}">
          <x14:formula1>
            <xm:f>Catalogues!$AD$2:$AD$3</xm:f>
          </x14:formula1>
          <xm:sqref>E24:F24</xm:sqref>
        </x14:dataValidation>
        <x14:dataValidation type="list" allowBlank="1" showErrorMessage="1" promptTitle="Choose forecast approach" prompt="CAGR referes to a Compound Annual Growth Rate evenly applied across all operating segments from base year to 2050_x000a_" xr:uid="{00000000-0002-0000-0300-000007000000}">
          <x14:formula1>
            <xm:f>Catalogues!$P$2:$P$3</xm:f>
          </x14:formula1>
          <xm:sqref>E35</xm:sqref>
        </x14:dataValidation>
        <x14:dataValidation type="list" allowBlank="1" showInputMessage="1" showErrorMessage="1" errorTitle="Invalid base year" error="Please choose a base year that is 2018 or sooner. A base year should be chosen as the year with the most recent complete GHG inventory available " promptTitle="Input a target base year" prompt="This should be the most recent year in which a full GHG inventory was completed " xr:uid="{00000000-0002-0000-0300-000008000000}">
          <x14:formula1>
            <xm:f>Catalogues!$Y$5:$Y$7</xm:f>
          </x14:formula1>
          <xm:sqref>E17:F17</xm:sqref>
        </x14:dataValidation>
        <x14:dataValidation type="list" allowBlank="1" showInputMessage="1" showErrorMessage="1" xr:uid="{E1A48297-8D4F-4FED-BE2D-2CCAFEDBFB19}">
          <x14:formula1>
            <xm:f>Catalogues!$R$2</xm:f>
          </x14:formula1>
          <xm:sqref>E16:F16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00546E"/>
  </sheetPr>
  <dimension ref="A1:W68"/>
  <sheetViews>
    <sheetView showGridLines="0" zoomScale="70" zoomScaleNormal="70" workbookViewId="0">
      <selection activeCell="H18" sqref="H18"/>
    </sheetView>
  </sheetViews>
  <sheetFormatPr defaultColWidth="0" defaultRowHeight="15"/>
  <cols>
    <col min="1" max="1" width="10.42578125" customWidth="1"/>
    <col min="2" max="2" width="4.42578125" customWidth="1"/>
    <col min="3" max="3" width="8.42578125" customWidth="1"/>
    <col min="4" max="4" width="30.42578125" customWidth="1"/>
    <col min="5" max="10" width="20.42578125" customWidth="1"/>
    <col min="11" max="14" width="8.85546875" customWidth="1"/>
    <col min="15" max="15" width="8.85546875" style="37" hidden="1"/>
    <col min="16" max="23" width="8.85546875" hidden="1"/>
  </cols>
  <sheetData>
    <row r="1" spans="1:23" s="8" customFormat="1">
      <c r="A1" s="641"/>
      <c r="B1" s="641"/>
      <c r="C1" s="641"/>
      <c r="D1" s="641"/>
      <c r="E1" s="641"/>
      <c r="F1" s="641"/>
      <c r="G1" s="641"/>
      <c r="H1" s="641"/>
      <c r="I1" s="641"/>
      <c r="J1" s="641"/>
      <c r="K1" s="641"/>
      <c r="L1" s="641"/>
      <c r="M1" s="641"/>
      <c r="N1" s="89"/>
      <c r="O1" s="659"/>
      <c r="P1" s="641"/>
      <c r="Q1" s="641"/>
      <c r="R1" s="641"/>
      <c r="S1" s="641"/>
      <c r="T1" s="641"/>
      <c r="U1" s="641"/>
      <c r="V1" s="641"/>
      <c r="W1" s="641"/>
    </row>
    <row r="2" spans="1:23" ht="3.6" customHeight="1">
      <c r="E2" s="1"/>
    </row>
    <row r="3" spans="1:23">
      <c r="E3" s="1"/>
    </row>
    <row r="4" spans="1:23" ht="16.5" thickBot="1">
      <c r="D4" s="319" t="str">
        <f>Intro!$D$4</f>
        <v>SBT Aviation Tool</v>
      </c>
      <c r="F4" s="12"/>
      <c r="G4" s="12"/>
      <c r="H4" s="12"/>
    </row>
    <row r="5" spans="1:23" ht="16.5" thickBot="1">
      <c r="D5" s="237" t="str">
        <f>Intro!$D$5</f>
        <v>Sectoral Decarbonization Approach - Aviation Sector</v>
      </c>
      <c r="I5" s="22" t="s">
        <v>30</v>
      </c>
      <c r="J5" s="9" t="s">
        <v>29</v>
      </c>
    </row>
    <row r="6" spans="1:23" ht="15" customHeight="1" thickBot="1">
      <c r="D6" s="237" t="str">
        <f>Intro!$D$6</f>
        <v>Version 2.0</v>
      </c>
      <c r="I6" s="27" t="s">
        <v>31</v>
      </c>
      <c r="J6" s="88" t="s">
        <v>32</v>
      </c>
      <c r="N6" s="84"/>
    </row>
    <row r="7" spans="1:23" s="13" customFormat="1" ht="15.75" thickBot="1">
      <c r="E7" s="18"/>
      <c r="O7" s="79"/>
    </row>
    <row r="8" spans="1:23" ht="12.75" customHeight="1">
      <c r="E8" s="1"/>
    </row>
    <row r="9" spans="1:23" s="249" customFormat="1" ht="26.25" customHeight="1" thickBot="1">
      <c r="A9"/>
      <c r="B9" s="337" t="s">
        <v>614</v>
      </c>
      <c r="C9" s="336" t="s">
        <v>613</v>
      </c>
    </row>
    <row r="10" spans="1:23" ht="14.45" customHeight="1">
      <c r="B10" s="680" t="s">
        <v>683</v>
      </c>
      <c r="C10" s="680"/>
      <c r="D10" s="680"/>
      <c r="E10" s="680"/>
      <c r="F10" s="680"/>
      <c r="G10" s="680"/>
      <c r="H10" s="680"/>
      <c r="I10" s="680"/>
      <c r="J10" s="680"/>
      <c r="K10" s="680"/>
      <c r="L10" s="680"/>
      <c r="M10" s="680"/>
      <c r="O10" s="226"/>
    </row>
    <row r="11" spans="1:23" ht="34.35" customHeight="1">
      <c r="B11" s="680"/>
      <c r="C11" s="680"/>
      <c r="D11" s="680"/>
      <c r="E11" s="680"/>
      <c r="F11" s="680"/>
      <c r="G11" s="680"/>
      <c r="H11" s="680"/>
      <c r="I11" s="680"/>
      <c r="J11" s="680"/>
      <c r="K11" s="680"/>
      <c r="L11" s="680"/>
      <c r="M11" s="680"/>
      <c r="O11" s="226"/>
    </row>
    <row r="12" spans="1:23" s="8" customFormat="1" ht="30" customHeight="1">
      <c r="A12" s="8" t="s">
        <v>530</v>
      </c>
      <c r="B12" s="230"/>
      <c r="C12" s="230"/>
      <c r="D12" s="230"/>
      <c r="E12" s="230"/>
      <c r="F12" s="230"/>
      <c r="G12" s="230"/>
      <c r="H12" s="230"/>
      <c r="I12" s="230"/>
      <c r="J12" s="230"/>
      <c r="K12" s="230"/>
      <c r="L12" s="230"/>
      <c r="M12" s="230"/>
    </row>
    <row r="13" spans="1:23" s="249" customFormat="1" ht="26.25" customHeight="1" thickBot="1">
      <c r="A13"/>
      <c r="B13" s="317">
        <v>1</v>
      </c>
      <c r="C13" s="318" t="s">
        <v>577</v>
      </c>
    </row>
    <row r="14" spans="1:23" ht="22.5" customHeight="1" thickBot="1"/>
    <row r="15" spans="1:23" ht="26.25" customHeight="1" thickBot="1">
      <c r="D15" s="306" t="s">
        <v>24</v>
      </c>
      <c r="E15" s="668" t="s">
        <v>504</v>
      </c>
      <c r="F15" s="669"/>
    </row>
    <row r="16" spans="1:23" ht="26.25" customHeight="1" thickBot="1">
      <c r="D16" s="306" t="s">
        <v>645</v>
      </c>
      <c r="E16" s="686" t="s">
        <v>647</v>
      </c>
      <c r="F16" s="687"/>
    </row>
    <row r="17" spans="1:18" ht="26.25" customHeight="1" thickBot="1">
      <c r="D17" s="306" t="s">
        <v>0</v>
      </c>
      <c r="E17" s="668"/>
      <c r="F17" s="669"/>
    </row>
    <row r="18" spans="1:18" ht="26.25" customHeight="1" thickBot="1">
      <c r="D18" s="306" t="s">
        <v>1</v>
      </c>
      <c r="E18" s="668"/>
      <c r="F18" s="669"/>
      <c r="G18" s="234" t="str">
        <f ca="1">IF(S3_target&gt;YEAR(NOW())+15,"Target year must comply with SBTi target timeframe criteria","")</f>
        <v/>
      </c>
    </row>
    <row r="19" spans="1:18" ht="26.25" customHeight="1" thickBot="1">
      <c r="D19" s="306" t="s">
        <v>607</v>
      </c>
      <c r="E19" s="670" t="s">
        <v>495</v>
      </c>
      <c r="F19" s="671"/>
    </row>
    <row r="20" spans="1:18">
      <c r="E20" s="214" t="str">
        <f>IF(E19=Catalogues!$AI$3,"Please utilize 'Own Operations' tab to calculate targets for contracted freight services","")</f>
        <v/>
      </c>
    </row>
    <row r="22" spans="1:18" s="249" customFormat="1" ht="26.25" customHeight="1" thickBot="1">
      <c r="A22"/>
      <c r="B22" s="317">
        <v>2</v>
      </c>
      <c r="C22" s="318" t="str">
        <f>"Aviation-related business emissions in base year ("&amp;S3_base&amp;")"</f>
        <v>Aviation-related business emissions in base year ()</v>
      </c>
      <c r="P22" s="249" t="s">
        <v>131</v>
      </c>
    </row>
    <row r="24" spans="1:18" ht="15.75" thickBot="1">
      <c r="B24" s="8"/>
      <c r="C24" s="8"/>
      <c r="D24" s="8"/>
      <c r="E24" s="8"/>
      <c r="F24" s="8"/>
      <c r="G24" s="8"/>
      <c r="H24" s="8"/>
      <c r="I24" s="8"/>
      <c r="J24" s="8"/>
      <c r="K24" s="8"/>
      <c r="L24" s="8"/>
      <c r="M24" s="8"/>
      <c r="N24" s="8"/>
    </row>
    <row r="25" spans="1:18" s="232" customFormat="1" ht="30" customHeight="1" thickBot="1">
      <c r="C25" s="676" t="str">
        <f>" Scope 3 Category 6
Air travel emissions (tCO2e)"</f>
        <v xml:space="preserve"> Scope 3 Category 6
Air travel emissions (tCO2e)</v>
      </c>
      <c r="D25" s="676"/>
      <c r="E25" s="22"/>
      <c r="O25" s="233"/>
      <c r="R25" s="212">
        <f>IF($E$19=Catalogues!$AI$2,'Business Travel'!E25,0)</f>
        <v>0</v>
      </c>
    </row>
    <row r="26" spans="1:18">
      <c r="B26" s="8"/>
      <c r="C26" s="8"/>
      <c r="D26" s="8"/>
      <c r="E26" s="8"/>
      <c r="F26" s="8"/>
      <c r="G26" s="8"/>
      <c r="H26" s="8"/>
      <c r="I26" s="8"/>
      <c r="J26" s="8"/>
      <c r="K26" s="8"/>
      <c r="L26" s="8"/>
      <c r="M26" s="8"/>
      <c r="N26" s="8"/>
    </row>
    <row r="27" spans="1:18" ht="20.100000000000001" customHeight="1"/>
    <row r="28" spans="1:18" s="249" customFormat="1" ht="26.25" customHeight="1" thickBot="1">
      <c r="A28"/>
      <c r="B28" s="317">
        <v>3</v>
      </c>
      <c r="C28" s="318" t="str">
        <f>"Base and target year company FTE data"</f>
        <v>Base and target year company FTE data</v>
      </c>
    </row>
    <row r="29" spans="1:18" ht="15.75" thickBot="1"/>
    <row r="30" spans="1:18" s="232" customFormat="1" ht="30" customHeight="1" thickBot="1">
      <c r="D30" s="306" t="str">
        <f>"Enter company FTE in "&amp;S3_base</f>
        <v xml:space="preserve">Enter company FTE in </v>
      </c>
      <c r="E30" s="22"/>
      <c r="O30" s="233"/>
      <c r="R30" s="212">
        <f>IF($E$19=Catalogues!$AI$2,'Business Travel'!E30,0)</f>
        <v>0</v>
      </c>
    </row>
    <row r="31" spans="1:18" s="232" customFormat="1" ht="30" customHeight="1" thickBot="1">
      <c r="D31" s="306" t="str">
        <f>"Enter company FTE in "&amp;S3_target</f>
        <v xml:space="preserve">Enter company FTE in </v>
      </c>
      <c r="E31" s="22"/>
      <c r="F31" s="7" t="str">
        <f>"Assumes compounded (year-on-year) growth in between "&amp;S3_base&amp;"-"&amp;S3_target&amp;" and beyond"&amp;" "&amp;S3_target</f>
        <v xml:space="preserve">Assumes compounded (year-on-year) growth in between - and beyond </v>
      </c>
      <c r="O31" s="233"/>
      <c r="R31" s="212">
        <f>IF($E$19=Catalogues!$AI$2,'Business Travel'!E31,0)</f>
        <v>0</v>
      </c>
    </row>
    <row r="32" spans="1:18" ht="21" customHeight="1">
      <c r="B32" s="8"/>
      <c r="C32" s="8"/>
      <c r="D32" s="8"/>
      <c r="E32" s="8"/>
      <c r="F32" s="8"/>
      <c r="G32" s="8"/>
      <c r="H32" s="8"/>
      <c r="I32" s="8"/>
      <c r="J32" s="8"/>
      <c r="K32" s="8"/>
      <c r="L32" s="8"/>
      <c r="M32" s="8"/>
      <c r="N32" s="8"/>
    </row>
    <row r="33" spans="1:14" s="249" customFormat="1" ht="26.25" customHeight="1" thickBot="1">
      <c r="A33"/>
      <c r="B33" s="317">
        <v>4</v>
      </c>
      <c r="C33" s="318" t="s">
        <v>576</v>
      </c>
    </row>
    <row r="35" spans="1:14">
      <c r="B35" s="8"/>
      <c r="C35" s="8"/>
      <c r="D35" s="8"/>
      <c r="E35" s="8"/>
      <c r="F35" s="8"/>
      <c r="G35" s="8"/>
      <c r="H35" s="8"/>
      <c r="I35" s="8"/>
      <c r="J35" s="8"/>
      <c r="K35" s="8"/>
      <c r="L35" s="8"/>
      <c r="M35" s="8"/>
      <c r="N35" s="8"/>
    </row>
    <row r="36" spans="1:14">
      <c r="B36" s="8"/>
      <c r="C36" s="8"/>
      <c r="D36" s="8"/>
      <c r="E36" s="8"/>
      <c r="F36" s="8"/>
      <c r="G36" s="8"/>
      <c r="H36" s="8"/>
      <c r="I36" s="8"/>
      <c r="J36" s="8"/>
      <c r="K36" s="8"/>
      <c r="L36" s="8"/>
      <c r="M36" s="8"/>
      <c r="N36" s="8"/>
    </row>
    <row r="37" spans="1:14">
      <c r="B37" s="8"/>
      <c r="C37" s="8"/>
      <c r="D37" s="8"/>
      <c r="E37" s="8"/>
      <c r="F37" s="8"/>
      <c r="G37" s="8"/>
      <c r="H37" s="8"/>
      <c r="I37" s="8"/>
      <c r="J37" s="8"/>
      <c r="K37" s="8"/>
      <c r="L37" s="8"/>
      <c r="M37" s="8"/>
      <c r="N37" s="8"/>
    </row>
    <row r="38" spans="1:14">
      <c r="B38" s="8"/>
      <c r="C38" s="8"/>
      <c r="D38" s="8"/>
      <c r="E38" s="8"/>
      <c r="F38" s="8"/>
      <c r="G38" s="8"/>
      <c r="H38" s="8"/>
      <c r="I38" s="8"/>
      <c r="J38" s="8"/>
      <c r="K38" s="8"/>
      <c r="L38" s="8"/>
      <c r="M38" s="8"/>
      <c r="N38" s="8"/>
    </row>
    <row r="39" spans="1:14">
      <c r="B39" s="8"/>
      <c r="C39" s="8"/>
      <c r="D39" s="8"/>
      <c r="E39" s="8"/>
      <c r="F39" s="8"/>
      <c r="G39" s="8"/>
      <c r="H39" s="8"/>
      <c r="I39" s="8"/>
      <c r="J39" s="8"/>
      <c r="K39" s="8"/>
      <c r="L39" s="8"/>
      <c r="M39" s="8"/>
      <c r="N39" s="8"/>
    </row>
    <row r="40" spans="1:14">
      <c r="B40" s="8"/>
      <c r="C40" s="8"/>
      <c r="D40" s="8"/>
      <c r="E40" s="8"/>
      <c r="F40" s="8"/>
      <c r="G40" s="8"/>
      <c r="H40" s="8"/>
      <c r="I40" s="8"/>
      <c r="J40" s="8"/>
      <c r="K40" s="8"/>
      <c r="L40" s="8"/>
      <c r="M40" s="8"/>
      <c r="N40" s="8"/>
    </row>
    <row r="41" spans="1:14">
      <c r="B41" s="8"/>
      <c r="C41" s="8"/>
      <c r="D41" s="8"/>
      <c r="E41" s="8"/>
      <c r="F41" s="8"/>
      <c r="G41" s="8"/>
      <c r="H41" s="8"/>
      <c r="I41" s="8"/>
      <c r="J41" s="8"/>
      <c r="K41" s="8"/>
      <c r="L41" s="8"/>
      <c r="M41" s="8"/>
      <c r="N41" s="8"/>
    </row>
    <row r="42" spans="1:14">
      <c r="B42" s="8"/>
      <c r="C42" s="8"/>
      <c r="D42" s="8"/>
      <c r="E42" s="8"/>
      <c r="F42" s="8"/>
      <c r="G42" s="8"/>
      <c r="H42" s="8"/>
      <c r="I42" s="8"/>
      <c r="J42" s="8"/>
      <c r="K42" s="8"/>
      <c r="L42" s="8"/>
      <c r="M42" s="8"/>
      <c r="N42" s="8"/>
    </row>
    <row r="43" spans="1:14">
      <c r="B43" s="8"/>
      <c r="C43" s="8"/>
      <c r="D43" s="8"/>
      <c r="E43" s="8"/>
      <c r="F43" s="8"/>
      <c r="G43" s="8"/>
      <c r="H43" s="8"/>
      <c r="I43" s="8"/>
      <c r="J43" s="8"/>
      <c r="K43" s="8"/>
      <c r="L43" s="8"/>
      <c r="M43" s="8"/>
      <c r="N43" s="8"/>
    </row>
    <row r="44" spans="1:14">
      <c r="B44" s="8"/>
      <c r="C44" s="8"/>
      <c r="D44" s="8"/>
      <c r="E44" s="8"/>
      <c r="F44" s="8"/>
      <c r="G44" s="8"/>
      <c r="H44" s="8"/>
      <c r="I44" s="8"/>
      <c r="J44" s="8"/>
      <c r="K44" s="8"/>
      <c r="L44" s="8"/>
      <c r="M44" s="8"/>
      <c r="N44" s="8"/>
    </row>
    <row r="45" spans="1:14">
      <c r="B45" s="8"/>
      <c r="C45" s="8"/>
      <c r="D45" s="8"/>
      <c r="E45" s="8"/>
      <c r="F45" s="8"/>
      <c r="G45" s="8"/>
      <c r="H45" s="8"/>
      <c r="I45" s="8"/>
      <c r="J45" s="8"/>
      <c r="K45" s="8"/>
      <c r="L45" s="8"/>
      <c r="M45" s="8"/>
      <c r="N45" s="8"/>
    </row>
    <row r="46" spans="1:14">
      <c r="B46" s="8"/>
      <c r="C46" s="8"/>
      <c r="D46" s="8"/>
      <c r="E46" s="8"/>
      <c r="F46" s="8"/>
      <c r="G46" s="8"/>
      <c r="H46" s="8"/>
      <c r="I46" s="8"/>
      <c r="J46" s="8"/>
      <c r="K46" s="8"/>
      <c r="L46" s="8"/>
      <c r="M46" s="8"/>
      <c r="N46" s="8"/>
    </row>
    <row r="47" spans="1:14">
      <c r="B47" s="8"/>
      <c r="C47" s="8"/>
      <c r="D47" s="8"/>
      <c r="E47" s="8"/>
      <c r="F47" s="8"/>
      <c r="G47" s="8"/>
      <c r="H47" s="8"/>
      <c r="I47" s="8"/>
      <c r="J47" s="8"/>
      <c r="K47" s="8"/>
      <c r="L47" s="8"/>
      <c r="M47" s="8"/>
      <c r="N47" s="8"/>
    </row>
    <row r="48" spans="1:14">
      <c r="B48" s="8"/>
      <c r="C48" s="8"/>
      <c r="D48" s="8"/>
      <c r="E48" s="8"/>
      <c r="F48" s="8"/>
      <c r="G48" s="8"/>
      <c r="H48" s="8"/>
      <c r="I48" s="8"/>
      <c r="J48" s="8"/>
      <c r="K48" s="8"/>
      <c r="L48" s="8"/>
      <c r="M48" s="8"/>
      <c r="N48" s="8"/>
    </row>
    <row r="49" spans="2:14">
      <c r="B49" s="8"/>
      <c r="C49" s="8"/>
      <c r="D49" s="8"/>
      <c r="E49" s="8"/>
      <c r="F49" s="8"/>
      <c r="G49" s="8"/>
      <c r="H49" s="8"/>
      <c r="I49" s="8"/>
      <c r="J49" s="8"/>
      <c r="K49" s="8"/>
      <c r="L49" s="8"/>
      <c r="M49" s="8"/>
      <c r="N49" s="8"/>
    </row>
    <row r="50" spans="2:14">
      <c r="B50" s="8"/>
      <c r="C50" s="8"/>
      <c r="D50" s="8"/>
      <c r="E50" s="8"/>
      <c r="F50" s="8"/>
      <c r="G50" s="8"/>
      <c r="H50" s="8"/>
      <c r="I50" s="8"/>
      <c r="J50" s="8"/>
      <c r="K50" s="8"/>
      <c r="L50" s="8"/>
      <c r="M50" s="8"/>
      <c r="N50" s="8"/>
    </row>
    <row r="51" spans="2:14">
      <c r="B51" s="8"/>
      <c r="C51" s="8"/>
      <c r="D51" s="8"/>
      <c r="E51" s="8"/>
      <c r="F51" s="8"/>
      <c r="G51" s="8"/>
      <c r="H51" s="8"/>
      <c r="I51" s="8"/>
      <c r="J51" s="8"/>
      <c r="K51" s="8"/>
      <c r="L51" s="8"/>
      <c r="M51" s="8"/>
      <c r="N51" s="8"/>
    </row>
    <row r="52" spans="2:14">
      <c r="B52" s="8"/>
      <c r="C52" s="8"/>
      <c r="D52" s="8"/>
      <c r="E52" s="8"/>
      <c r="F52" s="8"/>
      <c r="G52" s="8"/>
      <c r="H52" s="8"/>
      <c r="I52" s="8"/>
      <c r="J52" s="8"/>
      <c r="K52" s="8"/>
      <c r="L52" s="8"/>
      <c r="M52" s="8"/>
      <c r="N52" s="8"/>
    </row>
    <row r="62" spans="2:14">
      <c r="D62" s="17"/>
      <c r="E62" s="215"/>
    </row>
    <row r="63" spans="2:14">
      <c r="D63" s="2"/>
    </row>
    <row r="64" spans="2:14" ht="30">
      <c r="B64" s="667" t="str">
        <f>"Target results | "&amp;E16</f>
        <v>Target results | Well Below 2°C</v>
      </c>
      <c r="C64" s="667"/>
      <c r="D64" s="667"/>
      <c r="E64" s="239" t="str">
        <f>"Base year 
("&amp;S36_base&amp;")"</f>
        <v>Base year 
()</v>
      </c>
      <c r="F64" s="239" t="str">
        <f>"Target year 
("&amp;S36_target&amp;")"</f>
        <v>Target year 
()</v>
      </c>
      <c r="G64" s="239" t="str">
        <f>"% Reduction 
("&amp;S36_base&amp;"-"&amp;S36_target&amp;")"</f>
        <v>% Reduction 
(-)</v>
      </c>
    </row>
    <row r="65" spans="2:8" ht="30" customHeight="1" thickBot="1">
      <c r="B65" s="314"/>
      <c r="C65" s="314"/>
      <c r="D65" s="324" t="str">
        <f>E15&amp;" carbon intensity"&amp;" (tCO2e/FTE)"</f>
        <v>Example Company carbon intensity (tCO2e/FTE)</v>
      </c>
      <c r="E65" s="315" t="str">
        <f>IFERROR(ROUND(INDEX(Calculations!E141:AN150,8,MATCH(S3_base,Calculations!E141:AN141,0)),2),"")</f>
        <v/>
      </c>
      <c r="F65" s="315" t="str">
        <f>IFERROR(ROUND(INDEX(Calculations!E141:AN150,8,MATCH(S3_target,Calculations!E141:AN141,0)),2),"")</f>
        <v/>
      </c>
      <c r="G65" s="316" t="str">
        <f>IFERROR((F65/E65)-1,"")</f>
        <v/>
      </c>
    </row>
    <row r="66" spans="2:8" ht="30.75" thickTop="1">
      <c r="B66" s="667" t="str">
        <f>"Target results | "&amp;E16</f>
        <v>Target results | Well Below 2°C</v>
      </c>
      <c r="C66" s="667"/>
      <c r="D66" s="667"/>
      <c r="E66" s="239" t="str">
        <f>"Base year 
("&amp;S36_base&amp;")"</f>
        <v>Base year 
()</v>
      </c>
      <c r="F66" s="239" t="str">
        <f>"Target year 
("&amp;S36_target&amp;")"</f>
        <v>Target year 
()</v>
      </c>
      <c r="G66" s="239" t="str">
        <f>"% Reduction 
("&amp;S36_base&amp;"-"&amp;S36_target&amp;")"</f>
        <v>% Reduction 
(-)</v>
      </c>
    </row>
    <row r="67" spans="2:8" ht="30" customHeight="1" thickBot="1">
      <c r="B67" s="314"/>
      <c r="C67" s="314"/>
      <c r="D67" s="324" t="str">
        <f>E15&amp;" carbon emissions"&amp;" (tCO2e)"</f>
        <v>Example Company carbon emissions (tCO2e)</v>
      </c>
      <c r="E67" s="315">
        <f>S3_Emissions</f>
        <v>0</v>
      </c>
      <c r="F67" s="315" t="str">
        <f>IFERROR(ROUND(INDEX(Calculations!E141:AN150,5,MATCH(S3_target,Calculations!E141:AN141,0)),2),"")</f>
        <v/>
      </c>
      <c r="G67" s="344" t="str">
        <f>IFERROR((F67/E67)-1,"")</f>
        <v/>
      </c>
      <c r="H67" s="77"/>
    </row>
    <row r="68" spans="2:8" ht="15.75" thickTop="1"/>
  </sheetData>
  <protectedRanges>
    <protectedRange sqref="E15:F19 E25 E30:E31" name="S3_lock"/>
  </protectedRanges>
  <mergeCells count="11">
    <mergeCell ref="B64:D64"/>
    <mergeCell ref="B66:D66"/>
    <mergeCell ref="E19:F19"/>
    <mergeCell ref="B10:M11"/>
    <mergeCell ref="C25:D25"/>
    <mergeCell ref="A1:M1"/>
    <mergeCell ref="O1:W1"/>
    <mergeCell ref="E15:F15"/>
    <mergeCell ref="E17:F17"/>
    <mergeCell ref="E18:F18"/>
    <mergeCell ref="E16:F16"/>
  </mergeCells>
  <conditionalFormatting sqref="D65">
    <cfRule type="expression" dxfId="201" priority="18">
      <formula>ISTEXT($D$17)=FALSE</formula>
    </cfRule>
  </conditionalFormatting>
  <conditionalFormatting sqref="C65">
    <cfRule type="expression" dxfId="200" priority="16">
      <formula>ISTEXT($D$17)=FALSE</formula>
    </cfRule>
  </conditionalFormatting>
  <conditionalFormatting sqref="B65">
    <cfRule type="expression" dxfId="199" priority="14">
      <formula>ISTEXT($D$17)=FALSE</formula>
    </cfRule>
  </conditionalFormatting>
  <conditionalFormatting sqref="D67">
    <cfRule type="expression" dxfId="198" priority="6">
      <formula>ISTEXT($D$17)=FALSE</formula>
    </cfRule>
  </conditionalFormatting>
  <conditionalFormatting sqref="C67">
    <cfRule type="expression" dxfId="197" priority="4">
      <formula>ISTEXT($D$17)=FALSE</formula>
    </cfRule>
  </conditionalFormatting>
  <conditionalFormatting sqref="B67">
    <cfRule type="expression" dxfId="196" priority="2">
      <formula>ISTEXT($D$17)=FALSE</formula>
    </cfRule>
  </conditionalFormatting>
  <dataValidations xWindow="386" yWindow="586" count="1">
    <dataValidation allowBlank="1" showInputMessage="1" showErrorMessage="1" promptTitle="FTE" prompt="Please enter your company workforce expressed as Full Time Equivalent" sqref="E30" xr:uid="{00000000-0002-0000-0400-000000000000}"/>
  </dataValidations>
  <pageMargins left="0.7" right="0.7" top="0.75" bottom="0.75" header="0.3" footer="0.3"/>
  <pageSetup orientation="portrait" horizontalDpi="90" verticalDpi="90" r:id="rId1"/>
  <customProperties>
    <customPr name="SSC_SHEET_GU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24" id="{CCCA89FD-B5B0-44AB-8A1D-4362E3B06DBA}">
            <xm:f>$E$19=Catalogues!$AI$3</xm:f>
            <x14:dxf>
              <fill>
                <patternFill patternType="lightUp">
                  <fgColor theme="0" tint="-0.24994659260841701"/>
                </patternFill>
              </fill>
            </x14:dxf>
          </x14:cfRule>
          <xm:sqref>B23:N24 F25:N25 R25 B26:N27 B32:N32 B30:D31 F30:N31 R30:R31 B34:N52 B25:C25 B29:N29 E62:E63</xm:sqref>
        </x14:conditionalFormatting>
        <x14:conditionalFormatting xmlns:xm="http://schemas.microsoft.com/office/excel/2006/main">
          <x14:cfRule type="expression" priority="22" id="{A1870480-3200-4ACD-9109-2342009D865A}">
            <xm:f>$E$19=Catalogues!$AI$3</xm:f>
            <x14:dxf>
              <fill>
                <patternFill patternType="lightUp">
                  <fgColor theme="0" tint="-0.24994659260841701"/>
                </patternFill>
              </fill>
            </x14:dxf>
          </x14:cfRule>
          <xm:sqref>D62:D63</xm:sqref>
        </x14:conditionalFormatting>
        <x14:conditionalFormatting xmlns:xm="http://schemas.microsoft.com/office/excel/2006/main">
          <x14:cfRule type="expression" priority="21" id="{8451EA13-EAB6-402A-97A7-9898413C30C5}">
            <xm:f>$E$19=Catalogues!$AI$3</xm:f>
            <x14:dxf>
              <fill>
                <patternFill patternType="lightUp">
                  <fgColor theme="0" tint="-0.24994659260841701"/>
                </patternFill>
              </fill>
            </x14:dxf>
          </x14:cfRule>
          <xm:sqref>B53:N58</xm:sqref>
        </x14:conditionalFormatting>
        <x14:conditionalFormatting xmlns:xm="http://schemas.microsoft.com/office/excel/2006/main">
          <x14:cfRule type="expression" priority="20" id="{7F9E01BA-EE02-48A6-B00E-C373ECD8C400}">
            <xm:f>$E$19=Catalogues!$AI$3</xm:f>
            <x14:dxf>
              <fill>
                <patternFill patternType="lightUp">
                  <fgColor theme="0" tint="-0.24994659260841701"/>
                </patternFill>
              </fill>
            </x14:dxf>
          </x14:cfRule>
          <xm:sqref>E25</xm:sqref>
        </x14:conditionalFormatting>
        <x14:conditionalFormatting xmlns:xm="http://schemas.microsoft.com/office/excel/2006/main">
          <x14:cfRule type="expression" priority="19" id="{FBDC0137-6662-4BF2-9A43-6FD262A9E4D7}">
            <xm:f>$E$19=Catalogues!$AI$3</xm:f>
            <x14:dxf>
              <fill>
                <patternFill patternType="lightUp">
                  <fgColor theme="0" tint="-0.24994659260841701"/>
                </patternFill>
              </fill>
            </x14:dxf>
          </x14:cfRule>
          <xm:sqref>E30:E31</xm:sqref>
        </x14:conditionalFormatting>
        <x14:conditionalFormatting xmlns:xm="http://schemas.microsoft.com/office/excel/2006/main">
          <x14:cfRule type="expression" priority="17" id="{7CEBF427-0475-48D3-9F53-0D6A6A4585D6}">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D65</xm:sqref>
        </x14:conditionalFormatting>
        <x14:conditionalFormatting xmlns:xm="http://schemas.microsoft.com/office/excel/2006/main">
          <x14:cfRule type="expression" priority="15" id="{0DF91CB8-E841-42C1-B786-0B31B74E8A76}">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C65</xm:sqref>
        </x14:conditionalFormatting>
        <x14:conditionalFormatting xmlns:xm="http://schemas.microsoft.com/office/excel/2006/main">
          <x14:cfRule type="expression" priority="13" id="{D10238ED-4A3C-4ED2-979E-6224D6BB39C0}">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B65</xm:sqref>
        </x14:conditionalFormatting>
        <x14:conditionalFormatting xmlns:xm="http://schemas.microsoft.com/office/excel/2006/main">
          <x14:cfRule type="expression" priority="5" id="{2DE86759-B4C4-4C9E-80FC-FB67F21C2799}">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D67</xm:sqref>
        </x14:conditionalFormatting>
        <x14:conditionalFormatting xmlns:xm="http://schemas.microsoft.com/office/excel/2006/main">
          <x14:cfRule type="expression" priority="3" id="{64189947-3981-4CBD-AFF5-E96A1B17D914}">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C67</xm:sqref>
        </x14:conditionalFormatting>
        <x14:conditionalFormatting xmlns:xm="http://schemas.microsoft.com/office/excel/2006/main">
          <x14:cfRule type="expression" priority="1" id="{07F1CF11-3063-4AFD-8A1A-3E3F6F522484}">
            <xm:f>$D$14='\Users\solazheng\Library\Containers\com.microsoft.Excel\Data\Documents\Users\Fernando Rangel\Google Drive\SBT Tool\[SBTi-tool _v1.2.1 _unlocked version.xlsx]Lists'!#REF!</xm:f>
            <x14:dxf>
              <font>
                <color theme="0" tint="-0.24994659260841701"/>
              </font>
              <fill>
                <patternFill>
                  <bgColor theme="0" tint="-0.24994659260841701"/>
                </patternFill>
              </fill>
              <border>
                <left/>
                <right/>
                <top/>
                <bottom/>
                <vertical/>
                <horizontal/>
              </border>
            </x14:dxf>
          </x14:cfRule>
          <xm:sqref>B67</xm:sqref>
        </x14:conditionalFormatting>
      </x14:conditionalFormattings>
    </ext>
    <ext xmlns:x14="http://schemas.microsoft.com/office/spreadsheetml/2009/9/main" uri="{CCE6A557-97BC-4b89-ADB6-D9C93CAAB3DF}">
      <x14:dataValidations xmlns:xm="http://schemas.microsoft.com/office/excel/2006/main" xWindow="386" yWindow="586" count="4">
        <x14:dataValidation type="list" allowBlank="1" showInputMessage="1" errorTitle="Invalid Target Year" error="Targets must cover a minimum of 5 years and a maximum of 15 years from the date the target is submitted to the SBTi for validation." promptTitle="Input a target year" prompt="Targets must cover a minimum of 5 years and a maximum of 10years from the date the target is submitted to the SBTi for validation." xr:uid="{00000000-0002-0000-0400-000001000000}">
          <x14:formula1>
            <xm:f>Catalogues!$Z$6:$Z$28</xm:f>
          </x14:formula1>
          <xm:sqref>E18:F18</xm:sqref>
        </x14:dataValidation>
        <x14:dataValidation type="list" allowBlank="1" showInputMessage="1" errorTitle="Invalid Target Year" error="Target year date should be between 5-15 years after the current year" xr:uid="{00000000-0002-0000-0400-000002000000}">
          <x14:formula1>
            <xm:f>Catalogues!$AI$2:$AI$2</xm:f>
          </x14:formula1>
          <xm:sqref>E19:F19</xm:sqref>
        </x14:dataValidation>
        <x14:dataValidation type="list" allowBlank="1" showInputMessage="1" showErrorMessage="1" errorTitle="Invalid base year" error="Please choose a base year that is 2018 or sooner. A base year should be chosen as the year with the most recent complete GHG inventory available " promptTitle="Input a target base year" prompt="This should be the most recent year in which a full GHG inventory was completed " xr:uid="{00000000-0002-0000-0400-000003000000}">
          <x14:formula1>
            <xm:f>Catalogues!$Y$14:$Y$23</xm:f>
          </x14:formula1>
          <xm:sqref>E17:F17</xm:sqref>
        </x14:dataValidation>
        <x14:dataValidation type="list" allowBlank="1" showInputMessage="1" showErrorMessage="1" xr:uid="{104ABFED-544D-4A8E-8620-CD69AA88D1EB}">
          <x14:formula1>
            <xm:f>Catalogues!$R$5</xm:f>
          </x14:formula1>
          <xm:sqref>E16:F16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0000"/>
  </sheetPr>
  <dimension ref="A1:N86"/>
  <sheetViews>
    <sheetView showGridLines="0" zoomScale="70" zoomScaleNormal="70" workbookViewId="0">
      <selection activeCell="K16" sqref="K16"/>
    </sheetView>
  </sheetViews>
  <sheetFormatPr defaultColWidth="0" defaultRowHeight="15"/>
  <cols>
    <col min="1" max="1" width="10.42578125" customWidth="1"/>
    <col min="2" max="3" width="4.42578125" customWidth="1"/>
    <col min="4" max="4" width="3.85546875" customWidth="1"/>
    <col min="5" max="5" width="30.42578125" customWidth="1"/>
    <col min="6" max="6" width="30.42578125" style="1" customWidth="1"/>
    <col min="7" max="7" width="1.42578125" customWidth="1"/>
    <col min="8" max="9" width="20.42578125" customWidth="1"/>
    <col min="10" max="10" width="1.140625" customWidth="1"/>
    <col min="11" max="13" width="20.42578125" customWidth="1"/>
    <col min="14" max="14" width="8.85546875" customWidth="1"/>
    <col min="15" max="16384" width="8.85546875" hidden="1"/>
  </cols>
  <sheetData>
    <row r="1" spans="1:13" s="8" customFormat="1">
      <c r="A1" s="641"/>
      <c r="B1" s="641"/>
      <c r="C1" s="641"/>
      <c r="D1" s="641"/>
      <c r="E1" s="641"/>
      <c r="F1" s="641"/>
      <c r="G1" s="641"/>
      <c r="H1" s="641"/>
      <c r="I1" s="641"/>
      <c r="J1" s="641"/>
      <c r="K1" s="641"/>
      <c r="L1" s="641"/>
      <c r="M1" s="641"/>
    </row>
    <row r="2" spans="1:13" ht="7.35" customHeight="1"/>
    <row r="3" spans="1:13" ht="15.75" thickBot="1"/>
    <row r="4" spans="1:13" ht="16.5" thickBot="1">
      <c r="E4" s="11" t="str">
        <f>Intro!$D$4</f>
        <v>SBT Aviation Tool</v>
      </c>
      <c r="G4" s="12"/>
      <c r="H4" s="12"/>
      <c r="I4" s="12"/>
      <c r="K4" s="22" t="s">
        <v>30</v>
      </c>
      <c r="L4" s="9" t="s">
        <v>29</v>
      </c>
    </row>
    <row r="5" spans="1:13" ht="16.5" thickBot="1">
      <c r="E5" s="244" t="str">
        <f>Intro!$D$5</f>
        <v>Sectoral Decarbonization Approach - Aviation Sector</v>
      </c>
      <c r="K5" s="27" t="s">
        <v>31</v>
      </c>
      <c r="L5" s="88" t="s">
        <v>32</v>
      </c>
    </row>
    <row r="6" spans="1:13" ht="15.75">
      <c r="E6" s="244" t="str">
        <f>Intro!$D$6</f>
        <v>Version 2.0</v>
      </c>
    </row>
    <row r="7" spans="1:13" s="13" customFormat="1" ht="15.75" thickBot="1">
      <c r="F7" s="18"/>
    </row>
    <row r="9" spans="1:13" ht="18" customHeight="1" thickBot="1">
      <c r="B9" s="335" t="s">
        <v>611</v>
      </c>
      <c r="C9" s="330"/>
      <c r="D9" s="334" t="s">
        <v>686</v>
      </c>
      <c r="E9" s="329"/>
      <c r="F9" s="19"/>
      <c r="G9" s="4"/>
      <c r="H9" s="4"/>
      <c r="I9" s="4"/>
      <c r="J9" s="4"/>
      <c r="K9" s="4"/>
      <c r="L9" s="4"/>
      <c r="M9" s="4"/>
    </row>
    <row r="10" spans="1:13" ht="18" customHeight="1" thickTop="1">
      <c r="B10" s="682" t="s">
        <v>606</v>
      </c>
      <c r="C10" s="682"/>
      <c r="D10" s="682"/>
      <c r="E10" s="682"/>
      <c r="F10" s="682"/>
      <c r="G10" s="682"/>
      <c r="H10" s="682"/>
      <c r="I10" s="682"/>
      <c r="J10" s="682"/>
      <c r="K10" s="682"/>
      <c r="L10" s="682"/>
      <c r="M10" s="682"/>
    </row>
    <row r="11" spans="1:13" ht="27.95" customHeight="1">
      <c r="B11" s="682"/>
      <c r="C11" s="682"/>
      <c r="D11" s="682"/>
      <c r="E11" s="682"/>
      <c r="F11" s="682"/>
      <c r="G11" s="682"/>
      <c r="H11" s="682"/>
      <c r="I11" s="682"/>
      <c r="J11" s="682"/>
      <c r="K11" s="682"/>
      <c r="L11" s="682"/>
      <c r="M11" s="682"/>
    </row>
    <row r="12" spans="1:13" ht="30" customHeight="1"/>
    <row r="13" spans="1:13" ht="24" thickBot="1">
      <c r="B13" s="327">
        <v>1</v>
      </c>
      <c r="C13" s="330"/>
      <c r="D13" s="328" t="s">
        <v>612</v>
      </c>
      <c r="E13" s="329"/>
      <c r="F13" s="19"/>
      <c r="G13" s="4"/>
      <c r="H13" s="4"/>
      <c r="I13" s="4"/>
      <c r="J13" s="4"/>
      <c r="K13" s="4"/>
      <c r="L13" s="4"/>
      <c r="M13" s="4"/>
    </row>
    <row r="14" spans="1:13" ht="15.75" thickTop="1"/>
    <row r="15" spans="1:13" ht="15.75" thickBot="1"/>
    <row r="16" spans="1:13" ht="26.25" customHeight="1" thickBot="1">
      <c r="E16" s="306" t="s">
        <v>7</v>
      </c>
      <c r="F16" s="331" t="s">
        <v>526</v>
      </c>
    </row>
    <row r="17" spans="2:13" ht="26.25" customHeight="1" thickBot="1">
      <c r="E17" s="306" t="s">
        <v>21</v>
      </c>
      <c r="F17" s="307">
        <v>71.5</v>
      </c>
    </row>
    <row r="18" spans="2:13" ht="26.25" customHeight="1" thickBot="1">
      <c r="E18" s="306" t="s">
        <v>22</v>
      </c>
      <c r="F18" s="307">
        <v>89.7</v>
      </c>
    </row>
    <row r="21" spans="2:13" ht="24" thickBot="1">
      <c r="B21" s="327">
        <v>1</v>
      </c>
      <c r="C21" s="330" t="s">
        <v>98</v>
      </c>
      <c r="D21" s="328" t="s">
        <v>33</v>
      </c>
      <c r="E21" s="329"/>
      <c r="F21" s="19"/>
      <c r="G21" s="4"/>
      <c r="H21" s="4"/>
      <c r="I21" s="4"/>
      <c r="J21" s="4"/>
      <c r="K21" s="4"/>
      <c r="L21" s="4"/>
      <c r="M21" s="4"/>
    </row>
    <row r="22" spans="2:13" ht="15.75" thickTop="1">
      <c r="D22" s="7"/>
      <c r="H22" s="8"/>
      <c r="I22" s="8"/>
      <c r="J22" s="8"/>
      <c r="K22" s="8"/>
      <c r="L22" s="8"/>
    </row>
    <row r="23" spans="2:13">
      <c r="D23" s="8"/>
      <c r="E23" s="8"/>
      <c r="F23" s="20"/>
      <c r="G23" s="1"/>
      <c r="H23" s="681" t="s">
        <v>510</v>
      </c>
      <c r="I23" s="681"/>
      <c r="J23" s="3"/>
      <c r="K23" s="681" t="s">
        <v>5</v>
      </c>
      <c r="L23" s="681"/>
    </row>
    <row r="24" spans="2:13" ht="23.45" customHeight="1">
      <c r="E24" s="6"/>
      <c r="H24" s="10" t="s">
        <v>3</v>
      </c>
      <c r="I24" s="14" t="s">
        <v>8</v>
      </c>
      <c r="J24" s="10"/>
      <c r="K24" s="10" t="s">
        <v>3</v>
      </c>
      <c r="L24" s="14" t="s">
        <v>8</v>
      </c>
    </row>
    <row r="25" spans="2:13" ht="15.75" thickBot="1"/>
    <row r="26" spans="2:13" ht="30" customHeight="1" thickBot="1">
      <c r="E26" s="85" t="str">
        <f>" Fossil Jet Fuel Consumption, "&amp;CHAR(10)&amp;F16</f>
        <v xml:space="preserve"> Fossil Jet Fuel Consumption, 
Imperial Gallons per year (GPY)</v>
      </c>
      <c r="F26" s="93">
        <f>H26+K26</f>
        <v>0</v>
      </c>
      <c r="G26" s="94"/>
      <c r="H26" s="86"/>
      <c r="I26" s="197"/>
      <c r="J26" s="94"/>
      <c r="K26" s="86"/>
      <c r="L26" s="197"/>
    </row>
    <row r="27" spans="2:13" ht="15.75" thickBot="1">
      <c r="F27" s="95"/>
      <c r="G27" s="94"/>
      <c r="H27" s="94"/>
      <c r="I27" s="94"/>
      <c r="J27" s="94"/>
      <c r="K27" s="94"/>
      <c r="L27" s="94"/>
    </row>
    <row r="28" spans="2:13" ht="30" customHeight="1" thickBot="1">
      <c r="E28" s="85" t="str">
        <f>" Fossil WTW Emissions 
(tCO2e)"</f>
        <v xml:space="preserve"> Fossil WTW Emissions 
(tCO2e)</v>
      </c>
      <c r="F28" s="93">
        <f>(F26*INDEX(Fuel_CO₂[], MATCH($F$16, Fuel_CO₂[Jet Fuel Units],0),5))/1000000</f>
        <v>0</v>
      </c>
      <c r="G28" s="96"/>
      <c r="H28" s="93">
        <f>(H26*INDEX(Fuel_CO₂[], MATCH($F$16, Fuel_CO₂[Jet Fuel Units],0),5))/1000000</f>
        <v>0</v>
      </c>
      <c r="I28" s="93">
        <f>H28*I26</f>
        <v>0</v>
      </c>
      <c r="J28" s="94"/>
      <c r="K28" s="93">
        <f>(K26*INDEX(Fuel_CO₂[], MATCH($F$16, Fuel_CO₂[Jet Fuel Units],0),5))/1000000</f>
        <v>0</v>
      </c>
      <c r="L28" s="93">
        <f>K28*L26</f>
        <v>0</v>
      </c>
    </row>
    <row r="31" spans="2:13" ht="24" thickBot="1">
      <c r="B31" s="327">
        <v>1</v>
      </c>
      <c r="C31" s="330" t="s">
        <v>99</v>
      </c>
      <c r="D31" s="328" t="s">
        <v>34</v>
      </c>
      <c r="E31" s="4"/>
      <c r="F31" s="19"/>
      <c r="G31" s="4"/>
      <c r="H31" s="4"/>
      <c r="I31" s="4"/>
      <c r="J31" s="4"/>
      <c r="K31" s="4"/>
      <c r="L31" s="4"/>
      <c r="M31" s="4"/>
    </row>
    <row r="32" spans="2:13" ht="15.75" thickTop="1"/>
    <row r="34" spans="5:9" ht="45.75" thickBot="1">
      <c r="F34" s="10" t="s">
        <v>36</v>
      </c>
      <c r="G34" s="15"/>
      <c r="H34" s="239" t="str">
        <f>"Volume Consumed "&amp;F16</f>
        <v>Volume Consumed Imperial Gallons per year (GPY)</v>
      </c>
      <c r="I34" s="10" t="s">
        <v>529</v>
      </c>
    </row>
    <row r="35" spans="5:9" ht="15.75" thickBot="1">
      <c r="E35" s="2" t="s">
        <v>3</v>
      </c>
      <c r="H35" s="27">
        <f>SUM(H36:H55)</f>
        <v>0</v>
      </c>
      <c r="I35" s="93">
        <f>IFERROR(SUM(I36:I55),0)</f>
        <v>0</v>
      </c>
    </row>
    <row r="36" spans="5:9">
      <c r="E36" s="29" t="s">
        <v>35</v>
      </c>
      <c r="F36" s="332"/>
      <c r="G36" s="30"/>
      <c r="H36" s="32"/>
      <c r="I36" s="92" t="str" cm="1">
        <f t="array" ref="I36">IF(F36="", IF(H36&gt;0, "Please choose a feedstock type", ""),((INDEX(SAF[], MATCH($F36, SAF[Name], 0),INDEX(Fuel_CO₂[], MATCH($F$16, Fuel_CO₂[Jet Fuel Units],0),2)+7))*H36/1000000))</f>
        <v/>
      </c>
    </row>
    <row r="37" spans="5:9">
      <c r="E37" s="29" t="s">
        <v>72</v>
      </c>
      <c r="F37" s="332"/>
      <c r="G37" s="30"/>
      <c r="H37" s="32"/>
      <c r="I37" s="92" t="str" cm="1">
        <f t="array" ref="I37">IF(F37="", IF(H37&gt;0, "Please choose a feedstock type", ""),((INDEX(SAF[], MATCH($F37, SAF[Name], 0),INDEX(Fuel_CO₂[], MATCH($F$16, Fuel_CO₂[Jet Fuel Units],0),2)+7))*H37/1000000))</f>
        <v/>
      </c>
    </row>
    <row r="38" spans="5:9">
      <c r="E38" s="29" t="s">
        <v>73</v>
      </c>
      <c r="F38" s="332"/>
      <c r="G38" s="30"/>
      <c r="H38" s="32"/>
      <c r="I38" s="92" t="str" cm="1">
        <f t="array" ref="I38">IF(F38="", IF(H38&gt;0, "Please choose a feedstock type", ""),((INDEX(SAF[], MATCH($F38, SAF[Name], 0),INDEX(Fuel_CO₂[], MATCH($F$16, Fuel_CO₂[Jet Fuel Units],0),2)+7))*H38/1000000))</f>
        <v/>
      </c>
    </row>
    <row r="39" spans="5:9" hidden="1">
      <c r="E39" s="29" t="s">
        <v>74</v>
      </c>
      <c r="F39" s="31"/>
      <c r="G39" s="30"/>
      <c r="H39" s="32"/>
      <c r="I39" s="92" t="str" cm="1">
        <f t="array" ref="I39">IF(F39="", IF(H39&gt;0, "Please choose a feedstock type", ""),((INDEX(SAF[], MATCH($F39, SAF[Name], 0),INDEX(Fuel_CO₂[], MATCH($F$16, Fuel_CO₂[Jet Fuel Units],0),2)+7))*H39/1000000))</f>
        <v/>
      </c>
    </row>
    <row r="40" spans="5:9" hidden="1">
      <c r="E40" s="29" t="s">
        <v>75</v>
      </c>
      <c r="F40" s="31"/>
      <c r="G40" s="30"/>
      <c r="H40" s="32"/>
      <c r="I40" s="92" t="str" cm="1">
        <f t="array" ref="I40">IF(F40="", IF(H40&gt;0, "Please choose a feedstock type", ""),((INDEX(SAF[], MATCH($F40, SAF[Name], 0),INDEX(Fuel_CO₂[], MATCH($F$16, Fuel_CO₂[Jet Fuel Units],0),2)+7))*H40/1000000))</f>
        <v/>
      </c>
    </row>
    <row r="41" spans="5:9" hidden="1">
      <c r="E41" s="29" t="s">
        <v>76</v>
      </c>
      <c r="F41" s="31"/>
      <c r="G41" s="30"/>
      <c r="H41" s="32"/>
      <c r="I41" s="92" t="str" cm="1">
        <f t="array" ref="I41">IF(F41="", IF(H41&gt;0, "Please choose a feedstock type", ""),((INDEX(SAF[], MATCH($F41, SAF[Name], 0),INDEX(Fuel_CO₂[], MATCH($F$16, Fuel_CO₂[Jet Fuel Units],0),2)+7))*H41/1000000))</f>
        <v/>
      </c>
    </row>
    <row r="42" spans="5:9" hidden="1">
      <c r="E42" s="29" t="s">
        <v>77</v>
      </c>
      <c r="F42" s="31"/>
      <c r="G42" s="30"/>
      <c r="H42" s="32"/>
      <c r="I42" s="92" t="str" cm="1">
        <f t="array" ref="I42">IF(F42="", IF(H42&gt;0, "Please choose a feedstock type", ""),((INDEX(SAF[], MATCH($F42, SAF[Name], 0),INDEX(Fuel_CO₂[], MATCH($F$16, Fuel_CO₂[Jet Fuel Units],0),2)+7))*H42/1000000))</f>
        <v/>
      </c>
    </row>
    <row r="43" spans="5:9" hidden="1">
      <c r="E43" s="29" t="s">
        <v>78</v>
      </c>
      <c r="F43" s="31"/>
      <c r="G43" s="30"/>
      <c r="H43" s="32"/>
      <c r="I43" s="92" t="str" cm="1">
        <f t="array" ref="I43">IF(F43="", IF(H43&gt;0, "Please choose a feedstock type", ""),((INDEX(SAF[], MATCH($F43, SAF[Name], 0),INDEX(Fuel_CO₂[], MATCH($F$16, Fuel_CO₂[Jet Fuel Units],0),2)+7))*H43/1000000))</f>
        <v/>
      </c>
    </row>
    <row r="44" spans="5:9" hidden="1">
      <c r="E44" s="29" t="s">
        <v>79</v>
      </c>
      <c r="F44" s="31"/>
      <c r="G44" s="30"/>
      <c r="H44" s="32"/>
      <c r="I44" s="92" t="str" cm="1">
        <f t="array" ref="I44">IF(F44="", IF(H44&gt;0, "Please choose a feedstock type", ""),((INDEX(SAF[], MATCH($F44, SAF[Name], 0),INDEX(Fuel_CO₂[], MATCH($F$16, Fuel_CO₂[Jet Fuel Units],0),2)+7))*H44/1000000))</f>
        <v/>
      </c>
    </row>
    <row r="45" spans="5:9" hidden="1">
      <c r="E45" s="29" t="s">
        <v>80</v>
      </c>
      <c r="F45" s="31"/>
      <c r="G45" s="30"/>
      <c r="H45" s="32"/>
      <c r="I45" s="92" t="str" cm="1">
        <f t="array" ref="I45">IF(F45="", IF(H45&gt;0, "Please choose a feedstock type", ""),((INDEX(SAF[], MATCH($F45, SAF[Name], 0),INDEX(Fuel_CO₂[], MATCH($F$16, Fuel_CO₂[Jet Fuel Units],0),2)+7))*H45/1000000))</f>
        <v/>
      </c>
    </row>
    <row r="46" spans="5:9" hidden="1">
      <c r="E46" s="29" t="s">
        <v>81</v>
      </c>
      <c r="F46" s="31"/>
      <c r="G46" s="30"/>
      <c r="H46" s="32"/>
      <c r="I46" s="92" t="str" cm="1">
        <f t="array" ref="I46">IF(F46="", IF(H46&gt;0, "Please choose a feedstock type", ""),((INDEX(SAF[], MATCH($F46, SAF[Name], 0),INDEX(Fuel_CO₂[], MATCH($F$16, Fuel_CO₂[Jet Fuel Units],0),2)+7))*H46/1000000))</f>
        <v/>
      </c>
    </row>
    <row r="47" spans="5:9" hidden="1">
      <c r="E47" s="29" t="s">
        <v>82</v>
      </c>
      <c r="F47" s="31"/>
      <c r="G47" s="30"/>
      <c r="H47" s="32"/>
      <c r="I47" s="92" t="str" cm="1">
        <f t="array" ref="I47">IF(F47="", IF(H47&gt;0, "Please choose a feedstock type", ""),((INDEX(SAF[], MATCH($F47, SAF[Name], 0),INDEX(Fuel_CO₂[], MATCH($F$16, Fuel_CO₂[Jet Fuel Units],0),2)+7))*H47/1000000))</f>
        <v/>
      </c>
    </row>
    <row r="48" spans="5:9" hidden="1">
      <c r="E48" s="29" t="s">
        <v>83</v>
      </c>
      <c r="F48" s="31"/>
      <c r="G48" s="30"/>
      <c r="H48" s="32"/>
      <c r="I48" s="92" t="str" cm="1">
        <f t="array" ref="I48">IF(F48="", IF(H48&gt;0, "Please choose a feedstock type", ""),((INDEX(SAF[], MATCH($F48, SAF[Name], 0),INDEX(Fuel_CO₂[], MATCH($F$16, Fuel_CO₂[Jet Fuel Units],0),2)+7))*H48/1000000))</f>
        <v/>
      </c>
    </row>
    <row r="49" spans="2:13" hidden="1">
      <c r="E49" s="29" t="s">
        <v>84</v>
      </c>
      <c r="F49" s="31"/>
      <c r="G49" s="30"/>
      <c r="H49" s="32"/>
      <c r="I49" s="92" t="str" cm="1">
        <f t="array" ref="I49">IF(F49="", IF(H49&gt;0, "Please choose a feedstock type", ""),((INDEX(SAF[], MATCH($F49, SAF[Name], 0),INDEX(Fuel_CO₂[], MATCH($F$16, Fuel_CO₂[Jet Fuel Units],0),2)+7))*H49/1000000))</f>
        <v/>
      </c>
    </row>
    <row r="50" spans="2:13" hidden="1">
      <c r="E50" s="29" t="s">
        <v>85</v>
      </c>
      <c r="F50" s="31"/>
      <c r="G50" s="30"/>
      <c r="H50" s="32"/>
      <c r="I50" s="92" t="str" cm="1">
        <f t="array" ref="I50">IF(F50="", IF(H50&gt;0, "Please choose a feedstock type", ""),((INDEX(SAF[], MATCH($F50, SAF[Name], 0),INDEX(Fuel_CO₂[], MATCH($F$16, Fuel_CO₂[Jet Fuel Units],0),2)+7))*H50/1000000))</f>
        <v/>
      </c>
    </row>
    <row r="51" spans="2:13" hidden="1">
      <c r="E51" s="29" t="s">
        <v>86</v>
      </c>
      <c r="F51" s="31"/>
      <c r="G51" s="30"/>
      <c r="H51" s="32"/>
      <c r="I51" s="92" t="str" cm="1">
        <f t="array" ref="I51">IF(F51="", IF(H51&gt;0, "Please choose a feedstock type", ""),((INDEX(SAF[], MATCH($F51, SAF[Name], 0),INDEX(Fuel_CO₂[], MATCH($F$16, Fuel_CO₂[Jet Fuel Units],0),2)+7))*H51/1000000))</f>
        <v/>
      </c>
    </row>
    <row r="52" spans="2:13" hidden="1">
      <c r="E52" s="29" t="s">
        <v>87</v>
      </c>
      <c r="F52" s="31"/>
      <c r="G52" s="30"/>
      <c r="H52" s="32"/>
      <c r="I52" s="92" t="str" cm="1">
        <f t="array" ref="I52">IF(F52="", IF(H52&gt;0, "Please choose a feedstock type", ""),((INDEX(SAF[], MATCH($F52, SAF[Name], 0),INDEX(Fuel_CO₂[], MATCH($F$16, Fuel_CO₂[Jet Fuel Units],0),2)+7))*H52/1000000))</f>
        <v/>
      </c>
    </row>
    <row r="53" spans="2:13" hidden="1">
      <c r="E53" s="29" t="s">
        <v>88</v>
      </c>
      <c r="F53" s="31"/>
      <c r="G53" s="30"/>
      <c r="H53" s="32"/>
      <c r="I53" s="92" t="str" cm="1">
        <f t="array" ref="I53">IF(F53="", IF(H53&gt;0, "Please choose a feedstock type", ""),((INDEX(SAF[], MATCH($F53, SAF[Name], 0),INDEX(Fuel_CO₂[], MATCH($F$16, Fuel_CO₂[Jet Fuel Units],0),2)+7))*H53/1000000))</f>
        <v/>
      </c>
    </row>
    <row r="54" spans="2:13" hidden="1">
      <c r="E54" s="29" t="s">
        <v>89</v>
      </c>
      <c r="F54" s="31"/>
      <c r="G54" s="30"/>
      <c r="H54" s="32"/>
      <c r="I54" s="92" t="str" cm="1">
        <f t="array" ref="I54">IF(F54="", IF(H54&gt;0, "Please choose a feedstock type", ""),((INDEX(SAF[], MATCH($F54, SAF[Name], 0),INDEX(Fuel_CO₂[], MATCH($F$16, Fuel_CO₂[Jet Fuel Units],0),2)+7))*H54/1000000))</f>
        <v/>
      </c>
    </row>
    <row r="55" spans="2:13" hidden="1">
      <c r="E55" s="29" t="s">
        <v>90</v>
      </c>
      <c r="F55" s="31"/>
      <c r="G55" s="30"/>
      <c r="H55" s="32"/>
      <c r="I55" s="92" t="str" cm="1">
        <f t="array" ref="I55">IF(F55="", IF(H55&gt;0, "Please choose a feedstock type", ""),((INDEX(SAF[], MATCH($F55, SAF[Name], 0),INDEX(Fuel_CO₂[], MATCH($F$16, Fuel_CO₂[Jet Fuel Units],0),2)+7))*H55/1000000))</f>
        <v/>
      </c>
    </row>
    <row r="56" spans="2:13" collapsed="1"/>
    <row r="58" spans="2:13" ht="24" thickBot="1">
      <c r="B58" s="327">
        <v>1</v>
      </c>
      <c r="C58" s="330" t="s">
        <v>28</v>
      </c>
      <c r="D58" s="328" t="s">
        <v>97</v>
      </c>
      <c r="E58" s="4"/>
      <c r="F58" s="19"/>
      <c r="G58" s="4"/>
      <c r="H58" s="4"/>
      <c r="I58" s="4"/>
      <c r="J58" s="4"/>
      <c r="K58" s="4"/>
      <c r="L58" s="4"/>
      <c r="M58" s="4"/>
    </row>
    <row r="59" spans="2:13" ht="15.75" thickTop="1"/>
    <row r="61" spans="2:13">
      <c r="H61" s="681" t="s">
        <v>510</v>
      </c>
      <c r="I61" s="681"/>
      <c r="J61" s="3"/>
      <c r="K61" s="681" t="s">
        <v>5</v>
      </c>
      <c r="L61" s="681"/>
    </row>
    <row r="62" spans="2:13">
      <c r="H62" s="10" t="s">
        <v>3</v>
      </c>
      <c r="I62" s="14" t="s">
        <v>8</v>
      </c>
      <c r="J62" s="10"/>
      <c r="K62" s="10" t="s">
        <v>3</v>
      </c>
      <c r="L62" s="14" t="s">
        <v>8</v>
      </c>
    </row>
    <row r="63" spans="2:13" ht="15.75" thickBot="1"/>
    <row r="64" spans="2:13" ht="15.75" thickBot="1">
      <c r="E64" s="17" t="s">
        <v>91</v>
      </c>
      <c r="F64" s="93">
        <f>F28</f>
        <v>0</v>
      </c>
      <c r="G64" s="94"/>
      <c r="H64" s="93">
        <f>H28</f>
        <v>0</v>
      </c>
      <c r="I64" s="93">
        <f>I28</f>
        <v>0</v>
      </c>
      <c r="J64" s="94"/>
      <c r="K64" s="93">
        <f>K28</f>
        <v>0</v>
      </c>
      <c r="L64" s="93">
        <f>L28</f>
        <v>0</v>
      </c>
    </row>
    <row r="65" spans="2:13" ht="15.75" thickBot="1">
      <c r="E65" s="17" t="s">
        <v>92</v>
      </c>
      <c r="F65" s="93">
        <f>IFERROR(H65+K65,0)</f>
        <v>0</v>
      </c>
      <c r="G65" s="94"/>
      <c r="H65" s="93">
        <f>IFERROR($I$35*(H64/$F$64),0)</f>
        <v>0</v>
      </c>
      <c r="I65" s="93">
        <f>IF(I64&gt;0, H65*(I64/H64), 0)</f>
        <v>0</v>
      </c>
      <c r="J65" s="94"/>
      <c r="K65" s="93">
        <f>IFERROR($I$35*(K64/$F$64),0)</f>
        <v>0</v>
      </c>
      <c r="L65" s="93">
        <f>IF(L64&gt;0, K65*(L64/K64), 0)</f>
        <v>0</v>
      </c>
    </row>
    <row r="66" spans="2:13" ht="28.5" customHeight="1" thickBot="1">
      <c r="E66" s="85" t="s">
        <v>627</v>
      </c>
      <c r="F66" s="97">
        <f>SUM(F64:F65)</f>
        <v>0</v>
      </c>
      <c r="G66" s="98"/>
      <c r="H66" s="97">
        <f>IFERROR(SUM(H64:H65),"")</f>
        <v>0</v>
      </c>
      <c r="I66" s="97">
        <f>SUM(I64:I65)</f>
        <v>0</v>
      </c>
      <c r="J66" s="98"/>
      <c r="K66" s="97">
        <f>SUM(K64:K65)</f>
        <v>0</v>
      </c>
      <c r="L66" s="97">
        <f>SUM(L64:L65)</f>
        <v>0</v>
      </c>
    </row>
    <row r="72" spans="2:13" ht="24" thickBot="1">
      <c r="B72" s="327">
        <v>2</v>
      </c>
      <c r="C72" s="330"/>
      <c r="D72" s="328" t="s">
        <v>608</v>
      </c>
      <c r="E72" s="4"/>
      <c r="F72" s="19"/>
      <c r="G72" s="4"/>
      <c r="H72" s="4"/>
      <c r="I72" s="4"/>
      <c r="J72" s="4"/>
      <c r="K72" s="4"/>
      <c r="L72" s="4"/>
      <c r="M72" s="4"/>
    </row>
    <row r="73" spans="2:13" ht="15.75" thickTop="1"/>
    <row r="75" spans="2:13">
      <c r="H75" s="681" t="s">
        <v>510</v>
      </c>
      <c r="I75" s="681"/>
      <c r="J75" s="3"/>
      <c r="K75" s="681" t="s">
        <v>5</v>
      </c>
      <c r="L75" s="681"/>
    </row>
    <row r="76" spans="2:13">
      <c r="H76" s="10" t="s">
        <v>3</v>
      </c>
      <c r="I76" s="14" t="s">
        <v>8</v>
      </c>
      <c r="J76" s="10"/>
      <c r="K76" s="10" t="s">
        <v>3</v>
      </c>
      <c r="L76" s="14" t="s">
        <v>8</v>
      </c>
    </row>
    <row r="77" spans="2:13" ht="15.75" thickBot="1">
      <c r="E77" s="17" t="s">
        <v>102</v>
      </c>
    </row>
    <row r="78" spans="2:13" ht="15.75" thickBot="1">
      <c r="E78" s="2" t="s">
        <v>95</v>
      </c>
      <c r="F78" s="93">
        <f>H78+K78</f>
        <v>0</v>
      </c>
      <c r="G78" s="94"/>
      <c r="H78" s="86"/>
      <c r="I78" s="197"/>
      <c r="J78" s="94"/>
      <c r="K78" s="86"/>
      <c r="L78" s="197"/>
    </row>
    <row r="79" spans="2:13" ht="15.75" thickBot="1">
      <c r="E79" s="2" t="s">
        <v>96</v>
      </c>
      <c r="F79" s="93">
        <f>H79+K79</f>
        <v>0</v>
      </c>
      <c r="G79" s="94"/>
      <c r="H79" s="86"/>
      <c r="I79" s="197"/>
      <c r="J79" s="94"/>
      <c r="K79" s="86"/>
      <c r="L79" s="197"/>
    </row>
    <row r="80" spans="2:13" ht="15.75" thickBot="1">
      <c r="E80" s="2"/>
      <c r="F80" s="95"/>
      <c r="G80" s="94"/>
      <c r="H80" s="94"/>
      <c r="I80" s="94"/>
      <c r="J80" s="94"/>
      <c r="K80" s="94"/>
      <c r="L80" s="94"/>
    </row>
    <row r="81" spans="4:12" ht="15.75" thickBot="1">
      <c r="E81" s="2" t="s">
        <v>100</v>
      </c>
      <c r="F81" s="93">
        <f>H81+K81</f>
        <v>0</v>
      </c>
      <c r="G81" s="94"/>
      <c r="H81" s="86"/>
      <c r="I81" s="197"/>
      <c r="J81" s="94"/>
      <c r="K81" s="86"/>
      <c r="L81" s="197"/>
    </row>
    <row r="82" spans="4:12" ht="15.75" thickBot="1">
      <c r="E82" s="2" t="s">
        <v>101</v>
      </c>
      <c r="F82" s="93">
        <f>H82+K82</f>
        <v>0</v>
      </c>
      <c r="G82" s="94"/>
      <c r="H82" s="86"/>
      <c r="I82" s="197"/>
      <c r="J82" s="94"/>
      <c r="K82" s="86"/>
      <c r="L82" s="197"/>
    </row>
    <row r="83" spans="4:12" ht="15.75" thickBot="1">
      <c r="E83" s="2"/>
      <c r="F83" s="95"/>
      <c r="G83" s="94"/>
      <c r="H83" s="94"/>
      <c r="I83" s="94"/>
      <c r="J83" s="94"/>
      <c r="K83" s="94"/>
      <c r="L83" s="94"/>
    </row>
    <row r="84" spans="4:12" ht="15.75" thickBot="1">
      <c r="E84" s="2" t="s">
        <v>97</v>
      </c>
      <c r="F84" s="97">
        <f>F79+F78</f>
        <v>0</v>
      </c>
      <c r="G84" s="98"/>
      <c r="H84" s="97">
        <f>H79+H78</f>
        <v>0</v>
      </c>
      <c r="I84" s="97">
        <f>(I79*H79)+(I78*H78)</f>
        <v>0</v>
      </c>
      <c r="J84" s="98"/>
      <c r="K84" s="97">
        <f>K79+K78</f>
        <v>0</v>
      </c>
      <c r="L84" s="97">
        <f>L79+L78</f>
        <v>0</v>
      </c>
    </row>
    <row r="86" spans="4:12">
      <c r="D86" t="s">
        <v>609</v>
      </c>
      <c r="E86" s="333" t="s">
        <v>610</v>
      </c>
    </row>
  </sheetData>
  <sheetProtection algorithmName="SHA-512" hashValue="QS10IF+zYD/A7pTKjrK99lmxSEI3MVAL6+J6SrFtZvyR3HB5XLJfVSnCdfFzBrbb59ggy8MTeh6niowdvKQW1Q==" saltValue="skMYwFa7rzqTs/BOvuRE+A==" spinCount="100000" sheet="1" objects="1" scenarios="1"/>
  <protectedRanges>
    <protectedRange sqref="F16 H26:I26 K26:L26 H78:I79 H81:I82 K78:L79 K81:L82" name="Calculator_1"/>
    <protectedRange sqref="F36:F55 H36:H55" name="Calculator2"/>
  </protectedRanges>
  <mergeCells count="8">
    <mergeCell ref="H75:I75"/>
    <mergeCell ref="K75:L75"/>
    <mergeCell ref="A1:M1"/>
    <mergeCell ref="H23:I23"/>
    <mergeCell ref="K23:L23"/>
    <mergeCell ref="H61:I61"/>
    <mergeCell ref="K61:L61"/>
    <mergeCell ref="B10:M11"/>
  </mergeCells>
  <phoneticPr fontId="9" type="noConversion"/>
  <dataValidations count="3">
    <dataValidation type="custom" allowBlank="1" showInputMessage="1" showErrorMessage="1" errorTitle="Value should not exceed total " sqref="I64:I65 L64:L65" xr:uid="{00000000-0002-0000-0500-000000000000}">
      <formula1>IF(H64=0,I64&gt;=H64,I64&lt;=H64)</formula1>
    </dataValidation>
    <dataValidation type="decimal" allowBlank="1" showInputMessage="1" errorTitle="Value should not exceed total " sqref="L26 I78:I79 L78:L79 I26" xr:uid="{00000000-0002-0000-0500-000001000000}">
      <formula1>0</formula1>
      <formula2>1</formula2>
    </dataValidation>
    <dataValidation type="decimal" allowBlank="1" showInputMessage="1" showErrorMessage="1" errorTitle="Value should not exceed total " sqref="I81:I82 L81:L82" xr:uid="{00000000-0002-0000-0500-000002000000}">
      <formula1>0</formula1>
      <formula2>1</formula2>
    </dataValidation>
  </dataValidations>
  <pageMargins left="0.7" right="0.7" top="0.75" bottom="0.75" header="0.3" footer="0.3"/>
  <pageSetup orientation="portrait" horizontalDpi="90" verticalDpi="90" r:id="rId1"/>
  <customProperties>
    <customPr name="SSC_SHEET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SAF!$C$2:$C$32</xm:f>
          </x14:formula1>
          <xm:sqref>F36:F55</xm:sqref>
        </x14:dataValidation>
        <x14:dataValidation type="list" allowBlank="1" showInputMessage="1" showErrorMessage="1" xr:uid="{00000000-0002-0000-0500-000004000000}">
          <x14:formula1>
            <xm:f>Catalogues!$A$2:$A$7</xm:f>
          </x14:formula1>
          <xm:sqref>F16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tint="-0.499984740745262"/>
  </sheetPr>
  <dimension ref="A1:CR90"/>
  <sheetViews>
    <sheetView showGridLines="0" topLeftCell="A12" zoomScale="70" zoomScaleNormal="70" workbookViewId="0">
      <selection activeCell="O24" sqref="O24"/>
    </sheetView>
  </sheetViews>
  <sheetFormatPr defaultColWidth="10.7109375" defaultRowHeight="15.75" zeroHeight="1" outlineLevelRow="1" outlineLevelCol="1"/>
  <cols>
    <col min="1" max="1" width="28.140625" style="41" bestFit="1" customWidth="1"/>
    <col min="2" max="4" width="26.42578125" style="41" customWidth="1"/>
    <col min="5" max="5" width="10.7109375" style="41"/>
    <col min="6" max="9" width="10.7109375" style="41" hidden="1" customWidth="1" outlineLevel="1"/>
    <col min="10" max="10" width="10.7109375" style="41" collapsed="1"/>
    <col min="11" max="14" width="10.7109375" style="41" hidden="1" customWidth="1" outlineLevel="1"/>
    <col min="15" max="15" width="10.7109375" style="41" collapsed="1"/>
    <col min="16" max="19" width="10.7109375" style="41" hidden="1" customWidth="1" outlineLevel="1"/>
    <col min="20" max="20" width="10.7109375" style="41" collapsed="1"/>
    <col min="21" max="24" width="10.7109375" style="41" hidden="1" customWidth="1" outlineLevel="1"/>
    <col min="25" max="25" width="10.7109375" style="41" collapsed="1"/>
    <col min="26" max="29" width="10.7109375" style="41" hidden="1" customWidth="1" outlineLevel="1"/>
    <col min="30" max="30" width="10.7109375" style="41" collapsed="1"/>
    <col min="31" max="34" width="10.7109375" style="41" hidden="1" customWidth="1" outlineLevel="1"/>
    <col min="35" max="35" width="10.7109375" style="41" collapsed="1"/>
    <col min="36" max="39" width="10.7109375" style="41" hidden="1" customWidth="1" outlineLevel="1"/>
    <col min="40" max="40" width="10.7109375" style="41" collapsed="1"/>
    <col min="41" max="44" width="10.7109375" style="41" hidden="1" customWidth="1"/>
    <col min="45" max="49" width="0" style="41" hidden="1" customWidth="1"/>
    <col min="50" max="50" width="0" style="41" hidden="1" customWidth="1" collapsed="1"/>
    <col min="51" max="54" width="0" style="41" hidden="1" customWidth="1"/>
    <col min="55" max="55" width="0" style="41" hidden="1" customWidth="1" collapsed="1"/>
    <col min="56" max="59" width="0" style="41" hidden="1" customWidth="1"/>
    <col min="60" max="60" width="0" style="41" hidden="1" customWidth="1" collapsed="1"/>
    <col min="61" max="64" width="0" style="41" hidden="1" customWidth="1"/>
    <col min="65" max="65" width="0" style="41" hidden="1" customWidth="1" collapsed="1"/>
    <col min="66" max="69" width="0" style="41" hidden="1" customWidth="1"/>
    <col min="70" max="70" width="0" style="41" hidden="1" customWidth="1" collapsed="1"/>
    <col min="71" max="74" width="0" style="41" hidden="1" customWidth="1"/>
    <col min="75" max="75" width="0" style="41" hidden="1" customWidth="1" collapsed="1"/>
    <col min="76" max="79" width="0" style="41" hidden="1" customWidth="1"/>
    <col min="80" max="80" width="0" style="41" hidden="1" customWidth="1" collapsed="1"/>
    <col min="81" max="84" width="0" style="41" hidden="1" customWidth="1"/>
    <col min="85" max="85" width="0" style="41" hidden="1" customWidth="1" collapsed="1"/>
    <col min="86" max="89" width="0" style="41" hidden="1" customWidth="1"/>
    <col min="90" max="90" width="0" style="41" hidden="1" customWidth="1" collapsed="1"/>
    <col min="91" max="16384" width="10.7109375" style="41"/>
  </cols>
  <sheetData>
    <row r="1" spans="1:96" hidden="1">
      <c r="Y1" s="42"/>
      <c r="AD1" s="42"/>
    </row>
    <row r="2" spans="1:96" hidden="1" outlineLevel="1">
      <c r="B2" s="43" t="s">
        <v>108</v>
      </c>
      <c r="C2" s="57" t="s">
        <v>109</v>
      </c>
      <c r="D2" s="57"/>
      <c r="O2" s="44"/>
      <c r="Y2" s="42"/>
      <c r="AD2" s="45"/>
    </row>
    <row r="3" spans="1:96" hidden="1" outlineLevel="1">
      <c r="B3" s="41" t="s">
        <v>110</v>
      </c>
      <c r="C3" s="46">
        <v>1158.1281717227396</v>
      </c>
      <c r="D3" s="46"/>
      <c r="Y3" s="42"/>
    </row>
    <row r="4" spans="1:96" hidden="1" outlineLevel="1">
      <c r="B4" s="41" t="s">
        <v>111</v>
      </c>
      <c r="C4" s="46">
        <v>597.20717029178104</v>
      </c>
      <c r="D4" s="46"/>
      <c r="Y4" s="42"/>
    </row>
    <row r="5" spans="1:96" hidden="1" outlineLevel="1">
      <c r="B5" s="41" t="s">
        <v>112</v>
      </c>
      <c r="C5" s="46">
        <v>659.12510670618258</v>
      </c>
      <c r="D5" s="46"/>
      <c r="AD5" s="47"/>
      <c r="AI5" s="48"/>
    </row>
    <row r="6" spans="1:96" hidden="1" outlineLevel="1">
      <c r="B6" s="41" t="s">
        <v>113</v>
      </c>
      <c r="C6" s="46">
        <v>1295.7826433277648</v>
      </c>
      <c r="D6" s="46"/>
      <c r="E6" s="49"/>
      <c r="T6" s="50"/>
    </row>
    <row r="7" spans="1:96" hidden="1" outlineLevel="1">
      <c r="B7" s="41" t="s">
        <v>114</v>
      </c>
      <c r="C7" s="46">
        <v>1013.6736175084782</v>
      </c>
      <c r="D7" s="46"/>
      <c r="E7" s="49"/>
      <c r="T7" s="50"/>
      <c r="AN7" s="43"/>
    </row>
    <row r="8" spans="1:96" hidden="1" outlineLevel="1">
      <c r="B8" s="41" t="s">
        <v>115</v>
      </c>
      <c r="C8" s="46">
        <v>1090.3064813813328</v>
      </c>
      <c r="D8" s="46"/>
      <c r="E8" s="49"/>
      <c r="F8" s="50"/>
      <c r="G8" s="50"/>
      <c r="H8" s="50"/>
      <c r="I8" s="50"/>
      <c r="J8" s="50"/>
      <c r="K8" s="50"/>
      <c r="L8" s="50"/>
      <c r="M8" s="50"/>
      <c r="N8" s="50"/>
      <c r="P8" s="50"/>
      <c r="Q8" s="50"/>
      <c r="R8" s="50"/>
      <c r="S8" s="50"/>
      <c r="U8" s="50"/>
      <c r="V8" s="50"/>
      <c r="W8" s="50"/>
      <c r="X8" s="50"/>
      <c r="Z8" s="50"/>
      <c r="AA8" s="50"/>
      <c r="AB8" s="50"/>
      <c r="AC8" s="50"/>
      <c r="AE8" s="50"/>
      <c r="AF8" s="50"/>
      <c r="AG8" s="50"/>
      <c r="AH8" s="50"/>
      <c r="AJ8" s="50"/>
      <c r="AK8" s="50"/>
      <c r="AL8" s="50"/>
      <c r="AM8" s="50"/>
      <c r="AN8" s="51"/>
      <c r="AO8" s="50"/>
      <c r="AP8" s="50"/>
      <c r="AQ8" s="50"/>
      <c r="AR8" s="50"/>
      <c r="AT8" s="50"/>
      <c r="AU8" s="50"/>
      <c r="AV8" s="50"/>
      <c r="AW8" s="50"/>
      <c r="AY8" s="50"/>
      <c r="AZ8" s="50"/>
      <c r="BA8" s="50"/>
      <c r="BB8" s="50"/>
      <c r="BD8" s="50"/>
      <c r="BE8" s="50"/>
      <c r="BF8" s="50"/>
      <c r="BG8" s="50"/>
      <c r="BI8" s="50"/>
      <c r="BJ8" s="50"/>
      <c r="BK8" s="50"/>
      <c r="BL8" s="50"/>
      <c r="BN8" s="50"/>
      <c r="BO8" s="50"/>
      <c r="BP8" s="50"/>
      <c r="BQ8" s="50"/>
      <c r="BS8" s="50"/>
      <c r="BT8" s="50"/>
      <c r="BU8" s="50"/>
      <c r="BV8" s="50"/>
      <c r="BX8" s="50"/>
      <c r="BY8" s="50"/>
      <c r="BZ8" s="50"/>
      <c r="CA8" s="50"/>
      <c r="CC8" s="50"/>
      <c r="CD8" s="50"/>
      <c r="CE8" s="50"/>
      <c r="CF8" s="50"/>
      <c r="CH8" s="50"/>
      <c r="CI8" s="50"/>
      <c r="CJ8" s="50"/>
      <c r="CK8" s="50"/>
    </row>
    <row r="9" spans="1:96" hidden="1" outlineLevel="1">
      <c r="B9" s="41" t="s">
        <v>116</v>
      </c>
      <c r="C9" s="46">
        <v>646.67368053184259</v>
      </c>
      <c r="D9" s="46"/>
      <c r="E9" s="52"/>
      <c r="F9" s="50"/>
      <c r="G9" s="50"/>
      <c r="H9" s="50"/>
      <c r="I9" s="50"/>
      <c r="J9" s="50"/>
      <c r="K9" s="50"/>
      <c r="L9" s="50"/>
      <c r="M9" s="50"/>
      <c r="N9" s="50"/>
      <c r="P9" s="50"/>
      <c r="Q9" s="50"/>
      <c r="R9" s="50"/>
      <c r="S9" s="50"/>
      <c r="U9" s="50"/>
      <c r="V9" s="50"/>
      <c r="W9" s="50"/>
      <c r="X9" s="50"/>
      <c r="Z9" s="50"/>
      <c r="AA9" s="50"/>
      <c r="AB9" s="50"/>
      <c r="AC9" s="50"/>
      <c r="AE9" s="50"/>
      <c r="AF9" s="50"/>
      <c r="AG9" s="50"/>
      <c r="AH9" s="50"/>
      <c r="AJ9" s="50"/>
      <c r="AK9" s="50"/>
      <c r="AL9" s="50"/>
      <c r="AM9" s="50"/>
      <c r="AN9" s="51"/>
      <c r="AO9" s="50"/>
      <c r="AP9" s="50"/>
      <c r="AQ9" s="50"/>
      <c r="AR9" s="50"/>
      <c r="AT9" s="50"/>
      <c r="AU9" s="50"/>
      <c r="AV9" s="50"/>
      <c r="AW9" s="50"/>
      <c r="AY9" s="50"/>
      <c r="AZ9" s="50"/>
      <c r="BA9" s="50"/>
      <c r="BB9" s="50"/>
      <c r="BD9" s="50"/>
      <c r="BE9" s="50"/>
      <c r="BF9" s="50"/>
      <c r="BG9" s="50"/>
      <c r="BI9" s="50"/>
      <c r="BJ9" s="50"/>
      <c r="BK9" s="50"/>
      <c r="BL9" s="50"/>
      <c r="BN9" s="50"/>
      <c r="BO9" s="50"/>
      <c r="BP9" s="50"/>
      <c r="BQ9" s="50"/>
      <c r="BS9" s="50"/>
      <c r="BT9" s="50"/>
      <c r="BU9" s="50"/>
      <c r="BV9" s="50"/>
      <c r="BX9" s="50"/>
      <c r="BY9" s="50"/>
      <c r="BZ9" s="50"/>
      <c r="CA9" s="50"/>
      <c r="CC9" s="50"/>
      <c r="CD9" s="50"/>
      <c r="CE9" s="50"/>
      <c r="CF9" s="50"/>
      <c r="CH9" s="50"/>
      <c r="CI9" s="50"/>
      <c r="CJ9" s="50"/>
      <c r="CK9" s="50"/>
    </row>
    <row r="10" spans="1:96" hidden="1" outlineLevel="1">
      <c r="AN10" s="53"/>
    </row>
    <row r="11" spans="1:96" hidden="1" collapsed="1">
      <c r="E11" s="41">
        <v>2015</v>
      </c>
      <c r="F11" s="41">
        <v>2016</v>
      </c>
      <c r="G11" s="41">
        <v>2017</v>
      </c>
      <c r="H11" s="41">
        <v>2018</v>
      </c>
      <c r="I11" s="41">
        <f>+H11+1</f>
        <v>2019</v>
      </c>
      <c r="J11" s="41">
        <f t="shared" ref="J11:AN11" si="0">+I11+1</f>
        <v>2020</v>
      </c>
      <c r="K11" s="41">
        <f t="shared" si="0"/>
        <v>2021</v>
      </c>
      <c r="L11" s="41">
        <f t="shared" si="0"/>
        <v>2022</v>
      </c>
      <c r="M11" s="41">
        <f t="shared" si="0"/>
        <v>2023</v>
      </c>
      <c r="N11" s="41">
        <f t="shared" si="0"/>
        <v>2024</v>
      </c>
      <c r="O11" s="41">
        <f t="shared" si="0"/>
        <v>2025</v>
      </c>
      <c r="P11" s="41">
        <f t="shared" si="0"/>
        <v>2026</v>
      </c>
      <c r="Q11" s="41">
        <f t="shared" si="0"/>
        <v>2027</v>
      </c>
      <c r="R11" s="41">
        <f t="shared" si="0"/>
        <v>2028</v>
      </c>
      <c r="S11" s="41">
        <f t="shared" si="0"/>
        <v>2029</v>
      </c>
      <c r="T11" s="41">
        <f t="shared" si="0"/>
        <v>2030</v>
      </c>
      <c r="U11" s="41">
        <f t="shared" si="0"/>
        <v>2031</v>
      </c>
      <c r="V11" s="41">
        <f t="shared" si="0"/>
        <v>2032</v>
      </c>
      <c r="W11" s="41">
        <f t="shared" si="0"/>
        <v>2033</v>
      </c>
      <c r="X11" s="41">
        <f t="shared" si="0"/>
        <v>2034</v>
      </c>
      <c r="Y11" s="41">
        <f t="shared" si="0"/>
        <v>2035</v>
      </c>
      <c r="Z11" s="41">
        <f t="shared" si="0"/>
        <v>2036</v>
      </c>
      <c r="AA11" s="41">
        <f t="shared" si="0"/>
        <v>2037</v>
      </c>
      <c r="AB11" s="41">
        <f t="shared" si="0"/>
        <v>2038</v>
      </c>
      <c r="AC11" s="41">
        <f t="shared" si="0"/>
        <v>2039</v>
      </c>
      <c r="AD11" s="41">
        <f t="shared" si="0"/>
        <v>2040</v>
      </c>
      <c r="AE11" s="41">
        <f t="shared" si="0"/>
        <v>2041</v>
      </c>
      <c r="AF11" s="41">
        <f t="shared" si="0"/>
        <v>2042</v>
      </c>
      <c r="AG11" s="41">
        <f t="shared" si="0"/>
        <v>2043</v>
      </c>
      <c r="AH11" s="41">
        <f t="shared" si="0"/>
        <v>2044</v>
      </c>
      <c r="AI11" s="41">
        <f t="shared" si="0"/>
        <v>2045</v>
      </c>
      <c r="AJ11" s="41">
        <f t="shared" si="0"/>
        <v>2046</v>
      </c>
      <c r="AK11" s="41">
        <f t="shared" si="0"/>
        <v>2047</v>
      </c>
      <c r="AL11" s="41">
        <f t="shared" si="0"/>
        <v>2048</v>
      </c>
      <c r="AM11" s="41">
        <f t="shared" si="0"/>
        <v>2049</v>
      </c>
      <c r="AN11" s="41">
        <f t="shared" si="0"/>
        <v>2050</v>
      </c>
    </row>
    <row r="12" spans="1:96" s="74" customFormat="1">
      <c r="A12" s="74" t="s">
        <v>162</v>
      </c>
      <c r="B12" s="74" t="s">
        <v>164</v>
      </c>
      <c r="C12" s="74" t="s">
        <v>163</v>
      </c>
      <c r="D12" s="74" t="s">
        <v>6</v>
      </c>
      <c r="E12" s="76" t="s">
        <v>168</v>
      </c>
      <c r="F12" s="76" t="s">
        <v>169</v>
      </c>
      <c r="G12" s="76" t="s">
        <v>170</v>
      </c>
      <c r="H12" s="76" t="s">
        <v>171</v>
      </c>
      <c r="I12" s="76" t="s">
        <v>172</v>
      </c>
      <c r="J12" s="76" t="s">
        <v>173</v>
      </c>
      <c r="K12" s="76" t="s">
        <v>174</v>
      </c>
      <c r="L12" s="76" t="s">
        <v>175</v>
      </c>
      <c r="M12" s="76" t="s">
        <v>176</v>
      </c>
      <c r="N12" s="76" t="s">
        <v>177</v>
      </c>
      <c r="O12" s="76" t="s">
        <v>178</v>
      </c>
      <c r="P12" s="76" t="s">
        <v>179</v>
      </c>
      <c r="Q12" s="76" t="s">
        <v>180</v>
      </c>
      <c r="R12" s="76" t="s">
        <v>181</v>
      </c>
      <c r="S12" s="76" t="s">
        <v>182</v>
      </c>
      <c r="T12" s="76" t="s">
        <v>183</v>
      </c>
      <c r="U12" s="76" t="s">
        <v>184</v>
      </c>
      <c r="V12" s="76" t="s">
        <v>185</v>
      </c>
      <c r="W12" s="76" t="s">
        <v>186</v>
      </c>
      <c r="X12" s="76" t="s">
        <v>187</v>
      </c>
      <c r="Y12" s="76" t="s">
        <v>188</v>
      </c>
      <c r="Z12" s="76" t="s">
        <v>189</v>
      </c>
      <c r="AA12" s="76" t="s">
        <v>190</v>
      </c>
      <c r="AB12" s="76" t="s">
        <v>191</v>
      </c>
      <c r="AC12" s="76" t="s">
        <v>192</v>
      </c>
      <c r="AD12" s="76" t="s">
        <v>193</v>
      </c>
      <c r="AE12" s="76" t="s">
        <v>194</v>
      </c>
      <c r="AF12" s="76" t="s">
        <v>195</v>
      </c>
      <c r="AG12" s="76" t="s">
        <v>196</v>
      </c>
      <c r="AH12" s="76" t="s">
        <v>197</v>
      </c>
      <c r="AI12" s="76" t="s">
        <v>198</v>
      </c>
      <c r="AJ12" s="76" t="s">
        <v>199</v>
      </c>
      <c r="AK12" s="76" t="s">
        <v>200</v>
      </c>
      <c r="AL12" s="76" t="s">
        <v>201</v>
      </c>
      <c r="AM12" s="76" t="s">
        <v>202</v>
      </c>
      <c r="AN12" s="76" t="s">
        <v>203</v>
      </c>
      <c r="AO12" s="76" t="s">
        <v>204</v>
      </c>
      <c r="AP12" s="76" t="s">
        <v>205</v>
      </c>
      <c r="AQ12" s="76" t="s">
        <v>206</v>
      </c>
      <c r="AR12" s="76" t="s">
        <v>207</v>
      </c>
      <c r="AS12" s="76" t="s">
        <v>208</v>
      </c>
      <c r="AT12" s="76" t="s">
        <v>209</v>
      </c>
      <c r="AU12" s="76" t="s">
        <v>210</v>
      </c>
      <c r="AV12" s="76" t="s">
        <v>211</v>
      </c>
      <c r="AW12" s="76" t="s">
        <v>212</v>
      </c>
      <c r="AX12" s="76" t="s">
        <v>213</v>
      </c>
      <c r="AY12" s="76" t="s">
        <v>214</v>
      </c>
      <c r="AZ12" s="76" t="s">
        <v>215</v>
      </c>
      <c r="BA12" s="76" t="s">
        <v>216</v>
      </c>
      <c r="BB12" s="76" t="s">
        <v>217</v>
      </c>
      <c r="BC12" s="76" t="s">
        <v>218</v>
      </c>
      <c r="BD12" s="76" t="s">
        <v>219</v>
      </c>
      <c r="BE12" s="76" t="s">
        <v>220</v>
      </c>
      <c r="BF12" s="76" t="s">
        <v>221</v>
      </c>
      <c r="BG12" s="76" t="s">
        <v>222</v>
      </c>
      <c r="BH12" s="76" t="s">
        <v>223</v>
      </c>
      <c r="BI12" s="76" t="s">
        <v>224</v>
      </c>
      <c r="BJ12" s="76" t="s">
        <v>225</v>
      </c>
      <c r="BK12" s="76" t="s">
        <v>226</v>
      </c>
      <c r="BL12" s="76" t="s">
        <v>227</v>
      </c>
      <c r="BM12" s="76" t="s">
        <v>228</v>
      </c>
      <c r="BN12" s="76" t="s">
        <v>229</v>
      </c>
      <c r="BO12" s="76" t="s">
        <v>230</v>
      </c>
      <c r="BP12" s="76" t="s">
        <v>231</v>
      </c>
      <c r="BQ12" s="76" t="s">
        <v>232</v>
      </c>
      <c r="BR12" s="76" t="s">
        <v>233</v>
      </c>
      <c r="BS12" s="76" t="s">
        <v>234</v>
      </c>
      <c r="BT12" s="76" t="s">
        <v>235</v>
      </c>
      <c r="BU12" s="76" t="s">
        <v>236</v>
      </c>
      <c r="BV12" s="76" t="s">
        <v>237</v>
      </c>
      <c r="BW12" s="76" t="s">
        <v>238</v>
      </c>
      <c r="BX12" s="76" t="s">
        <v>239</v>
      </c>
      <c r="BY12" s="76" t="s">
        <v>240</v>
      </c>
      <c r="BZ12" s="76" t="s">
        <v>241</v>
      </c>
      <c r="CA12" s="76" t="s">
        <v>242</v>
      </c>
      <c r="CB12" s="76" t="s">
        <v>243</v>
      </c>
      <c r="CC12" s="76" t="s">
        <v>244</v>
      </c>
      <c r="CD12" s="76" t="s">
        <v>245</v>
      </c>
      <c r="CE12" s="76" t="s">
        <v>246</v>
      </c>
      <c r="CF12" s="76" t="s">
        <v>247</v>
      </c>
      <c r="CG12" s="76" t="s">
        <v>248</v>
      </c>
      <c r="CH12" s="76" t="s">
        <v>249</v>
      </c>
      <c r="CI12" s="76" t="s">
        <v>250</v>
      </c>
      <c r="CJ12" s="76" t="s">
        <v>251</v>
      </c>
      <c r="CK12" s="76" t="s">
        <v>252</v>
      </c>
      <c r="CL12" s="76" t="s">
        <v>253</v>
      </c>
    </row>
    <row r="13" spans="1:96" s="75" customFormat="1" hidden="1">
      <c r="A13" s="75" t="s">
        <v>117</v>
      </c>
      <c r="B13" s="75" t="s">
        <v>160</v>
      </c>
      <c r="C13" s="75" t="s">
        <v>161</v>
      </c>
      <c r="D13" s="75" t="s">
        <v>102</v>
      </c>
      <c r="E13" s="291">
        <v>984.59460676408798</v>
      </c>
      <c r="F13" s="291">
        <f t="shared" ref="F13" si="1">(E13-((E13-J13)/5))</f>
        <v>981.47927965009683</v>
      </c>
      <c r="G13" s="291">
        <f t="shared" ref="G13" si="2">(F13-((E13-J13)/5))</f>
        <v>978.36395253610567</v>
      </c>
      <c r="H13" s="291">
        <f t="shared" ref="H13" si="3">(G13-((E13-J13)/5))</f>
        <v>975.24862542211451</v>
      </c>
      <c r="I13" s="291">
        <f t="shared" ref="I13" si="4">(H13-((E13-J13)/5))</f>
        <v>972.13329830812336</v>
      </c>
      <c r="J13" s="292">
        <v>969.01797119413197</v>
      </c>
      <c r="K13" s="292">
        <f t="shared" ref="K13" si="5">(J13-((J13-O13)/5))</f>
        <v>956.70606556764938</v>
      </c>
      <c r="L13" s="292">
        <f t="shared" ref="L13" si="6">(K13-((J13-O13)/5))</f>
        <v>944.39415994116678</v>
      </c>
      <c r="M13" s="292">
        <f t="shared" ref="M13" si="7">(L13-((J13-O13)/5))</f>
        <v>932.08225431468418</v>
      </c>
      <c r="N13" s="292">
        <f t="shared" ref="N13" si="8">(M13-((J13-O13)/5))</f>
        <v>919.77034868820158</v>
      </c>
      <c r="O13" s="292">
        <v>907.45844306171875</v>
      </c>
      <c r="P13" s="292">
        <f t="shared" ref="P13" si="9">(O13-((O13-T13)/5))</f>
        <v>885.84013104270525</v>
      </c>
      <c r="Q13" s="292">
        <f t="shared" ref="Q13" si="10">(P13-((O13-T13)/5))</f>
        <v>864.22181902369175</v>
      </c>
      <c r="R13" s="292">
        <f t="shared" ref="R13" si="11">(Q13-((O13-T13)/5))</f>
        <v>842.60350700467825</v>
      </c>
      <c r="S13" s="292">
        <f t="shared" ref="S13" si="12">(R13-((O13-T13)/5))</f>
        <v>820.98519498566475</v>
      </c>
      <c r="T13" s="292">
        <v>799.36688296665147</v>
      </c>
      <c r="U13" s="292">
        <f t="shared" ref="U13" si="13">(T13-((T13-Y13)/5))</f>
        <v>781.85903783807737</v>
      </c>
      <c r="V13" s="292">
        <f t="shared" ref="V13" si="14">(U13-((T13-Y13)/5))</f>
        <v>764.35119270950327</v>
      </c>
      <c r="W13" s="292">
        <f t="shared" ref="W13" si="15">(V13-((T13-Y13)/5))</f>
        <v>746.84334758092916</v>
      </c>
      <c r="X13" s="292">
        <f t="shared" ref="X13" si="16">(W13-((T13-Y13)/5))</f>
        <v>729.33550245235506</v>
      </c>
      <c r="Y13" s="292">
        <v>711.82765732378118</v>
      </c>
      <c r="Z13" s="292">
        <f t="shared" ref="Z13" si="17">(Y13-((Y13-AD13)/5))</f>
        <v>694.78511141185095</v>
      </c>
      <c r="AA13" s="292">
        <f t="shared" ref="AA13" si="18">(Z13-((Y13-AD13)/5))</f>
        <v>677.74256549992072</v>
      </c>
      <c r="AB13" s="292">
        <f t="shared" ref="AB13" si="19">(AA13-((Y13-AD13)/5))</f>
        <v>660.70001958799048</v>
      </c>
      <c r="AC13" s="292">
        <f t="shared" ref="AC13" si="20">(AB13-((Y13-AD13)/5))</f>
        <v>643.65747367606025</v>
      </c>
      <c r="AD13" s="292">
        <v>626.6149277641299</v>
      </c>
      <c r="AE13" s="292">
        <f t="shared" ref="AE13" si="21">(AD13-((AD13-AI13)/5))</f>
        <v>605.88943322138721</v>
      </c>
      <c r="AF13" s="292">
        <f t="shared" ref="AF13" si="22">(AE13-((AD13-AI13)/5))</f>
        <v>585.16393867864451</v>
      </c>
      <c r="AG13" s="292">
        <f t="shared" ref="AG13" si="23">(AF13-((AD13-AI13)/5))</f>
        <v>564.43844413590182</v>
      </c>
      <c r="AH13" s="292">
        <f t="shared" ref="AH13" si="24">(AG13-((AD13-AI13)/5))</f>
        <v>543.71294959315912</v>
      </c>
      <c r="AI13" s="292">
        <v>522.98745505041654</v>
      </c>
      <c r="AJ13" s="292">
        <f t="shared" ref="AJ13" si="25">(AI13-((AI13-AN13)/5))</f>
        <v>506.04270668391308</v>
      </c>
      <c r="AK13" s="292">
        <f t="shared" ref="AK13" si="26">(AJ13-((AI13-AN13)/5))</f>
        <v>489.09795831740962</v>
      </c>
      <c r="AL13" s="292">
        <f t="shared" ref="AL13" si="27">(AK13-((AI13-AN13)/5))</f>
        <v>472.15320995090616</v>
      </c>
      <c r="AM13" s="292">
        <f t="shared" ref="AM13" si="28">(AL13-((AI13-AN13)/5))</f>
        <v>455.2084615844027</v>
      </c>
      <c r="AN13" s="292">
        <v>438.26371321789929</v>
      </c>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row>
    <row r="14" spans="1:96">
      <c r="A14" s="41" t="s">
        <v>680</v>
      </c>
      <c r="B14" s="41" t="s">
        <v>152</v>
      </c>
      <c r="C14" s="41" t="s">
        <v>153</v>
      </c>
      <c r="D14" s="41" t="s">
        <v>102</v>
      </c>
      <c r="E14" s="293">
        <v>12.485861973024001</v>
      </c>
      <c r="F14" s="293">
        <v>12.815999234496001</v>
      </c>
      <c r="G14" s="293">
        <v>13.146136495968001</v>
      </c>
      <c r="H14" s="293">
        <v>13.47627375744</v>
      </c>
      <c r="I14" s="293">
        <v>12.108517361796672</v>
      </c>
      <c r="J14" s="46">
        <v>6.690893102361736</v>
      </c>
      <c r="K14" s="46">
        <v>7.4384231522246411</v>
      </c>
      <c r="L14" s="46">
        <v>9.1067549382128572</v>
      </c>
      <c r="M14" s="46">
        <v>10.69883749045318</v>
      </c>
      <c r="N14" s="46">
        <v>12.076151205629056</v>
      </c>
      <c r="O14" s="46">
        <v>13.496106295273265</v>
      </c>
      <c r="P14" s="46">
        <v>13.468975699366432</v>
      </c>
      <c r="Q14" s="46">
        <v>13.439034296982577</v>
      </c>
      <c r="R14" s="46">
        <v>13.406043316253729</v>
      </c>
      <c r="S14" s="46">
        <v>13.369566702396527</v>
      </c>
      <c r="T14" s="46">
        <v>13.324071760633998</v>
      </c>
      <c r="U14" s="46">
        <v>12.987877579465808</v>
      </c>
      <c r="V14" s="46">
        <v>12.639224592814401</v>
      </c>
      <c r="W14" s="46">
        <v>12.276277968963553</v>
      </c>
      <c r="X14" s="46">
        <v>11.897454167933647</v>
      </c>
      <c r="Y14" s="46">
        <v>11.451679421298016</v>
      </c>
      <c r="Z14" s="46">
        <v>10.951867672970785</v>
      </c>
      <c r="AA14" s="46">
        <v>10.402442191664546</v>
      </c>
      <c r="AB14" s="46">
        <v>9.800470555112673</v>
      </c>
      <c r="AC14" s="46">
        <v>9.1440989703282565</v>
      </c>
      <c r="AD14" s="46">
        <v>8.4322925164713443</v>
      </c>
      <c r="AE14" s="46">
        <v>7.7826127572211048</v>
      </c>
      <c r="AF14" s="46">
        <v>7.085645998281505</v>
      </c>
      <c r="AG14" s="46">
        <v>6.3404240267576801</v>
      </c>
      <c r="AH14" s="46">
        <v>5.5452589576187039</v>
      </c>
      <c r="AI14" s="46">
        <v>4.6976964292342727</v>
      </c>
      <c r="AJ14" s="46">
        <v>3.785030846850912</v>
      </c>
      <c r="AK14" s="46">
        <v>2.8116288800619205</v>
      </c>
      <c r="AL14" s="46">
        <v>1.7739786470958561</v>
      </c>
      <c r="AM14" s="46">
        <v>1.5272668596170655</v>
      </c>
      <c r="AN14" s="46">
        <v>1.5413435346987825</v>
      </c>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51"/>
      <c r="CN14" s="51"/>
      <c r="CO14" s="51"/>
      <c r="CP14" s="51"/>
      <c r="CQ14" s="51"/>
      <c r="CR14" s="51"/>
    </row>
    <row r="15" spans="1:96">
      <c r="A15" s="596" t="s">
        <v>680</v>
      </c>
      <c r="B15" s="41" t="s">
        <v>152</v>
      </c>
      <c r="C15" s="41" t="s">
        <v>154</v>
      </c>
      <c r="D15" s="41" t="s">
        <v>102</v>
      </c>
      <c r="E15" s="293">
        <v>65.550775358376001</v>
      </c>
      <c r="F15" s="293">
        <v>67.283995981103999</v>
      </c>
      <c r="G15" s="293">
        <v>69.017216603831997</v>
      </c>
      <c r="H15" s="293">
        <v>70.750437226559995</v>
      </c>
      <c r="I15" s="293">
        <v>63.569716149432523</v>
      </c>
      <c r="J15" s="46">
        <v>35.127188787399113</v>
      </c>
      <c r="K15" s="46">
        <v>39.051721549179362</v>
      </c>
      <c r="L15" s="46">
        <v>47.810463425617492</v>
      </c>
      <c r="M15" s="46">
        <v>56.168896824879191</v>
      </c>
      <c r="N15" s="46">
        <v>63.399793829552536</v>
      </c>
      <c r="O15" s="46">
        <v>70.854558050184636</v>
      </c>
      <c r="P15" s="46">
        <v>70.712122421673755</v>
      </c>
      <c r="Q15" s="46">
        <v>70.554930059158522</v>
      </c>
      <c r="R15" s="46">
        <v>70.381727410332076</v>
      </c>
      <c r="S15" s="46">
        <v>70.190225187581774</v>
      </c>
      <c r="T15" s="46">
        <v>69.951376743328495</v>
      </c>
      <c r="U15" s="46">
        <v>68.186357292195481</v>
      </c>
      <c r="V15" s="46">
        <v>66.355929112275604</v>
      </c>
      <c r="W15" s="46">
        <v>64.450459337058646</v>
      </c>
      <c r="X15" s="46">
        <v>62.461634381651642</v>
      </c>
      <c r="Y15" s="46">
        <v>60.121316961814578</v>
      </c>
      <c r="Z15" s="46">
        <v>57.497305283096615</v>
      </c>
      <c r="AA15" s="46">
        <v>54.612821506238859</v>
      </c>
      <c r="AB15" s="46">
        <v>51.452470414341526</v>
      </c>
      <c r="AC15" s="46">
        <v>48.006519594223342</v>
      </c>
      <c r="AD15" s="46">
        <v>44.269535711474553</v>
      </c>
      <c r="AE15" s="46">
        <v>40.858716975410793</v>
      </c>
      <c r="AF15" s="46">
        <v>37.199641490977896</v>
      </c>
      <c r="AG15" s="46">
        <v>33.28722614047782</v>
      </c>
      <c r="AH15" s="46">
        <v>29.112609527498194</v>
      </c>
      <c r="AI15" s="46">
        <v>24.662906253479928</v>
      </c>
      <c r="AJ15" s="46">
        <v>19.871411945967289</v>
      </c>
      <c r="AK15" s="46">
        <v>14.76105162032508</v>
      </c>
      <c r="AL15" s="46">
        <v>9.3133878972532447</v>
      </c>
      <c r="AM15" s="46">
        <v>8.018151012989593</v>
      </c>
      <c r="AN15" s="46">
        <v>8.0920535571686081</v>
      </c>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51"/>
      <c r="CN15" s="51"/>
      <c r="CO15" s="51"/>
      <c r="CP15" s="51"/>
      <c r="CQ15" s="51"/>
      <c r="CR15" s="51"/>
    </row>
    <row r="16" spans="1:96">
      <c r="A16" s="41" t="s">
        <v>680</v>
      </c>
      <c r="B16" s="41" t="s">
        <v>152</v>
      </c>
      <c r="C16" s="41" t="s">
        <v>112</v>
      </c>
      <c r="D16" s="41" t="s">
        <v>102</v>
      </c>
      <c r="E16" s="293">
        <v>70.822815415804456</v>
      </c>
      <c r="F16" s="293">
        <v>74.528335149182837</v>
      </c>
      <c r="G16" s="293">
        <v>78.233854882561218</v>
      </c>
      <c r="H16" s="293">
        <v>81.939374615939613</v>
      </c>
      <c r="I16" s="293">
        <v>83.791995980885218</v>
      </c>
      <c r="J16" s="46">
        <v>45.616096737598639</v>
      </c>
      <c r="K16" s="46">
        <v>50.124869919071919</v>
      </c>
      <c r="L16" s="46">
        <v>60.736497602687386</v>
      </c>
      <c r="M16" s="46">
        <v>70.631723686155397</v>
      </c>
      <c r="N16" s="46">
        <v>78.954601370488376</v>
      </c>
      <c r="O16" s="46">
        <v>87.412828355936838</v>
      </c>
      <c r="P16" s="46">
        <v>86.394554799287249</v>
      </c>
      <c r="Q16" s="46">
        <v>85.358065885215126</v>
      </c>
      <c r="R16" s="46">
        <v>84.288473013646424</v>
      </c>
      <c r="S16" s="46">
        <v>83.172302800384983</v>
      </c>
      <c r="T16" s="46">
        <v>81.756682817690347</v>
      </c>
      <c r="U16" s="46">
        <v>78.576578217704764</v>
      </c>
      <c r="V16" s="46">
        <v>75.345024838644036</v>
      </c>
      <c r="W16" s="46">
        <v>72.062889931094062</v>
      </c>
      <c r="X16" s="46">
        <v>68.734765982356535</v>
      </c>
      <c r="Y16" s="46">
        <v>63.944679985653856</v>
      </c>
      <c r="Z16" s="46">
        <v>59.045186973117993</v>
      </c>
      <c r="AA16" s="46">
        <v>54.142789093947648</v>
      </c>
      <c r="AB16" s="46">
        <v>49.261743001461561</v>
      </c>
      <c r="AC16" s="46">
        <v>44.425383778760533</v>
      </c>
      <c r="AD16" s="46">
        <v>39.649896537430372</v>
      </c>
      <c r="AE16" s="46">
        <v>35.448488779601789</v>
      </c>
      <c r="AF16" s="46">
        <v>31.314376197361792</v>
      </c>
      <c r="AG16" s="46">
        <v>27.236949107660205</v>
      </c>
      <c r="AH16" s="46">
        <v>23.200137596413644</v>
      </c>
      <c r="AI16" s="46">
        <v>19.184747761091895</v>
      </c>
      <c r="AJ16" s="46">
        <v>15.127965187241065</v>
      </c>
      <c r="AK16" s="46">
        <v>11.05419483493532</v>
      </c>
      <c r="AL16" s="46">
        <v>6.946618191231182</v>
      </c>
      <c r="AM16" s="46">
        <v>5.5295324612584453</v>
      </c>
      <c r="AN16" s="46">
        <v>4.860303769250625</v>
      </c>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51"/>
      <c r="CN16" s="51"/>
      <c r="CO16" s="51"/>
      <c r="CP16" s="51"/>
      <c r="CQ16" s="51"/>
      <c r="CR16" s="51"/>
    </row>
    <row r="17" spans="1:96">
      <c r="A17" s="41" t="s">
        <v>680</v>
      </c>
      <c r="B17" s="41" t="s">
        <v>152</v>
      </c>
      <c r="C17" s="41" t="s">
        <v>155</v>
      </c>
      <c r="D17" s="41" t="s">
        <v>102</v>
      </c>
      <c r="E17" s="293">
        <v>258.63471489916907</v>
      </c>
      <c r="F17" s="293">
        <v>272.16673892516815</v>
      </c>
      <c r="G17" s="293">
        <v>285.69876295116723</v>
      </c>
      <c r="H17" s="293">
        <v>299.2307869771663</v>
      </c>
      <c r="I17" s="293">
        <v>305.99629320175916</v>
      </c>
      <c r="J17" s="46">
        <v>166.58341108406404</v>
      </c>
      <c r="K17" s="46">
        <v>183.0488009374464</v>
      </c>
      <c r="L17" s="46">
        <v>221.80093588795222</v>
      </c>
      <c r="M17" s="46">
        <v>257.93687544267181</v>
      </c>
      <c r="N17" s="46">
        <v>288.33082525093874</v>
      </c>
      <c r="O17" s="46">
        <v>319.21905120030914</v>
      </c>
      <c r="P17" s="46">
        <v>315.50046292522819</v>
      </c>
      <c r="Q17" s="46">
        <v>311.71535479004143</v>
      </c>
      <c r="R17" s="46">
        <v>307.80935577302665</v>
      </c>
      <c r="S17" s="46">
        <v>303.73326301688638</v>
      </c>
      <c r="T17" s="46">
        <v>298.56362285954111</v>
      </c>
      <c r="U17" s="46">
        <v>286.95033917775089</v>
      </c>
      <c r="V17" s="46">
        <v>275.1491719695872</v>
      </c>
      <c r="W17" s="46">
        <v>263.16328830920156</v>
      </c>
      <c r="X17" s="46">
        <v>251.00945929834947</v>
      </c>
      <c r="Y17" s="46">
        <v>233.51675558661259</v>
      </c>
      <c r="Z17" s="46">
        <v>215.62451322081549</v>
      </c>
      <c r="AA17" s="46">
        <v>197.72166270071929</v>
      </c>
      <c r="AB17" s="46">
        <v>179.8967858283699</v>
      </c>
      <c r="AC17" s="46">
        <v>162.23509896419429</v>
      </c>
      <c r="AD17" s="46">
        <v>144.79570780310209</v>
      </c>
      <c r="AE17" s="46">
        <v>129.45277217929933</v>
      </c>
      <c r="AF17" s="46">
        <v>114.35558883815095</v>
      </c>
      <c r="AG17" s="46">
        <v>99.465412746227514</v>
      </c>
      <c r="AH17" s="46">
        <v>84.72355889329593</v>
      </c>
      <c r="AI17" s="46">
        <v>70.059933913545251</v>
      </c>
      <c r="AJ17" s="46">
        <v>55.245148618216724</v>
      </c>
      <c r="AK17" s="46">
        <v>40.368326404253118</v>
      </c>
      <c r="AL17" s="46">
        <v>25.368048486272546</v>
      </c>
      <c r="AM17" s="46">
        <v>20.193055631111474</v>
      </c>
      <c r="AN17" s="46">
        <v>17.749128897281551</v>
      </c>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51"/>
      <c r="CN17" s="51"/>
      <c r="CO17" s="51"/>
      <c r="CP17" s="51"/>
      <c r="CQ17" s="51"/>
      <c r="CR17" s="51"/>
    </row>
    <row r="18" spans="1:96">
      <c r="A18" s="41" t="s">
        <v>680</v>
      </c>
      <c r="B18" s="41" t="s">
        <v>152</v>
      </c>
      <c r="C18" s="41" t="s">
        <v>156</v>
      </c>
      <c r="D18" s="41" t="s">
        <v>102</v>
      </c>
      <c r="E18" s="293">
        <v>542.4993111722265</v>
      </c>
      <c r="F18" s="293">
        <v>570.88341156544902</v>
      </c>
      <c r="G18" s="293">
        <v>599.26751195867155</v>
      </c>
      <c r="H18" s="293">
        <v>627.65161235189419</v>
      </c>
      <c r="I18" s="293">
        <v>641.84260163190618</v>
      </c>
      <c r="J18" s="46">
        <v>349.41707574351193</v>
      </c>
      <c r="K18" s="46">
        <v>383.95405836444314</v>
      </c>
      <c r="L18" s="46">
        <v>465.23860875938357</v>
      </c>
      <c r="M18" s="46">
        <v>541.03555784504385</v>
      </c>
      <c r="N18" s="46">
        <v>604.78839489638983</v>
      </c>
      <c r="O18" s="46">
        <v>669.57800099160545</v>
      </c>
      <c r="P18" s="46">
        <v>661.77807522158264</v>
      </c>
      <c r="Q18" s="46">
        <v>653.83862070229372</v>
      </c>
      <c r="R18" s="46">
        <v>645.64559148347428</v>
      </c>
      <c r="S18" s="46">
        <v>637.09578209944675</v>
      </c>
      <c r="T18" s="46">
        <v>626.2522020894645</v>
      </c>
      <c r="U18" s="46">
        <v>601.89275598697566</v>
      </c>
      <c r="V18" s="46">
        <v>577.13921474657036</v>
      </c>
      <c r="W18" s="46">
        <v>551.99822146543011</v>
      </c>
      <c r="X18" s="46">
        <v>526.50495437225277</v>
      </c>
      <c r="Y18" s="46">
        <v>489.81312930980209</v>
      </c>
      <c r="Z18" s="46">
        <v>452.28325184321523</v>
      </c>
      <c r="AA18" s="46">
        <v>414.73112323991478</v>
      </c>
      <c r="AB18" s="46">
        <v>377.34254828102257</v>
      </c>
      <c r="AC18" s="46">
        <v>340.29627256474748</v>
      </c>
      <c r="AD18" s="46">
        <v>303.71627325628674</v>
      </c>
      <c r="AE18" s="46">
        <v>271.53369478642509</v>
      </c>
      <c r="AF18" s="46">
        <v>239.8665940787462</v>
      </c>
      <c r="AG18" s="46">
        <v>208.63370147865243</v>
      </c>
      <c r="AH18" s="46">
        <v>177.71192222819533</v>
      </c>
      <c r="AI18" s="46">
        <v>146.95423197031977</v>
      </c>
      <c r="AJ18" s="46">
        <v>115.87947535455201</v>
      </c>
      <c r="AK18" s="46">
        <v>84.674593184525662</v>
      </c>
      <c r="AL18" s="46">
        <v>53.210756471542453</v>
      </c>
      <c r="AM18" s="46">
        <v>42.355948908912758</v>
      </c>
      <c r="AN18" s="46">
        <v>37.229689774770591</v>
      </c>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51"/>
      <c r="CN18" s="51"/>
      <c r="CO18" s="51"/>
      <c r="CP18" s="51"/>
      <c r="CQ18" s="51"/>
      <c r="CR18" s="51"/>
    </row>
    <row r="19" spans="1:96" s="240" customFormat="1">
      <c r="A19" s="240" t="s">
        <v>680</v>
      </c>
      <c r="B19" s="240" t="s">
        <v>152</v>
      </c>
      <c r="C19" s="240" t="s">
        <v>3</v>
      </c>
      <c r="D19" s="240" t="s">
        <v>102</v>
      </c>
      <c r="E19" s="294">
        <v>949.99347881860001</v>
      </c>
      <c r="F19" s="294">
        <v>997.67848085540004</v>
      </c>
      <c r="G19" s="294">
        <v>1045.3634828922</v>
      </c>
      <c r="H19" s="294">
        <v>1093.0484849290001</v>
      </c>
      <c r="I19" s="294">
        <v>1107.3091243257797</v>
      </c>
      <c r="J19" s="294">
        <v>603.43466545493538</v>
      </c>
      <c r="K19" s="294">
        <v>663.61787392236556</v>
      </c>
      <c r="L19" s="294">
        <v>804.69326061385345</v>
      </c>
      <c r="M19" s="294">
        <v>936.47189128920343</v>
      </c>
      <c r="N19" s="294">
        <v>1047.5497665529986</v>
      </c>
      <c r="O19" s="294">
        <v>1160.5605448933093</v>
      </c>
      <c r="P19" s="294">
        <v>1147.8541910671383</v>
      </c>
      <c r="Q19" s="294">
        <v>1134.9060057336915</v>
      </c>
      <c r="R19" s="294">
        <v>1121.5311909967331</v>
      </c>
      <c r="S19" s="294">
        <v>1107.5611398066965</v>
      </c>
      <c r="T19" s="294">
        <v>1089.8479562706584</v>
      </c>
      <c r="U19" s="294">
        <v>1048.5939082540926</v>
      </c>
      <c r="V19" s="294">
        <v>1006.6285652598916</v>
      </c>
      <c r="W19" s="294">
        <v>963.95113701174796</v>
      </c>
      <c r="X19" s="294">
        <v>920.60826820254408</v>
      </c>
      <c r="Y19" s="294">
        <v>858.84756126518118</v>
      </c>
      <c r="Z19" s="294">
        <v>795.40212499321615</v>
      </c>
      <c r="AA19" s="294">
        <v>731.61083873248504</v>
      </c>
      <c r="AB19" s="294">
        <v>667.75401808030824</v>
      </c>
      <c r="AC19" s="294">
        <v>604.1073738722539</v>
      </c>
      <c r="AD19" s="294">
        <v>540.86370582476513</v>
      </c>
      <c r="AE19" s="294">
        <v>485.07628547795809</v>
      </c>
      <c r="AF19" s="294">
        <v>429.82184660351834</v>
      </c>
      <c r="AG19" s="294">
        <v>374.96371349977562</v>
      </c>
      <c r="AH19" s="294">
        <v>320.29348720302181</v>
      </c>
      <c r="AI19" s="294">
        <v>265.55951632767113</v>
      </c>
      <c r="AJ19" s="294">
        <v>209.909031952828</v>
      </c>
      <c r="AK19" s="294">
        <v>153.6697949241011</v>
      </c>
      <c r="AL19" s="294">
        <v>96.612789693395285</v>
      </c>
      <c r="AM19" s="294">
        <v>77.623954873889346</v>
      </c>
      <c r="AN19" s="294">
        <v>69.472519533170157</v>
      </c>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row>
    <row r="20" spans="1:96">
      <c r="A20" s="41" t="s">
        <v>680</v>
      </c>
      <c r="B20" s="41" t="s">
        <v>157</v>
      </c>
      <c r="C20" s="41" t="s">
        <v>153</v>
      </c>
      <c r="D20" s="41" t="s">
        <v>165</v>
      </c>
      <c r="E20" s="293">
        <v>10.494758196395999</v>
      </c>
      <c r="F20" s="293">
        <v>11.166156049643998</v>
      </c>
      <c r="G20" s="293">
        <v>11.837553902891999</v>
      </c>
      <c r="H20" s="293">
        <v>12.50895175614</v>
      </c>
      <c r="I20" s="293">
        <v>10.789212013181098</v>
      </c>
      <c r="J20" s="46">
        <v>11.26865404531944</v>
      </c>
      <c r="K20" s="46">
        <v>11.765548448846641</v>
      </c>
      <c r="L20" s="46">
        <v>12.281709793124341</v>
      </c>
      <c r="M20" s="46">
        <v>12.81784616691867</v>
      </c>
      <c r="N20" s="46">
        <v>13.374707921585012</v>
      </c>
      <c r="O20" s="46">
        <v>13.953094518216597</v>
      </c>
      <c r="P20" s="46">
        <v>14.553782559458281</v>
      </c>
      <c r="Q20" s="46">
        <v>15.179226736038121</v>
      </c>
      <c r="R20" s="46">
        <v>15.83051818656852</v>
      </c>
      <c r="S20" s="46">
        <v>16.508807037524427</v>
      </c>
      <c r="T20" s="46">
        <v>17.215277272160307</v>
      </c>
      <c r="U20" s="46">
        <v>17.955354694333046</v>
      </c>
      <c r="V20" s="46">
        <v>18.726085734749638</v>
      </c>
      <c r="W20" s="46">
        <v>19.528145792808029</v>
      </c>
      <c r="X20" s="46">
        <v>20.362261682977291</v>
      </c>
      <c r="Y20" s="46">
        <v>21.26483132065767</v>
      </c>
      <c r="Z20" s="46">
        <v>22.210022098264051</v>
      </c>
      <c r="AA20" s="46">
        <v>23.200576553328659</v>
      </c>
      <c r="AB20" s="46">
        <v>24.237975725433177</v>
      </c>
      <c r="AC20" s="46">
        <v>25.323694137803344</v>
      </c>
      <c r="AD20" s="46">
        <v>26.459236195811279</v>
      </c>
      <c r="AE20" s="46">
        <v>27.646179651266127</v>
      </c>
      <c r="AF20" s="46">
        <v>28.886141909455471</v>
      </c>
      <c r="AG20" s="46">
        <v>30.18089807412462</v>
      </c>
      <c r="AH20" s="46">
        <v>31.532382877929209</v>
      </c>
      <c r="AI20" s="46">
        <v>32.942679823618192</v>
      </c>
      <c r="AJ20" s="46">
        <v>34.41399153786594</v>
      </c>
      <c r="AK20" s="46">
        <v>35.948595298304248</v>
      </c>
      <c r="AL20" s="46">
        <v>37.548796455245245</v>
      </c>
      <c r="AM20" s="46">
        <v>39.216874747196883</v>
      </c>
      <c r="AN20" s="46">
        <v>40.953789251048427</v>
      </c>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P20" s="638"/>
    </row>
    <row r="21" spans="1:96">
      <c r="A21" s="41" t="s">
        <v>680</v>
      </c>
      <c r="B21" s="41" t="s">
        <v>157</v>
      </c>
      <c r="C21" s="41" t="s">
        <v>154</v>
      </c>
      <c r="D21" s="41" t="s">
        <v>165</v>
      </c>
      <c r="E21" s="293">
        <v>106.11366620800401</v>
      </c>
      <c r="F21" s="293">
        <v>112.90224450195599</v>
      </c>
      <c r="G21" s="293">
        <v>119.69082279590801</v>
      </c>
      <c r="H21" s="293">
        <v>126.47940108986</v>
      </c>
      <c r="I21" s="293">
        <v>109.09092146660889</v>
      </c>
      <c r="J21" s="46">
        <v>113.93861312489656</v>
      </c>
      <c r="K21" s="46">
        <v>118.96276764944938</v>
      </c>
      <c r="L21" s="46">
        <v>124.18173235270167</v>
      </c>
      <c r="M21" s="46">
        <v>129.60266679884435</v>
      </c>
      <c r="N21" s="46">
        <v>135.233157873804</v>
      </c>
      <c r="O21" s="46">
        <v>141.08128901752337</v>
      </c>
      <c r="P21" s="46">
        <v>147.15491254563372</v>
      </c>
      <c r="Q21" s="46">
        <v>153.47884810882991</v>
      </c>
      <c r="R21" s="46">
        <v>160.06412833085949</v>
      </c>
      <c r="S21" s="46">
        <v>166.92238226830256</v>
      </c>
      <c r="T21" s="46">
        <v>174.06558130739867</v>
      </c>
      <c r="U21" s="46">
        <v>181.54858635381194</v>
      </c>
      <c r="V21" s="46">
        <v>189.34153354024636</v>
      </c>
      <c r="W21" s="46">
        <v>197.45125190505897</v>
      </c>
      <c r="X21" s="46">
        <v>205.88509035010372</v>
      </c>
      <c r="Y21" s="46">
        <v>215.01107224220533</v>
      </c>
      <c r="Z21" s="46">
        <v>224.56800121578098</v>
      </c>
      <c r="AA21" s="46">
        <v>234.58360737254534</v>
      </c>
      <c r="AB21" s="46">
        <v>245.07286566826883</v>
      </c>
      <c r="AC21" s="46">
        <v>256.05068517112272</v>
      </c>
      <c r="AD21" s="46">
        <v>267.5322770909807</v>
      </c>
      <c r="AE21" s="46">
        <v>279.53359425169089</v>
      </c>
      <c r="AF21" s="46">
        <v>292.07099041782755</v>
      </c>
      <c r="AG21" s="46">
        <v>305.1624138605934</v>
      </c>
      <c r="AH21" s="46">
        <v>318.82742687683981</v>
      </c>
      <c r="AI21" s="46">
        <v>333.08709599436179</v>
      </c>
      <c r="AJ21" s="46">
        <v>347.96369221620006</v>
      </c>
      <c r="AK21" s="46">
        <v>363.48024134952078</v>
      </c>
      <c r="AL21" s="46">
        <v>379.66005304747978</v>
      </c>
      <c r="AM21" s="46">
        <v>396.52617799943516</v>
      </c>
      <c r="AN21" s="46">
        <v>414.0883135383786</v>
      </c>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P21" s="638"/>
    </row>
    <row r="22" spans="1:96">
      <c r="A22" s="41" t="s">
        <v>680</v>
      </c>
      <c r="B22" s="41" t="s">
        <v>157</v>
      </c>
      <c r="C22" s="41" t="s">
        <v>112</v>
      </c>
      <c r="D22" s="41" t="s">
        <v>165</v>
      </c>
      <c r="E22" s="293">
        <v>103.64940771618524</v>
      </c>
      <c r="F22" s="293">
        <v>111.17873423744896</v>
      </c>
      <c r="G22" s="293">
        <v>118.70806075871269</v>
      </c>
      <c r="H22" s="293">
        <v>126.23738727997639</v>
      </c>
      <c r="I22" s="293">
        <v>132.03650138128475</v>
      </c>
      <c r="J22" s="46">
        <v>56.289668025601237</v>
      </c>
      <c r="K22" s="46">
        <v>63.886669795019692</v>
      </c>
      <c r="L22" s="46">
        <v>88.10168343737476</v>
      </c>
      <c r="M22" s="46">
        <v>111.03571008645068</v>
      </c>
      <c r="N22" s="46">
        <v>133.8539480369939</v>
      </c>
      <c r="O22" s="46">
        <v>155.14623904286856</v>
      </c>
      <c r="P22" s="46">
        <v>159.42052395473615</v>
      </c>
      <c r="Q22" s="46">
        <v>163.80714854763289</v>
      </c>
      <c r="R22" s="46">
        <v>168.30731762785291</v>
      </c>
      <c r="S22" s="46">
        <v>172.92230281454593</v>
      </c>
      <c r="T22" s="46">
        <v>177.65347545377864</v>
      </c>
      <c r="U22" s="46">
        <v>182.40039938604431</v>
      </c>
      <c r="V22" s="46">
        <v>187.26353118344969</v>
      </c>
      <c r="W22" s="46">
        <v>192.25158631178419</v>
      </c>
      <c r="X22" s="46">
        <v>197.37337862304432</v>
      </c>
      <c r="Y22" s="46">
        <v>202.58551499034078</v>
      </c>
      <c r="Z22" s="46">
        <v>207.93263412313047</v>
      </c>
      <c r="AA22" s="46">
        <v>213.404257827778</v>
      </c>
      <c r="AB22" s="46">
        <v>219.00569848184068</v>
      </c>
      <c r="AC22" s="46">
        <v>224.74254967788735</v>
      </c>
      <c r="AD22" s="46">
        <v>230.6206802964318</v>
      </c>
      <c r="AE22" s="46">
        <v>236.6461977714917</v>
      </c>
      <c r="AF22" s="46">
        <v>242.82643743534027</v>
      </c>
      <c r="AG22" s="46">
        <v>249.16881594543116</v>
      </c>
      <c r="AH22" s="46">
        <v>255.68093476083641</v>
      </c>
      <c r="AI22" s="46">
        <v>262.37060703706646</v>
      </c>
      <c r="AJ22" s="46">
        <v>269.24591947685241</v>
      </c>
      <c r="AK22" s="46">
        <v>276.31535730125745</v>
      </c>
      <c r="AL22" s="46">
        <v>283.58789309346656</v>
      </c>
      <c r="AM22" s="46">
        <v>291.07311730251195</v>
      </c>
      <c r="AN22" s="46">
        <v>298.80065657921045</v>
      </c>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P22" s="638"/>
    </row>
    <row r="23" spans="1:96">
      <c r="A23" s="41" t="s">
        <v>680</v>
      </c>
      <c r="B23" s="41" t="s">
        <v>157</v>
      </c>
      <c r="C23" s="41" t="s">
        <v>155</v>
      </c>
      <c r="D23" s="41" t="s">
        <v>165</v>
      </c>
      <c r="E23" s="293">
        <v>184.59780180725991</v>
      </c>
      <c r="F23" s="293">
        <v>198.00740206971611</v>
      </c>
      <c r="G23" s="293">
        <v>211.4170023321723</v>
      </c>
      <c r="H23" s="293">
        <v>224.82660259462847</v>
      </c>
      <c r="I23" s="293">
        <v>235.15472447316617</v>
      </c>
      <c r="J23" s="46">
        <v>100.25092483344513</v>
      </c>
      <c r="K23" s="46">
        <v>113.78105354195219</v>
      </c>
      <c r="L23" s="46">
        <v>156.90757387240598</v>
      </c>
      <c r="M23" s="46">
        <v>197.75267853138266</v>
      </c>
      <c r="N23" s="46">
        <v>238.3915655216411</v>
      </c>
      <c r="O23" s="46">
        <v>276.31276740527892</v>
      </c>
      <c r="P23" s="46">
        <v>283.92519487991751</v>
      </c>
      <c r="Q23" s="46">
        <v>291.73769738277508</v>
      </c>
      <c r="R23" s="46">
        <v>299.75242065301609</v>
      </c>
      <c r="S23" s="46">
        <v>307.9716294223449</v>
      </c>
      <c r="T23" s="46">
        <v>316.39776603437906</v>
      </c>
      <c r="U23" s="46">
        <v>324.85195542677718</v>
      </c>
      <c r="V23" s="46">
        <v>333.51310901636816</v>
      </c>
      <c r="W23" s="46">
        <v>342.39674889692867</v>
      </c>
      <c r="X23" s="46">
        <v>351.51857238636774</v>
      </c>
      <c r="Y23" s="46">
        <v>360.80129707648052</v>
      </c>
      <c r="Z23" s="46">
        <v>370.32442373647388</v>
      </c>
      <c r="AA23" s="46">
        <v>380.06929088477602</v>
      </c>
      <c r="AB23" s="46">
        <v>390.04535977390225</v>
      </c>
      <c r="AC23" s="46">
        <v>400.26259249543762</v>
      </c>
      <c r="AD23" s="46">
        <v>410.73144142403419</v>
      </c>
      <c r="AE23" s="46">
        <v>421.46278379400695</v>
      </c>
      <c r="AF23" s="46">
        <v>432.46968370521927</v>
      </c>
      <c r="AG23" s="46">
        <v>443.76535009627344</v>
      </c>
      <c r="AH23" s="46">
        <v>455.36332103425678</v>
      </c>
      <c r="AI23" s="46">
        <v>467.27751161395076</v>
      </c>
      <c r="AJ23" s="46">
        <v>479.52232411300383</v>
      </c>
      <c r="AK23" s="46">
        <v>492.11287056331878</v>
      </c>
      <c r="AL23" s="46">
        <v>505.06513098030518</v>
      </c>
      <c r="AM23" s="46">
        <v>518.39618578775583</v>
      </c>
      <c r="AN23" s="46">
        <v>532.15879953817728</v>
      </c>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P23" s="638"/>
    </row>
    <row r="24" spans="1:96">
      <c r="A24" s="41" t="s">
        <v>680</v>
      </c>
      <c r="B24" s="41" t="s">
        <v>157</v>
      </c>
      <c r="C24" s="41" t="s">
        <v>156</v>
      </c>
      <c r="D24" s="41" t="s">
        <v>165</v>
      </c>
      <c r="E24" s="293">
        <v>494.96320380295487</v>
      </c>
      <c r="F24" s="293">
        <v>530.91844618743505</v>
      </c>
      <c r="G24" s="293">
        <v>566.87368857191518</v>
      </c>
      <c r="H24" s="293">
        <v>602.8289309563952</v>
      </c>
      <c r="I24" s="293">
        <v>630.52178669043008</v>
      </c>
      <c r="J24" s="46">
        <v>268.80341181733246</v>
      </c>
      <c r="K24" s="46">
        <v>305.0818278540591</v>
      </c>
      <c r="L24" s="46">
        <v>420.71722796528167</v>
      </c>
      <c r="M24" s="46">
        <v>530.23545442164357</v>
      </c>
      <c r="N24" s="46">
        <v>639.20074819413674</v>
      </c>
      <c r="O24" s="46">
        <v>740.87909643352441</v>
      </c>
      <c r="P24" s="46">
        <v>761.29034431771538</v>
      </c>
      <c r="Q24" s="46">
        <v>782.23805458660809</v>
      </c>
      <c r="R24" s="46">
        <v>803.7279806236179</v>
      </c>
      <c r="S24" s="46">
        <v>825.76619486757704</v>
      </c>
      <c r="T24" s="46">
        <v>848.35924598921724</v>
      </c>
      <c r="U24" s="46">
        <v>871.02751520071854</v>
      </c>
      <c r="V24" s="46">
        <v>894.2507187674081</v>
      </c>
      <c r="W24" s="46">
        <v>918.07047617332216</v>
      </c>
      <c r="X24" s="46">
        <v>942.52887673202395</v>
      </c>
      <c r="Y24" s="46">
        <v>967.41870265441651</v>
      </c>
      <c r="Z24" s="46">
        <v>992.95311983438467</v>
      </c>
      <c r="AA24" s="46">
        <v>1019.0820911283868</v>
      </c>
      <c r="AB24" s="46">
        <v>1045.8309850500841</v>
      </c>
      <c r="AC24" s="46">
        <v>1073.2265130159681</v>
      </c>
      <c r="AD24" s="46">
        <v>1101.2967010414873</v>
      </c>
      <c r="AE24" s="46">
        <v>1130.0707143208763</v>
      </c>
      <c r="AF24" s="46">
        <v>1159.5835817042073</v>
      </c>
      <c r="AG24" s="46">
        <v>1189.8707203985405</v>
      </c>
      <c r="AH24" s="46">
        <v>1220.9684301051361</v>
      </c>
      <c r="AI24" s="46">
        <v>1252.9140214518929</v>
      </c>
      <c r="AJ24" s="46">
        <v>1285.7461113530817</v>
      </c>
      <c r="AK24" s="46">
        <v>1319.5052197913528</v>
      </c>
      <c r="AL24" s="46">
        <v>1354.2341940787903</v>
      </c>
      <c r="AM24" s="46">
        <v>1389.9788320591383</v>
      </c>
      <c r="AN24" s="46">
        <v>1426.8806116465446</v>
      </c>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P24" s="638"/>
    </row>
    <row r="25" spans="1:96" s="241" customFormat="1">
      <c r="A25" s="241" t="s">
        <v>680</v>
      </c>
      <c r="B25" s="241" t="s">
        <v>157</v>
      </c>
      <c r="C25" s="241" t="s">
        <v>3</v>
      </c>
      <c r="D25" s="241" t="s">
        <v>165</v>
      </c>
      <c r="E25" s="295">
        <v>899.81883773079994</v>
      </c>
      <c r="F25" s="295">
        <v>964.1729830462001</v>
      </c>
      <c r="G25" s="295">
        <v>1028.5271283616003</v>
      </c>
      <c r="H25" s="295">
        <v>1092.8812736770001</v>
      </c>
      <c r="I25" s="295">
        <v>1117.5931460246711</v>
      </c>
      <c r="J25" s="295">
        <v>550.55127184659477</v>
      </c>
      <c r="K25" s="295">
        <v>613.47786728932692</v>
      </c>
      <c r="L25" s="295">
        <v>802.18992742088835</v>
      </c>
      <c r="M25" s="295">
        <v>981.44435600523991</v>
      </c>
      <c r="N25" s="295">
        <v>1160.0541275481607</v>
      </c>
      <c r="O25" s="295">
        <v>1327.3724864174119</v>
      </c>
      <c r="P25" s="295">
        <v>1366.3447582574611</v>
      </c>
      <c r="Q25" s="295">
        <v>1406.4409753618841</v>
      </c>
      <c r="R25" s="295">
        <v>1447.6823654219149</v>
      </c>
      <c r="S25" s="295">
        <v>1490.0913164102949</v>
      </c>
      <c r="T25" s="295">
        <v>1533.691346056934</v>
      </c>
      <c r="U25" s="295">
        <v>1577.7838110616849</v>
      </c>
      <c r="V25" s="295">
        <v>1623.0949782422219</v>
      </c>
      <c r="W25" s="295">
        <v>1669.698209079902</v>
      </c>
      <c r="X25" s="295">
        <v>1717.6681797745171</v>
      </c>
      <c r="Y25" s="295">
        <v>1767.0814182841009</v>
      </c>
      <c r="Z25" s="295">
        <v>1817.9882010080341</v>
      </c>
      <c r="AA25" s="295">
        <v>1870.3398237668148</v>
      </c>
      <c r="AB25" s="295">
        <v>1924.192884699529</v>
      </c>
      <c r="AC25" s="295">
        <v>1979.6060344982191</v>
      </c>
      <c r="AD25" s="295">
        <v>2036.6403360487452</v>
      </c>
      <c r="AE25" s="295">
        <v>2095.3594697893323</v>
      </c>
      <c r="AF25" s="295">
        <v>2155.8368351720501</v>
      </c>
      <c r="AG25" s="295">
        <v>2218.1481983749632</v>
      </c>
      <c r="AH25" s="295">
        <v>2282.3724956549986</v>
      </c>
      <c r="AI25" s="295">
        <v>2348.5919159208902</v>
      </c>
      <c r="AJ25" s="295">
        <v>2416.892038697004</v>
      </c>
      <c r="AK25" s="295">
        <v>2487.3622843037542</v>
      </c>
      <c r="AL25" s="295">
        <v>2560.0960676552868</v>
      </c>
      <c r="AM25" s="295">
        <v>2635.1911878960382</v>
      </c>
      <c r="AN25" s="295">
        <v>2712.8821705533592</v>
      </c>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row>
    <row r="26" spans="1:96">
      <c r="A26" s="41" t="s">
        <v>680</v>
      </c>
      <c r="B26" s="41" t="s">
        <v>158</v>
      </c>
      <c r="C26" s="41" t="s">
        <v>153</v>
      </c>
      <c r="D26" s="41" t="s">
        <v>166</v>
      </c>
      <c r="E26" s="602">
        <f>+DataInt!E15</f>
        <v>1189.7236448298318</v>
      </c>
      <c r="F26" s="602">
        <f>+DataInt!F15</f>
        <v>1147.7539072100469</v>
      </c>
      <c r="G26" s="602">
        <f>+DataInt!G15</f>
        <v>1110.5450166318824</v>
      </c>
      <c r="H26" s="602">
        <f>+DataInt!H15</f>
        <v>1077.33038068719</v>
      </c>
      <c r="I26" s="602">
        <f>+DataInt!I15</f>
        <v>1126.5819082910111</v>
      </c>
      <c r="J26" s="602">
        <f>+DataInt!J15</f>
        <v>1086.7748233056914</v>
      </c>
      <c r="K26" s="602">
        <f>+DataInt!K15</f>
        <v>1049.3972023676399</v>
      </c>
      <c r="L26" s="602">
        <f>+DataInt!L15</f>
        <v>1014.2332226786245</v>
      </c>
      <c r="M26" s="635">
        <f>+DataInt!M15</f>
        <v>981.09188987648861</v>
      </c>
      <c r="N26" s="635">
        <f>+DataInt!N15</f>
        <v>949.80356749347379</v>
      </c>
      <c r="O26" s="635">
        <f>+DataInt!O15</f>
        <v>920.21707272137542</v>
      </c>
      <c r="P26" s="635">
        <f>+DataInt!P15</f>
        <v>892.19723352933408</v>
      </c>
      <c r="Q26" s="635">
        <f>+DataInt!Q15</f>
        <v>865.62282383667934</v>
      </c>
      <c r="R26" s="635">
        <f>+DataInt!R15</f>
        <v>840.38481019903247</v>
      </c>
      <c r="S26" s="635">
        <f>+DataInt!S15</f>
        <v>816.38485652275381</v>
      </c>
      <c r="T26" s="635">
        <f>+DataInt!T15</f>
        <v>793.53404356649946</v>
      </c>
      <c r="U26" s="635">
        <f>+DataInt!U15</f>
        <v>762.06105516600064</v>
      </c>
      <c r="V26" s="635">
        <f>+DataInt!V15</f>
        <v>674.95283167266689</v>
      </c>
      <c r="W26" s="635">
        <f>+DataInt!W15</f>
        <v>628.64534601563412</v>
      </c>
      <c r="X26" s="635">
        <f>+DataInt!X15</f>
        <v>584.28942487660083</v>
      </c>
      <c r="Y26" s="635">
        <f>+DataInt!Y15</f>
        <v>538.52669925358441</v>
      </c>
      <c r="Z26" s="635">
        <f>+DataInt!Z15</f>
        <v>493.10476254892103</v>
      </c>
      <c r="AA26" s="635">
        <f>+DataInt!AA15</f>
        <v>448.36998631277874</v>
      </c>
      <c r="AB26" s="635">
        <f>+DataInt!AB15</f>
        <v>404.34360798657497</v>
      </c>
      <c r="AC26" s="635">
        <f>+DataInt!AC15</f>
        <v>361.08866741830911</v>
      </c>
      <c r="AD26" s="635">
        <f>+DataInt!AD15</f>
        <v>318.68994456484904</v>
      </c>
      <c r="AE26" s="635">
        <f>+DataInt!AE15</f>
        <v>281.50771120611881</v>
      </c>
      <c r="AF26" s="635">
        <f>+DataInt!AF15</f>
        <v>245.2956860937569</v>
      </c>
      <c r="AG26" s="635">
        <f>+DataInt!AG15</f>
        <v>210.08069445731962</v>
      </c>
      <c r="AH26" s="635">
        <f>+DataInt!AH15</f>
        <v>175.85917877142279</v>
      </c>
      <c r="AI26" s="635">
        <f>+DataInt!AI15</f>
        <v>142.60213359649836</v>
      </c>
      <c r="AJ26" s="635">
        <f>+DataInt!AJ15</f>
        <v>109.98523210207156</v>
      </c>
      <c r="AK26" s="635">
        <f>+DataInt!AK15</f>
        <v>78.212482483134721</v>
      </c>
      <c r="AL26" s="635">
        <f>+DataInt!AL15</f>
        <v>47.244620722005763</v>
      </c>
      <c r="AM26" s="635">
        <f>+DataInt!AM15</f>
        <v>38.944124677508384</v>
      </c>
      <c r="AN26" s="635">
        <f>+DataInt!AN15</f>
        <v>37.636164147114265</v>
      </c>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N26" s="55" t="s">
        <v>118</v>
      </c>
      <c r="CO26" s="54"/>
      <c r="CP26" s="54"/>
    </row>
    <row r="27" spans="1:96">
      <c r="A27" s="41" t="s">
        <v>680</v>
      </c>
      <c r="B27" s="41" t="s">
        <v>158</v>
      </c>
      <c r="C27" s="41" t="s">
        <v>154</v>
      </c>
      <c r="D27" s="41" t="s">
        <v>166</v>
      </c>
      <c r="E27" s="602">
        <f>+DataInt!E16</f>
        <v>617.74112327702801</v>
      </c>
      <c r="F27" s="602">
        <f>+DataInt!F16</f>
        <v>595.94914412829348</v>
      </c>
      <c r="G27" s="602">
        <f>+DataInt!G16</f>
        <v>576.62914325116969</v>
      </c>
      <c r="H27" s="602">
        <f>+DataInt!H16</f>
        <v>559.38308227988705</v>
      </c>
      <c r="I27" s="602">
        <f>+DataInt!I16</f>
        <v>584.95599084340938</v>
      </c>
      <c r="J27" s="602">
        <f>+DataInt!J16</f>
        <v>564.28692748564731</v>
      </c>
      <c r="K27" s="602">
        <f>+DataInt!K16</f>
        <v>544.87931661396669</v>
      </c>
      <c r="L27" s="602">
        <f>+DataInt!L16</f>
        <v>526.62109639082416</v>
      </c>
      <c r="M27" s="635">
        <f>+DataInt!M16</f>
        <v>509.41309666663813</v>
      </c>
      <c r="N27" s="635">
        <f>+DataInt!N16</f>
        <v>493.16723696776518</v>
      </c>
      <c r="O27" s="635">
        <f>+DataInt!O16</f>
        <v>477.80501852840638</v>
      </c>
      <c r="P27" s="635">
        <f>+DataInt!P16</f>
        <v>463.25625587100029</v>
      </c>
      <c r="Q27" s="635">
        <f>+DataInt!Q16</f>
        <v>449.45800468442951</v>
      </c>
      <c r="R27" s="635">
        <f>+DataInt!R16</f>
        <v>436.35365144949753</v>
      </c>
      <c r="S27" s="635">
        <f>+DataInt!S16</f>
        <v>423.89213704066054</v>
      </c>
      <c r="T27" s="635">
        <f>+DataInt!T16</f>
        <v>412.02729185183631</v>
      </c>
      <c r="U27" s="635">
        <f>+DataInt!U16</f>
        <v>395.68554787465416</v>
      </c>
      <c r="V27" s="635">
        <f>+DataInt!V16</f>
        <v>350.45627798388466</v>
      </c>
      <c r="W27" s="635">
        <f>+DataInt!W16</f>
        <v>326.41200658504079</v>
      </c>
      <c r="X27" s="635">
        <f>+DataInt!X16</f>
        <v>303.3810475320812</v>
      </c>
      <c r="Y27" s="635">
        <f>+DataInt!Y16</f>
        <v>279.61963230474572</v>
      </c>
      <c r="Z27" s="635">
        <f>+DataInt!Z16</f>
        <v>256.03516516963202</v>
      </c>
      <c r="AA27" s="635">
        <f>+DataInt!AA16</f>
        <v>232.80749289317353</v>
      </c>
      <c r="AB27" s="635">
        <f>+DataInt!AB16</f>
        <v>209.94764260841387</v>
      </c>
      <c r="AC27" s="635">
        <f>+DataInt!AC16</f>
        <v>187.48834654412204</v>
      </c>
      <c r="AD27" s="635">
        <f>+DataInt!AD16</f>
        <v>165.47362506251778</v>
      </c>
      <c r="AE27" s="635">
        <f>+DataInt!AE16</f>
        <v>146.16746543394629</v>
      </c>
      <c r="AF27" s="635">
        <f>+DataInt!AF16</f>
        <v>127.3650677794507</v>
      </c>
      <c r="AG27" s="635">
        <f>+DataInt!AG16</f>
        <v>109.08036058360824</v>
      </c>
      <c r="AH27" s="635">
        <f>+DataInt!AH16</f>
        <v>91.311496669777213</v>
      </c>
      <c r="AI27" s="635">
        <f>+DataInt!AI16</f>
        <v>74.043415521258751</v>
      </c>
      <c r="AJ27" s="635">
        <f>+DataInt!AJ16</f>
        <v>57.107716668383311</v>
      </c>
      <c r="AK27" s="635">
        <f>+DataInt!AK16</f>
        <v>40.610327443166099</v>
      </c>
      <c r="AL27" s="635">
        <f>+DataInt!AL16</f>
        <v>24.530860759502989</v>
      </c>
      <c r="AM27" s="635">
        <f>+DataInt!AM16</f>
        <v>20.22098781332166</v>
      </c>
      <c r="AN27" s="635">
        <f>+DataInt!AN16</f>
        <v>19.541854461001638</v>
      </c>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N27" s="55"/>
      <c r="CO27" s="54"/>
      <c r="CP27" s="54"/>
    </row>
    <row r="28" spans="1:96">
      <c r="A28" s="41" t="s">
        <v>680</v>
      </c>
      <c r="B28" s="41" t="s">
        <v>158</v>
      </c>
      <c r="C28" s="41" t="s">
        <v>112</v>
      </c>
      <c r="D28" s="41" t="s">
        <v>166</v>
      </c>
      <c r="E28" s="602">
        <f>+DataInt!E17</f>
        <v>683.29204166542684</v>
      </c>
      <c r="F28" s="602">
        <f>+DataInt!F17</f>
        <v>670.34703768087195</v>
      </c>
      <c r="G28" s="602">
        <f>+DataInt!G17</f>
        <v>659.04416585138404</v>
      </c>
      <c r="H28" s="602">
        <f>+DataInt!H17</f>
        <v>649.08959525762248</v>
      </c>
      <c r="I28" s="602">
        <f>+DataInt!I17</f>
        <v>635.54538040104273</v>
      </c>
      <c r="J28" s="602">
        <f>+DataInt!J17</f>
        <v>613.08877180164723</v>
      </c>
      <c r="K28" s="602">
        <f>+DataInt!K17</f>
        <v>592.00271126513837</v>
      </c>
      <c r="L28" s="602">
        <f>+DataInt!L17</f>
        <v>572.16544538735434</v>
      </c>
      <c r="M28" s="635">
        <f>+DataInt!M17</f>
        <v>553.46922737806392</v>
      </c>
      <c r="N28" s="635">
        <f>+DataInt!N17</f>
        <v>535.81835920356218</v>
      </c>
      <c r="O28" s="635">
        <f>+DataInt!O17</f>
        <v>519.12755320332121</v>
      </c>
      <c r="P28" s="635">
        <f>+DataInt!P17</f>
        <v>503.32055397226071</v>
      </c>
      <c r="Q28" s="635">
        <f>+DataInt!Q17</f>
        <v>488.32897351747442</v>
      </c>
      <c r="R28" s="635">
        <f>+DataInt!R17</f>
        <v>474.09130215078557</v>
      </c>
      <c r="S28" s="635">
        <f>+DataInt!S17</f>
        <v>460.5520649443792</v>
      </c>
      <c r="T28" s="635">
        <f>+DataInt!T17</f>
        <v>447.66109935556875</v>
      </c>
      <c r="U28" s="635">
        <f>+DataInt!U17</f>
        <v>429.90605443771096</v>
      </c>
      <c r="V28" s="635">
        <f>+DataInt!V17</f>
        <v>402.34755994659474</v>
      </c>
      <c r="W28" s="635">
        <f>+DataInt!W17</f>
        <v>374.83638659930745</v>
      </c>
      <c r="X28" s="635">
        <f>+DataInt!X17</f>
        <v>348.24740024150054</v>
      </c>
      <c r="Y28" s="635">
        <f>+DataInt!Y17</f>
        <v>315.64290264633536</v>
      </c>
      <c r="Z28" s="635">
        <f>+DataInt!Z17</f>
        <v>283.96305958473783</v>
      </c>
      <c r="AA28" s="635">
        <f>+DataInt!AA17</f>
        <v>253.709975822704</v>
      </c>
      <c r="AB28" s="635">
        <f>+DataInt!AB17</f>
        <v>224.93361288289125</v>
      </c>
      <c r="AC28" s="635">
        <f>+DataInt!AC17</f>
        <v>197.67233148521848</v>
      </c>
      <c r="AD28" s="635">
        <f>+DataInt!AD17</f>
        <v>171.92689088621964</v>
      </c>
      <c r="AE28" s="635">
        <f>+DataInt!AE17</f>
        <v>149.79530249554762</v>
      </c>
      <c r="AF28" s="635">
        <f>+DataInt!AF17</f>
        <v>128.95785371681438</v>
      </c>
      <c r="AG28" s="635">
        <f>+DataInt!AG17</f>
        <v>109.31122742753327</v>
      </c>
      <c r="AH28" s="635">
        <f>+DataInt!AH17</f>
        <v>90.738629448906778</v>
      </c>
      <c r="AI28" s="635">
        <f>+DataInt!AI17</f>
        <v>73.120796486100161</v>
      </c>
      <c r="AJ28" s="635">
        <f>+DataInt!AJ17</f>
        <v>56.186423239523393</v>
      </c>
      <c r="AK28" s="635">
        <f>+DataInt!AK17</f>
        <v>40.00572006891133</v>
      </c>
      <c r="AL28" s="635">
        <f>+DataInt!AL17</f>
        <v>24.495468108512217</v>
      </c>
      <c r="AM28" s="635">
        <f>+DataInt!AM17</f>
        <v>18.997056521408702</v>
      </c>
      <c r="AN28" s="635">
        <f>+DataInt!AN17</f>
        <v>16.266041128869425</v>
      </c>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N28" s="51"/>
    </row>
    <row r="29" spans="1:96">
      <c r="A29" s="41" t="s">
        <v>680</v>
      </c>
      <c r="B29" s="41" t="s">
        <v>158</v>
      </c>
      <c r="C29" s="41" t="s">
        <v>155</v>
      </c>
      <c r="D29" s="41" t="s">
        <v>166</v>
      </c>
      <c r="E29" s="602">
        <f>+DataInt!E18</f>
        <v>1401.0714773798429</v>
      </c>
      <c r="F29" s="602">
        <f>+DataInt!F18</f>
        <v>1374.5281039005874</v>
      </c>
      <c r="G29" s="602">
        <f>+DataInt!G18</f>
        <v>1351.3518770939982</v>
      </c>
      <c r="H29" s="602">
        <f>+DataInt!H18</f>
        <v>1330.9403047676328</v>
      </c>
      <c r="I29" s="602">
        <f>+DataInt!I18</f>
        <v>1303.1682659292971</v>
      </c>
      <c r="J29" s="602">
        <f>+DataInt!J18</f>
        <v>1257.1216096407081</v>
      </c>
      <c r="K29" s="602">
        <f>+DataInt!K18</f>
        <v>1213.8852243375802</v>
      </c>
      <c r="L29" s="602">
        <f>+DataInt!L18</f>
        <v>1173.2094580242172</v>
      </c>
      <c r="M29" s="635">
        <f>+DataInt!M18</f>
        <v>1134.8733788803036</v>
      </c>
      <c r="N29" s="635">
        <f>+DataInt!N18</f>
        <v>1098.6807607283199</v>
      </c>
      <c r="O29" s="635">
        <f>+DataInt!O18</f>
        <v>1064.4567235736938</v>
      </c>
      <c r="P29" s="635">
        <f>+DataInt!P18</f>
        <v>1032.0449078124209</v>
      </c>
      <c r="Q29" s="635">
        <f>+DataInt!Q18</f>
        <v>1001.3050857520744</v>
      </c>
      <c r="R29" s="635">
        <f>+DataInt!R18</f>
        <v>972.11113347428238</v>
      </c>
      <c r="S29" s="635">
        <f>+DataInt!S18</f>
        <v>944.34930117027864</v>
      </c>
      <c r="T29" s="635">
        <f>+DataInt!T18</f>
        <v>917.91673193041765</v>
      </c>
      <c r="U29" s="635">
        <f>+DataInt!U18</f>
        <v>881.51050224072799</v>
      </c>
      <c r="V29" s="635">
        <f>+DataInt!V18</f>
        <v>825.00256970733778</v>
      </c>
      <c r="W29" s="635">
        <f>+DataInt!W18</f>
        <v>768.59166787363779</v>
      </c>
      <c r="X29" s="635">
        <f>+DataInt!X18</f>
        <v>714.07168501599176</v>
      </c>
      <c r="Y29" s="635">
        <f>+DataInt!Y18</f>
        <v>647.21706235194904</v>
      </c>
      <c r="Z29" s="635">
        <f>+DataInt!Z18</f>
        <v>582.25841829502394</v>
      </c>
      <c r="AA29" s="635">
        <f>+DataInt!AA18</f>
        <v>520.22530481333126</v>
      </c>
      <c r="AB29" s="635">
        <f>+DataInt!AB18</f>
        <v>461.22016663049334</v>
      </c>
      <c r="AC29" s="635">
        <f>+DataInt!AC18</f>
        <v>405.32166134421749</v>
      </c>
      <c r="AD29" s="635">
        <f>+DataInt!AD18</f>
        <v>352.53134578907668</v>
      </c>
      <c r="AE29" s="635">
        <f>+DataInt!AE18</f>
        <v>307.15113447020349</v>
      </c>
      <c r="AF29" s="635">
        <f>+DataInt!AF18</f>
        <v>264.4245207164584</v>
      </c>
      <c r="AG29" s="635">
        <f>+DataInt!AG18</f>
        <v>224.13965561900861</v>
      </c>
      <c r="AH29" s="635">
        <f>+DataInt!AH18</f>
        <v>186.05705593692781</v>
      </c>
      <c r="AI29" s="635">
        <f>+DataInt!AI18</f>
        <v>149.93217557498562</v>
      </c>
      <c r="AJ29" s="635">
        <f>+DataInt!AJ18</f>
        <v>115.20871050249102</v>
      </c>
      <c r="AK29" s="635">
        <f>+DataInt!AK18</f>
        <v>82.030625124768079</v>
      </c>
      <c r="AL29" s="635">
        <f>+DataInt!AL18</f>
        <v>50.227281453848306</v>
      </c>
      <c r="AM29" s="635">
        <f>+DataInt!AM18</f>
        <v>38.95294021198491</v>
      </c>
      <c r="AN29" s="635">
        <f>+DataInt!AN18</f>
        <v>33.353068506402145</v>
      </c>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N29" s="51"/>
    </row>
    <row r="30" spans="1:96">
      <c r="A30" s="41" t="s">
        <v>680</v>
      </c>
      <c r="B30" s="41" t="s">
        <v>158</v>
      </c>
      <c r="C30" s="41" t="s">
        <v>156</v>
      </c>
      <c r="D30" s="41" t="s">
        <v>166</v>
      </c>
      <c r="E30" s="602">
        <f>+DataInt!E19</f>
        <v>1096.0396793216892</v>
      </c>
      <c r="F30" s="602">
        <f>+DataInt!F19</f>
        <v>1075.2751494415108</v>
      </c>
      <c r="G30" s="602">
        <f>+DataInt!G19</f>
        <v>1057.1446938529884</v>
      </c>
      <c r="H30" s="602">
        <f>+DataInt!H19</f>
        <v>1041.1769908854865</v>
      </c>
      <c r="I30" s="602">
        <f>+DataInt!I19</f>
        <v>1019.4512923512447</v>
      </c>
      <c r="J30" s="602">
        <f>+DataInt!J19</f>
        <v>983.42960237525313</v>
      </c>
      <c r="K30" s="602">
        <f>+DataInt!K19</f>
        <v>949.60635020878146</v>
      </c>
      <c r="L30" s="602">
        <f>+DataInt!L19</f>
        <v>917.7862363987166</v>
      </c>
      <c r="M30" s="635">
        <f>+DataInt!M19</f>
        <v>887.79642890515197</v>
      </c>
      <c r="N30" s="635">
        <f>+DataInt!N19</f>
        <v>859.48342258566197</v>
      </c>
      <c r="O30" s="635">
        <f>+DataInt!O19</f>
        <v>832.71041113431227</v>
      </c>
      <c r="P30" s="635">
        <f>+DataInt!P19</f>
        <v>807.3550765016679</v>
      </c>
      <c r="Q30" s="635">
        <f>+DataInt!Q19</f>
        <v>783.30772041928174</v>
      </c>
      <c r="R30" s="635">
        <f>+DataInt!R19</f>
        <v>760.46967781454384</v>
      </c>
      <c r="S30" s="635">
        <f>+DataInt!S19</f>
        <v>738.75196371706863</v>
      </c>
      <c r="T30" s="635">
        <f>+DataInt!T19</f>
        <v>718.07411452732924</v>
      </c>
      <c r="U30" s="635">
        <f>+DataInt!U19</f>
        <v>689.59400272816458</v>
      </c>
      <c r="V30" s="635">
        <f>+DataInt!V19</f>
        <v>645.38859475793447</v>
      </c>
      <c r="W30" s="635">
        <f>+DataInt!W19</f>
        <v>601.25909262026914</v>
      </c>
      <c r="X30" s="635">
        <f>+DataInt!X19</f>
        <v>558.60883137901624</v>
      </c>
      <c r="Y30" s="635">
        <f>+DataInt!Y19</f>
        <v>506.30934461556944</v>
      </c>
      <c r="Z30" s="635">
        <f>+DataInt!Z19</f>
        <v>455.49305683097293</v>
      </c>
      <c r="AA30" s="635">
        <f>+DataInt!AA19</f>
        <v>406.9653729079867</v>
      </c>
      <c r="AB30" s="635">
        <f>+DataInt!AB19</f>
        <v>360.8064339984648</v>
      </c>
      <c r="AC30" s="635">
        <f>+DataInt!AC19</f>
        <v>317.07777290038342</v>
      </c>
      <c r="AD30" s="635">
        <f>+DataInt!AD19</f>
        <v>275.78060750483019</v>
      </c>
      <c r="AE30" s="635">
        <f>+DataInt!AE19</f>
        <v>240.28026861098257</v>
      </c>
      <c r="AF30" s="635">
        <f>+DataInt!AF19</f>
        <v>206.85580398285825</v>
      </c>
      <c r="AG30" s="635">
        <f>+DataInt!AG19</f>
        <v>175.34148702202853</v>
      </c>
      <c r="AH30" s="635">
        <f>+DataInt!AH19</f>
        <v>145.54997315769481</v>
      </c>
      <c r="AI30" s="635">
        <f>+DataInt!AI19</f>
        <v>117.28995721512264</v>
      </c>
      <c r="AJ30" s="635">
        <f>+DataInt!AJ19</f>
        <v>90.126249911503777</v>
      </c>
      <c r="AK30" s="635">
        <f>+DataInt!AK19</f>
        <v>64.17147269634512</v>
      </c>
      <c r="AL30" s="635">
        <f>+DataInt!AL19</f>
        <v>39.292137729352461</v>
      </c>
      <c r="AM30" s="635">
        <f>+DataInt!AM19</f>
        <v>30.472369745491687</v>
      </c>
      <c r="AN30" s="635">
        <f>+DataInt!AN19</f>
        <v>26.091664201540663</v>
      </c>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N30" s="51"/>
    </row>
    <row r="31" spans="1:96" s="242" customFormat="1">
      <c r="A31" s="242" t="s">
        <v>680</v>
      </c>
      <c r="B31" s="242" t="s">
        <v>158</v>
      </c>
      <c r="C31" s="242" t="s">
        <v>3</v>
      </c>
      <c r="D31" s="242" t="s">
        <v>166</v>
      </c>
      <c r="E31" s="603">
        <f>+DataInt!E20</f>
        <v>1055.7608253838434</v>
      </c>
      <c r="F31" s="603">
        <f>+DataInt!F20</f>
        <v>1034.7505047313637</v>
      </c>
      <c r="G31" s="603">
        <f>+DataInt!G20</f>
        <v>1016.3693830394336</v>
      </c>
      <c r="H31" s="603">
        <f>+DataInt!H20</f>
        <v>1000.1530003816767</v>
      </c>
      <c r="I31" s="603">
        <f>+DataInt!I20</f>
        <v>990.42964757307641</v>
      </c>
      <c r="J31" s="603">
        <f>+DataInt!J20</f>
        <v>955.43341972424662</v>
      </c>
      <c r="K31" s="603">
        <f>+DataInt!K20</f>
        <v>922.57304476140666</v>
      </c>
      <c r="L31" s="603">
        <f>+DataInt!L20</f>
        <v>891.65878299814892</v>
      </c>
      <c r="M31" s="636">
        <f>+DataInt!M20</f>
        <v>862.52272256103902</v>
      </c>
      <c r="N31" s="636">
        <f>+DataInt!N20</f>
        <v>835.01572827779955</v>
      </c>
      <c r="O31" s="636">
        <f>+DataInt!O20</f>
        <v>809.00488843171695</v>
      </c>
      <c r="P31" s="636">
        <f>+DataInt!P20</f>
        <v>784.37136711223548</v>
      </c>
      <c r="Q31" s="636">
        <f>+DataInt!Q20</f>
        <v>761.00858893103339</v>
      </c>
      <c r="R31" s="636">
        <f>+DataInt!R20</f>
        <v>738.82069760363083</v>
      </c>
      <c r="S31" s="636">
        <f>+DataInt!S20</f>
        <v>717.72124137552078</v>
      </c>
      <c r="T31" s="636">
        <f>+DataInt!T20</f>
        <v>697.6320472774604</v>
      </c>
      <c r="U31" s="636">
        <f>+DataInt!U20</f>
        <v>669.962704657833</v>
      </c>
      <c r="V31" s="636">
        <f>+DataInt!V20</f>
        <v>620.19079521153435</v>
      </c>
      <c r="W31" s="636">
        <f>+DataInt!W20</f>
        <v>577.3205791140781</v>
      </c>
      <c r="X31" s="636">
        <f>+DataInt!X20</f>
        <v>535.96397665315942</v>
      </c>
      <c r="Y31" s="636">
        <f>+DataInt!Y20</f>
        <v>486.02602708547118</v>
      </c>
      <c r="Z31" s="636">
        <f>+DataInt!Z20</f>
        <v>437.51775976993872</v>
      </c>
      <c r="AA31" s="636">
        <f>+DataInt!AA20</f>
        <v>391.1646586549391</v>
      </c>
      <c r="AB31" s="636">
        <f>+DataInt!AB20</f>
        <v>347.03070746703281</v>
      </c>
      <c r="AC31" s="636">
        <f>+DataInt!AC20</f>
        <v>305.16545380474156</v>
      </c>
      <c r="AD31" s="636">
        <f>+DataInt!AD20</f>
        <v>265.56662767176977</v>
      </c>
      <c r="AE31" s="636">
        <f>+DataInt!AE20</f>
        <v>231.50027118102449</v>
      </c>
      <c r="AF31" s="636">
        <f>+DataInt!AF20</f>
        <v>199.37587093376467</v>
      </c>
      <c r="AG31" s="636">
        <f>+DataInt!AG20</f>
        <v>169.04358048505401</v>
      </c>
      <c r="AH31" s="636">
        <f>+DataInt!AH20</f>
        <v>140.33357298721896</v>
      </c>
      <c r="AI31" s="636">
        <f>+DataInt!AI20</f>
        <v>113.07180039557635</v>
      </c>
      <c r="AJ31" s="636">
        <f>+DataInt!AJ20</f>
        <v>86.850810293534778</v>
      </c>
      <c r="AK31" s="636">
        <f>+DataInt!AK20</f>
        <v>61.780222323792017</v>
      </c>
      <c r="AL31" s="636">
        <f>+DataInt!AL20</f>
        <v>37.737954803344536</v>
      </c>
      <c r="AM31" s="636">
        <f>+DataInt!AM20</f>
        <v>29.456669113964765</v>
      </c>
      <c r="AN31" s="636">
        <f>+DataInt!AN20</f>
        <v>25.608380742536831</v>
      </c>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N31" s="243"/>
    </row>
    <row r="32" spans="1:96">
      <c r="A32" s="41" t="s">
        <v>644</v>
      </c>
      <c r="B32" s="41" t="s">
        <v>152</v>
      </c>
      <c r="C32" s="41" t="s">
        <v>153</v>
      </c>
      <c r="D32" s="41" t="s">
        <v>102</v>
      </c>
      <c r="E32" s="46">
        <f>'SDS Main'!E38</f>
        <v>12.485861973024001</v>
      </c>
      <c r="F32" s="46">
        <f>'SDS Main'!F38</f>
        <v>12.815999234496001</v>
      </c>
      <c r="G32" s="46">
        <f>'SDS Main'!G38</f>
        <v>13.146136495968001</v>
      </c>
      <c r="H32" s="46">
        <f>'SDS Main'!H38</f>
        <v>13.47627375744</v>
      </c>
      <c r="I32" s="46">
        <f>'SDS Main'!I38</f>
        <v>12.787643404624001</v>
      </c>
      <c r="J32" s="46">
        <f>'SDS Main'!J38</f>
        <v>12.736699896140928</v>
      </c>
      <c r="K32" s="46">
        <f>'SDS Main'!K38</f>
        <v>12.685756387657857</v>
      </c>
      <c r="L32" s="46">
        <f>'SDS Main'!L38</f>
        <v>12.634812879174783</v>
      </c>
      <c r="M32" s="46">
        <f>'SDS Main'!M38</f>
        <v>12.58386937069171</v>
      </c>
      <c r="N32" s="46">
        <f>'SDS Main'!N38</f>
        <v>12.532925862208641</v>
      </c>
      <c r="O32" s="46">
        <f>'SDS Main'!O38</f>
        <v>12.481982353725567</v>
      </c>
      <c r="P32" s="46">
        <f>'SDS Main'!P38</f>
        <v>12.431038845242496</v>
      </c>
      <c r="Q32" s="46">
        <f>'SDS Main'!Q38</f>
        <v>12.380095336759421</v>
      </c>
      <c r="R32" s="46">
        <f>'SDS Main'!R38</f>
        <v>12.329151828276347</v>
      </c>
      <c r="S32" s="46">
        <f>'SDS Main'!S38</f>
        <v>12.278208319793274</v>
      </c>
      <c r="T32" s="46">
        <f>'SDS Main'!T38</f>
        <v>12.227264811310192</v>
      </c>
      <c r="U32" s="46">
        <f>'SDS Main'!U38</f>
        <v>12.098785008657424</v>
      </c>
      <c r="V32" s="46">
        <f>'SDS Main'!V38</f>
        <v>11.970305206004655</v>
      </c>
      <c r="W32" s="46">
        <f>'SDS Main'!W38</f>
        <v>11.841825403351883</v>
      </c>
      <c r="X32" s="46">
        <f>'SDS Main'!X38</f>
        <v>11.713345600699112</v>
      </c>
      <c r="Y32" s="46">
        <f>'SDS Main'!Y38</f>
        <v>11.584865798046346</v>
      </c>
      <c r="Z32" s="46">
        <f>'SDS Main'!Z38</f>
        <v>11.456385995393578</v>
      </c>
      <c r="AA32" s="46">
        <f>'SDS Main'!AA38</f>
        <v>11.327906192740807</v>
      </c>
      <c r="AB32" s="46">
        <f>'SDS Main'!AB38</f>
        <v>11.199426390088041</v>
      </c>
      <c r="AC32" s="46">
        <f>'SDS Main'!AC38</f>
        <v>11.070946587435271</v>
      </c>
      <c r="AD32" s="46">
        <f>'SDS Main'!AD38</f>
        <v>10.942466784782503</v>
      </c>
      <c r="AE32" s="46">
        <f>'SDS Main'!AE38</f>
        <v>10.890859913655317</v>
      </c>
      <c r="AF32" s="46">
        <f>'SDS Main'!AF38</f>
        <v>10.839253042528133</v>
      </c>
      <c r="AG32" s="46">
        <f>'SDS Main'!AG38</f>
        <v>10.787646171400949</v>
      </c>
      <c r="AH32" s="46">
        <f>'SDS Main'!AH38</f>
        <v>10.736039300273765</v>
      </c>
      <c r="AI32" s="46">
        <f>'SDS Main'!AI38</f>
        <v>10.684432429146582</v>
      </c>
      <c r="AJ32" s="46">
        <f>'SDS Main'!AJ38</f>
        <v>10.632825558019396</v>
      </c>
      <c r="AK32" s="46">
        <f>'SDS Main'!AK38</f>
        <v>10.581218686892212</v>
      </c>
      <c r="AL32" s="46">
        <f>'SDS Main'!AL38</f>
        <v>10.529611815765032</v>
      </c>
      <c r="AM32" s="46">
        <f>'SDS Main'!AM38</f>
        <v>10.478004944637846</v>
      </c>
      <c r="AN32" s="46">
        <f>'SDS Main'!AN38</f>
        <v>10.426398073510663</v>
      </c>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N32" s="51"/>
    </row>
    <row r="33" spans="1:92">
      <c r="A33" s="41" t="s">
        <v>644</v>
      </c>
      <c r="B33" s="41" t="s">
        <v>152</v>
      </c>
      <c r="C33" s="41" t="s">
        <v>154</v>
      </c>
      <c r="D33" s="41" t="s">
        <v>102</v>
      </c>
      <c r="E33" s="46">
        <f>'SDS Main'!E39</f>
        <v>65.550775358376001</v>
      </c>
      <c r="F33" s="46">
        <f>'SDS Main'!F39</f>
        <v>67.283995981103999</v>
      </c>
      <c r="G33" s="46">
        <f>'SDS Main'!G39</f>
        <v>69.017216603831997</v>
      </c>
      <c r="H33" s="46">
        <f>'SDS Main'!H39</f>
        <v>70.750437226559995</v>
      </c>
      <c r="I33" s="46">
        <f>'SDS Main'!I39</f>
        <v>67.135127874275994</v>
      </c>
      <c r="J33" s="46">
        <f>'SDS Main'!J39</f>
        <v>66.86767445473987</v>
      </c>
      <c r="K33" s="46">
        <f>'SDS Main'!K39</f>
        <v>66.600221035203745</v>
      </c>
      <c r="L33" s="46">
        <f>'SDS Main'!L39</f>
        <v>66.332767615667606</v>
      </c>
      <c r="M33" s="46">
        <f>'SDS Main'!M39</f>
        <v>66.065314196131467</v>
      </c>
      <c r="N33" s="46">
        <f>'SDS Main'!N39</f>
        <v>65.797860776595357</v>
      </c>
      <c r="O33" s="46">
        <f>'SDS Main'!O39</f>
        <v>65.530407357059218</v>
      </c>
      <c r="P33" s="46">
        <f>'SDS Main'!P39</f>
        <v>65.262953937523093</v>
      </c>
      <c r="Q33" s="46">
        <f>'SDS Main'!Q39</f>
        <v>64.995500517986954</v>
      </c>
      <c r="R33" s="46">
        <f>'SDS Main'!R39</f>
        <v>64.728047098450816</v>
      </c>
      <c r="S33" s="46">
        <f>'SDS Main'!S39</f>
        <v>64.460593678914677</v>
      </c>
      <c r="T33" s="46">
        <f>'SDS Main'!T39</f>
        <v>64.193140259378509</v>
      </c>
      <c r="U33" s="46">
        <f>'SDS Main'!U39</f>
        <v>63.518621295451474</v>
      </c>
      <c r="V33" s="46">
        <f>'SDS Main'!V39</f>
        <v>62.844102331524432</v>
      </c>
      <c r="W33" s="46">
        <f>'SDS Main'!W39</f>
        <v>62.16958336759739</v>
      </c>
      <c r="X33" s="46">
        <f>'SDS Main'!X39</f>
        <v>61.495064403670341</v>
      </c>
      <c r="Y33" s="46">
        <f>'SDS Main'!Y39</f>
        <v>60.820545439743313</v>
      </c>
      <c r="Z33" s="46">
        <f>'SDS Main'!Z39</f>
        <v>60.146026475816278</v>
      </c>
      <c r="AA33" s="46">
        <f>'SDS Main'!AA39</f>
        <v>59.471507511889229</v>
      </c>
      <c r="AB33" s="46">
        <f>'SDS Main'!AB39</f>
        <v>58.796988547962208</v>
      </c>
      <c r="AC33" s="46">
        <f>'SDS Main'!AC39</f>
        <v>58.122469584035173</v>
      </c>
      <c r="AD33" s="46">
        <f>'SDS Main'!AD39</f>
        <v>57.447950620108138</v>
      </c>
      <c r="AE33" s="46">
        <f>'SDS Main'!AE39</f>
        <v>57.177014546690415</v>
      </c>
      <c r="AF33" s="46">
        <f>'SDS Main'!AF39</f>
        <v>56.906078473272693</v>
      </c>
      <c r="AG33" s="46">
        <f>'SDS Main'!AG39</f>
        <v>56.635142399854985</v>
      </c>
      <c r="AH33" s="46">
        <f>'SDS Main'!AH39</f>
        <v>56.364206326437262</v>
      </c>
      <c r="AI33" s="46">
        <f>'SDS Main'!AI39</f>
        <v>56.093270253019554</v>
      </c>
      <c r="AJ33" s="46">
        <f>'SDS Main'!AJ39</f>
        <v>55.822334179601832</v>
      </c>
      <c r="AK33" s="46">
        <f>'SDS Main'!AK39</f>
        <v>55.551398106184109</v>
      </c>
      <c r="AL33" s="46">
        <f>'SDS Main'!AL39</f>
        <v>55.280462032766415</v>
      </c>
      <c r="AM33" s="46">
        <f>'SDS Main'!AM39</f>
        <v>55.009525959348693</v>
      </c>
      <c r="AN33" s="46">
        <f>'SDS Main'!AN39</f>
        <v>54.738589885930978</v>
      </c>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N33" s="51"/>
    </row>
    <row r="34" spans="1:92">
      <c r="A34" s="41" t="s">
        <v>644</v>
      </c>
      <c r="B34" s="41" t="s">
        <v>152</v>
      </c>
      <c r="C34" s="41" t="s">
        <v>112</v>
      </c>
      <c r="D34" s="41" t="s">
        <v>102</v>
      </c>
      <c r="E34" s="46">
        <f>'SDS Main'!E40</f>
        <v>70.822815415804456</v>
      </c>
      <c r="F34" s="46">
        <f>'SDS Main'!F40</f>
        <v>74.528335149182837</v>
      </c>
      <c r="G34" s="46">
        <f>'SDS Main'!G40</f>
        <v>78.233854882561218</v>
      </c>
      <c r="H34" s="46">
        <f>'SDS Main'!H40</f>
        <v>81.939374615939613</v>
      </c>
      <c r="I34" s="46">
        <f>'SDS Main'!I40</f>
        <v>83.929209607292663</v>
      </c>
      <c r="J34" s="46">
        <f>'SDS Main'!J40</f>
        <v>83.594851800594626</v>
      </c>
      <c r="K34" s="46">
        <f>'SDS Main'!K40</f>
        <v>83.260493993896588</v>
      </c>
      <c r="L34" s="46">
        <f>'SDS Main'!L40</f>
        <v>82.926136187198551</v>
      </c>
      <c r="M34" s="46">
        <f>'SDS Main'!M40</f>
        <v>82.5917783805005</v>
      </c>
      <c r="N34" s="46">
        <f>'SDS Main'!N40</f>
        <v>82.257420573802477</v>
      </c>
      <c r="O34" s="46">
        <f>'SDS Main'!O40</f>
        <v>81.923062767104454</v>
      </c>
      <c r="P34" s="46">
        <f>'SDS Main'!P40</f>
        <v>81.588704960406417</v>
      </c>
      <c r="Q34" s="46">
        <f>'SDS Main'!Q40</f>
        <v>81.254347153708352</v>
      </c>
      <c r="R34" s="46">
        <f>'SDS Main'!R40</f>
        <v>80.919989347010315</v>
      </c>
      <c r="S34" s="46">
        <f>'SDS Main'!S40</f>
        <v>80.585631540312278</v>
      </c>
      <c r="T34" s="46">
        <f>'SDS Main'!T40</f>
        <v>80.251273733614184</v>
      </c>
      <c r="U34" s="46">
        <f>'SDS Main'!U40</f>
        <v>79.408021545079691</v>
      </c>
      <c r="V34" s="46">
        <f>'SDS Main'!V40</f>
        <v>78.564769356545199</v>
      </c>
      <c r="W34" s="46">
        <f>'SDS Main'!W40</f>
        <v>77.721517168010706</v>
      </c>
      <c r="X34" s="46">
        <f>'SDS Main'!X40</f>
        <v>76.878264979476199</v>
      </c>
      <c r="Y34" s="46">
        <f>'SDS Main'!Y40</f>
        <v>76.035012790941721</v>
      </c>
      <c r="Z34" s="46">
        <f>'SDS Main'!Z40</f>
        <v>75.191760602407243</v>
      </c>
      <c r="AA34" s="46">
        <f>'SDS Main'!AA40</f>
        <v>74.348508413872722</v>
      </c>
      <c r="AB34" s="46">
        <f>'SDS Main'!AB40</f>
        <v>73.505256225338258</v>
      </c>
      <c r="AC34" s="46">
        <f>'SDS Main'!AC40</f>
        <v>72.662004036803765</v>
      </c>
      <c r="AD34" s="46">
        <f>'SDS Main'!AD40</f>
        <v>71.818751848269272</v>
      </c>
      <c r="AE34" s="46">
        <f>'SDS Main'!AE40</f>
        <v>71.480040189916039</v>
      </c>
      <c r="AF34" s="46">
        <f>'SDS Main'!AF40</f>
        <v>71.141328531562806</v>
      </c>
      <c r="AG34" s="46">
        <f>'SDS Main'!AG40</f>
        <v>70.802616873209573</v>
      </c>
      <c r="AH34" s="46">
        <f>'SDS Main'!AH40</f>
        <v>70.463905214856339</v>
      </c>
      <c r="AI34" s="46">
        <f>'SDS Main'!AI40</f>
        <v>70.125193556503106</v>
      </c>
      <c r="AJ34" s="46">
        <f>'SDS Main'!AJ40</f>
        <v>69.786481898149873</v>
      </c>
      <c r="AK34" s="46">
        <f>'SDS Main'!AK40</f>
        <v>69.447770239796625</v>
      </c>
      <c r="AL34" s="46">
        <f>'SDS Main'!AL40</f>
        <v>69.109058581443421</v>
      </c>
      <c r="AM34" s="46">
        <f>'SDS Main'!AM40</f>
        <v>68.770346923090173</v>
      </c>
      <c r="AN34" s="46">
        <f>'SDS Main'!AN40</f>
        <v>68.431635264736968</v>
      </c>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N34" s="51"/>
    </row>
    <row r="35" spans="1:92">
      <c r="A35" s="41" t="s">
        <v>644</v>
      </c>
      <c r="B35" s="41" t="s">
        <v>152</v>
      </c>
      <c r="C35" s="41" t="s">
        <v>155</v>
      </c>
      <c r="D35" s="41" t="s">
        <v>102</v>
      </c>
      <c r="E35" s="46">
        <f>'SDS Main'!E41</f>
        <v>258.63471489916907</v>
      </c>
      <c r="F35" s="46">
        <f>'SDS Main'!F41</f>
        <v>272.16673892516815</v>
      </c>
      <c r="G35" s="46">
        <f>'SDS Main'!G41</f>
        <v>285.69876295116723</v>
      </c>
      <c r="H35" s="46">
        <f>'SDS Main'!H41</f>
        <v>299.2307869771663</v>
      </c>
      <c r="I35" s="46">
        <f>'SDS Main'!I41</f>
        <v>306.49737759014187</v>
      </c>
      <c r="J35" s="46">
        <f>'SDS Main'!J41</f>
        <v>305.27635106779945</v>
      </c>
      <c r="K35" s="46">
        <f>'SDS Main'!K41</f>
        <v>304.05532454545704</v>
      </c>
      <c r="L35" s="46">
        <f>'SDS Main'!L41</f>
        <v>302.83429802311463</v>
      </c>
      <c r="M35" s="46">
        <f>'SDS Main'!M41</f>
        <v>301.61327150077216</v>
      </c>
      <c r="N35" s="46">
        <f>'SDS Main'!N41</f>
        <v>300.39224497842986</v>
      </c>
      <c r="O35" s="46">
        <f>'SDS Main'!O41</f>
        <v>299.17121845608744</v>
      </c>
      <c r="P35" s="46">
        <f>'SDS Main'!P41</f>
        <v>297.95019193374503</v>
      </c>
      <c r="Q35" s="46">
        <f>'SDS Main'!Q41</f>
        <v>296.72916541140256</v>
      </c>
      <c r="R35" s="46">
        <f>'SDS Main'!R41</f>
        <v>295.50813888906015</v>
      </c>
      <c r="S35" s="46">
        <f>'SDS Main'!S41</f>
        <v>294.28711236671768</v>
      </c>
      <c r="T35" s="46">
        <f>'SDS Main'!T41</f>
        <v>293.0660858443751</v>
      </c>
      <c r="U35" s="46">
        <f>'SDS Main'!U41</f>
        <v>289.98665038153342</v>
      </c>
      <c r="V35" s="46">
        <f>'SDS Main'!V41</f>
        <v>286.90721491869175</v>
      </c>
      <c r="W35" s="46">
        <f>'SDS Main'!W41</f>
        <v>283.82777945585002</v>
      </c>
      <c r="X35" s="46">
        <f>'SDS Main'!X41</f>
        <v>280.74834399300829</v>
      </c>
      <c r="Y35" s="46">
        <f>'SDS Main'!Y41</f>
        <v>277.66890853016668</v>
      </c>
      <c r="Z35" s="46">
        <f>'SDS Main'!Z41</f>
        <v>274.58947306732506</v>
      </c>
      <c r="AA35" s="46">
        <f>'SDS Main'!AA41</f>
        <v>271.51003760448327</v>
      </c>
      <c r="AB35" s="46">
        <f>'SDS Main'!AB41</f>
        <v>268.43060214164166</v>
      </c>
      <c r="AC35" s="46">
        <f>'SDS Main'!AC41</f>
        <v>265.35116667879998</v>
      </c>
      <c r="AD35" s="46">
        <f>'SDS Main'!AD41</f>
        <v>262.27173121595831</v>
      </c>
      <c r="AE35" s="46">
        <f>'SDS Main'!AE41</f>
        <v>261.03480505484913</v>
      </c>
      <c r="AF35" s="46">
        <f>'SDS Main'!AF41</f>
        <v>259.79787889374001</v>
      </c>
      <c r="AG35" s="46">
        <f>'SDS Main'!AG41</f>
        <v>258.56095273263082</v>
      </c>
      <c r="AH35" s="46">
        <f>'SDS Main'!AH41</f>
        <v>257.3240265715217</v>
      </c>
      <c r="AI35" s="46">
        <f>'SDS Main'!AI41</f>
        <v>256.08710041041252</v>
      </c>
      <c r="AJ35" s="46">
        <f>'SDS Main'!AJ41</f>
        <v>254.85017424930339</v>
      </c>
      <c r="AK35" s="46">
        <f>'SDS Main'!AK41</f>
        <v>253.61324808819418</v>
      </c>
      <c r="AL35" s="46">
        <f>'SDS Main'!AL41</f>
        <v>252.37632192708512</v>
      </c>
      <c r="AM35" s="46">
        <f>'SDS Main'!AM41</f>
        <v>251.13939576597593</v>
      </c>
      <c r="AN35" s="46">
        <f>'SDS Main'!AN41</f>
        <v>249.90246960486684</v>
      </c>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row>
    <row r="36" spans="1:92">
      <c r="A36" s="41" t="s">
        <v>644</v>
      </c>
      <c r="B36" s="41" t="s">
        <v>152</v>
      </c>
      <c r="C36" s="41" t="s">
        <v>156</v>
      </c>
      <c r="D36" s="41" t="s">
        <v>102</v>
      </c>
      <c r="E36" s="46">
        <f>'SDS Main'!E42</f>
        <v>542.4993111722265</v>
      </c>
      <c r="F36" s="46">
        <f>'SDS Main'!F42</f>
        <v>570.88341156544902</v>
      </c>
      <c r="G36" s="46">
        <f>'SDS Main'!G42</f>
        <v>599.26751195867155</v>
      </c>
      <c r="H36" s="46">
        <f>'SDS Main'!H42</f>
        <v>627.65161235189419</v>
      </c>
      <c r="I36" s="46">
        <f>'SDS Main'!I42</f>
        <v>642.89365131656564</v>
      </c>
      <c r="J36" s="46">
        <f>'SDS Main'!J42</f>
        <v>640.33248682806288</v>
      </c>
      <c r="K36" s="46">
        <f>'SDS Main'!K42</f>
        <v>637.77132233956013</v>
      </c>
      <c r="L36" s="46">
        <f>'SDS Main'!L42</f>
        <v>635.21015785105749</v>
      </c>
      <c r="M36" s="46">
        <f>'SDS Main'!M42</f>
        <v>632.64899336255462</v>
      </c>
      <c r="N36" s="46">
        <f>'SDS Main'!N42</f>
        <v>630.08782887405209</v>
      </c>
      <c r="O36" s="46">
        <f>'SDS Main'!O42</f>
        <v>627.52666438554934</v>
      </c>
      <c r="P36" s="46">
        <f>'SDS Main'!P42</f>
        <v>624.9654998970467</v>
      </c>
      <c r="Q36" s="46">
        <f>'SDS Main'!Q42</f>
        <v>622.40433540854383</v>
      </c>
      <c r="R36" s="46">
        <f>'SDS Main'!R42</f>
        <v>619.84317092004108</v>
      </c>
      <c r="S36" s="46">
        <f>'SDS Main'!S42</f>
        <v>617.28200643153832</v>
      </c>
      <c r="T36" s="46">
        <f>'SDS Main'!T42</f>
        <v>614.72084194303511</v>
      </c>
      <c r="U36" s="46">
        <f>'SDS Main'!U42</f>
        <v>608.26157131479715</v>
      </c>
      <c r="V36" s="46">
        <f>'SDS Main'!V42</f>
        <v>601.80230068655897</v>
      </c>
      <c r="W36" s="46">
        <f>'SDS Main'!W42</f>
        <v>595.34303005832089</v>
      </c>
      <c r="X36" s="46">
        <f>'SDS Main'!X42</f>
        <v>588.8837594300827</v>
      </c>
      <c r="Y36" s="46">
        <f>'SDS Main'!Y42</f>
        <v>582.42448880184463</v>
      </c>
      <c r="Z36" s="46">
        <f>'SDS Main'!Z42</f>
        <v>575.96521817360667</v>
      </c>
      <c r="AA36" s="46">
        <f>'SDS Main'!AA42</f>
        <v>569.50594754536837</v>
      </c>
      <c r="AB36" s="46">
        <f>'SDS Main'!AB42</f>
        <v>563.04667691713041</v>
      </c>
      <c r="AC36" s="46">
        <f>'SDS Main'!AC42</f>
        <v>556.58740628889234</v>
      </c>
      <c r="AD36" s="46">
        <f>'SDS Main'!AD42</f>
        <v>550.12813566065415</v>
      </c>
      <c r="AE36" s="46">
        <f>'SDS Main'!AE42</f>
        <v>547.53362088086442</v>
      </c>
      <c r="AF36" s="46">
        <f>'SDS Main'!AF42</f>
        <v>544.93910610107457</v>
      </c>
      <c r="AG36" s="46">
        <f>'SDS Main'!AG42</f>
        <v>542.34459132128472</v>
      </c>
      <c r="AH36" s="46">
        <f>'SDS Main'!AH42</f>
        <v>539.75007654149488</v>
      </c>
      <c r="AI36" s="46">
        <f>'SDS Main'!AI42</f>
        <v>537.15556176170503</v>
      </c>
      <c r="AJ36" s="46">
        <f>'SDS Main'!AJ42</f>
        <v>534.5610469819153</v>
      </c>
      <c r="AK36" s="46">
        <f>'SDS Main'!AK42</f>
        <v>531.96653220212534</v>
      </c>
      <c r="AL36" s="46">
        <f>'SDS Main'!AL42</f>
        <v>529.37201742233572</v>
      </c>
      <c r="AM36" s="46">
        <f>'SDS Main'!AM42</f>
        <v>526.77750264254576</v>
      </c>
      <c r="AN36" s="46">
        <f>'SDS Main'!AN42</f>
        <v>524.18298786275614</v>
      </c>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row>
    <row r="37" spans="1:92" s="240" customFormat="1">
      <c r="A37" s="240" t="s">
        <v>644</v>
      </c>
      <c r="B37" s="240" t="s">
        <v>152</v>
      </c>
      <c r="C37" s="240" t="s">
        <v>3</v>
      </c>
      <c r="D37" s="240" t="s">
        <v>102</v>
      </c>
      <c r="E37" s="294">
        <f t="shared" ref="E37:G37" si="29">SUM(E32:E36)</f>
        <v>949.99347881860001</v>
      </c>
      <c r="F37" s="294">
        <f t="shared" si="29"/>
        <v>997.67848085540004</v>
      </c>
      <c r="G37" s="294">
        <f t="shared" si="29"/>
        <v>1045.3634828922</v>
      </c>
      <c r="H37" s="294">
        <f>SUM(H32:H36)</f>
        <v>1093.0484849290001</v>
      </c>
      <c r="I37" s="294">
        <f>SUM(I32:I36)</f>
        <v>1113.2430097929002</v>
      </c>
      <c r="J37" s="294">
        <f>SUM(J32:J36)</f>
        <v>1108.8080640473377</v>
      </c>
      <c r="K37" s="294">
        <f t="shared" ref="K37:AN37" si="30">SUM(K32:K36)</f>
        <v>1104.3731183017753</v>
      </c>
      <c r="L37" s="294">
        <f t="shared" si="30"/>
        <v>1099.938172556213</v>
      </c>
      <c r="M37" s="294">
        <f t="shared" si="30"/>
        <v>1095.5032268106504</v>
      </c>
      <c r="N37" s="294">
        <f t="shared" si="30"/>
        <v>1091.0682810650883</v>
      </c>
      <c r="O37" s="294">
        <f t="shared" si="30"/>
        <v>1086.6333353195259</v>
      </c>
      <c r="P37" s="294">
        <f t="shared" si="30"/>
        <v>1082.1983895739636</v>
      </c>
      <c r="Q37" s="294">
        <f t="shared" si="30"/>
        <v>1077.7634438284013</v>
      </c>
      <c r="R37" s="294">
        <f t="shared" si="30"/>
        <v>1073.3284980828387</v>
      </c>
      <c r="S37" s="294">
        <f t="shared" si="30"/>
        <v>1068.8935523372761</v>
      </c>
      <c r="T37" s="294">
        <f t="shared" si="30"/>
        <v>1064.4586065917131</v>
      </c>
      <c r="U37" s="294">
        <f t="shared" si="30"/>
        <v>1053.2736495455192</v>
      </c>
      <c r="V37" s="294">
        <f t="shared" si="30"/>
        <v>1042.0886924993251</v>
      </c>
      <c r="W37" s="294">
        <f t="shared" si="30"/>
        <v>1030.9037354531308</v>
      </c>
      <c r="X37" s="294">
        <f t="shared" si="30"/>
        <v>1019.7187784069366</v>
      </c>
      <c r="Y37" s="294">
        <f t="shared" si="30"/>
        <v>1008.5338213607426</v>
      </c>
      <c r="Z37" s="294">
        <f t="shared" si="30"/>
        <v>997.34886431454879</v>
      </c>
      <c r="AA37" s="294">
        <f t="shared" si="30"/>
        <v>986.16390726835448</v>
      </c>
      <c r="AB37" s="294">
        <f t="shared" si="30"/>
        <v>974.97895022216062</v>
      </c>
      <c r="AC37" s="294">
        <f t="shared" si="30"/>
        <v>963.79399317596653</v>
      </c>
      <c r="AD37" s="294">
        <f t="shared" si="30"/>
        <v>952.60903612977245</v>
      </c>
      <c r="AE37" s="294">
        <f t="shared" si="30"/>
        <v>948.11634058597531</v>
      </c>
      <c r="AF37" s="294">
        <f t="shared" si="30"/>
        <v>943.62364504217817</v>
      </c>
      <c r="AG37" s="294">
        <f t="shared" si="30"/>
        <v>939.13094949838103</v>
      </c>
      <c r="AH37" s="294">
        <f t="shared" si="30"/>
        <v>934.63825395458389</v>
      </c>
      <c r="AI37" s="294">
        <f t="shared" si="30"/>
        <v>930.14555841078686</v>
      </c>
      <c r="AJ37" s="294">
        <f t="shared" si="30"/>
        <v>925.65286286698984</v>
      </c>
      <c r="AK37" s="294">
        <f t="shared" si="30"/>
        <v>921.16016732319247</v>
      </c>
      <c r="AL37" s="294">
        <f t="shared" si="30"/>
        <v>916.66747177939567</v>
      </c>
      <c r="AM37" s="294">
        <f t="shared" si="30"/>
        <v>912.17477623559842</v>
      </c>
      <c r="AN37" s="294">
        <f t="shared" si="30"/>
        <v>907.68208069180162</v>
      </c>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row>
    <row r="38" spans="1:92">
      <c r="A38" s="41" t="s">
        <v>644</v>
      </c>
      <c r="B38" s="41" t="s">
        <v>157</v>
      </c>
      <c r="C38" s="41" t="s">
        <v>153</v>
      </c>
      <c r="D38" s="41" t="s">
        <v>165</v>
      </c>
      <c r="E38" s="297">
        <f>'SDS Main'!E45</f>
        <v>10.494758196395999</v>
      </c>
      <c r="F38" s="297">
        <f>'SDS Main'!F45</f>
        <v>11.166156049643998</v>
      </c>
      <c r="G38" s="297">
        <f>'SDS Main'!G45</f>
        <v>11.837553902891999</v>
      </c>
      <c r="H38" s="297">
        <f>'SDS Main'!H45</f>
        <v>12.50895175614</v>
      </c>
      <c r="I38" s="297">
        <f>'SDS Main'!I45</f>
        <v>11.35083326877</v>
      </c>
      <c r="J38" s="297">
        <f>'SDS Main'!J45</f>
        <v>11.719723003334897</v>
      </c>
      <c r="K38" s="297">
        <f>'SDS Main'!K45</f>
        <v>12.088612737899792</v>
      </c>
      <c r="L38" s="297">
        <f>'SDS Main'!L45</f>
        <v>12.457502472464677</v>
      </c>
      <c r="M38" s="297">
        <f>'SDS Main'!M45</f>
        <v>12.826392207029572</v>
      </c>
      <c r="N38" s="297">
        <f>'SDS Main'!N45</f>
        <v>13.195281941594471</v>
      </c>
      <c r="O38" s="297">
        <f>'SDS Main'!O45</f>
        <v>13.564171676159368</v>
      </c>
      <c r="P38" s="297">
        <f>'SDS Main'!P45</f>
        <v>13.933061410724248</v>
      </c>
      <c r="Q38" s="297">
        <f>'SDS Main'!Q45</f>
        <v>14.301951145289147</v>
      </c>
      <c r="R38" s="297">
        <f>'SDS Main'!R45</f>
        <v>14.670840879854044</v>
      </c>
      <c r="S38" s="297">
        <f>'SDS Main'!S45</f>
        <v>15.039730614418939</v>
      </c>
      <c r="T38" s="297">
        <f>'SDS Main'!T45</f>
        <v>15.408620348983838</v>
      </c>
      <c r="U38" s="297">
        <f>'SDS Main'!U45</f>
        <v>15.876398520354687</v>
      </c>
      <c r="V38" s="297">
        <f>'SDS Main'!V45</f>
        <v>16.344176691725551</v>
      </c>
      <c r="W38" s="297">
        <f>'SDS Main'!W45</f>
        <v>16.8119548630964</v>
      </c>
      <c r="X38" s="297">
        <f>'SDS Main'!X45</f>
        <v>17.279733034467249</v>
      </c>
      <c r="Y38" s="297">
        <f>'SDS Main'!Y45</f>
        <v>17.747511205838098</v>
      </c>
      <c r="Z38" s="297">
        <f>'SDS Main'!Z45</f>
        <v>18.215289377208947</v>
      </c>
      <c r="AA38" s="297">
        <f>'SDS Main'!AA45</f>
        <v>18.68306754857981</v>
      </c>
      <c r="AB38" s="297">
        <f>'SDS Main'!AB45</f>
        <v>19.150845719950659</v>
      </c>
      <c r="AC38" s="297">
        <f>'SDS Main'!AC45</f>
        <v>19.618623891321512</v>
      </c>
      <c r="AD38" s="297">
        <f>'SDS Main'!AD45</f>
        <v>20.086402062692361</v>
      </c>
      <c r="AE38" s="297">
        <f>'SDS Main'!AE45</f>
        <v>20.736025108383203</v>
      </c>
      <c r="AF38" s="297">
        <f>'SDS Main'!AF45</f>
        <v>21.385648154074026</v>
      </c>
      <c r="AG38" s="297">
        <f>'SDS Main'!AG45</f>
        <v>22.035271199764839</v>
      </c>
      <c r="AH38" s="297">
        <f>'SDS Main'!AH45</f>
        <v>22.684894245455663</v>
      </c>
      <c r="AI38" s="297">
        <f>'SDS Main'!AI45</f>
        <v>23.334517291146476</v>
      </c>
      <c r="AJ38" s="297">
        <f>'SDS Main'!AJ45</f>
        <v>23.984140336837317</v>
      </c>
      <c r="AK38" s="297">
        <f>'SDS Main'!AK45</f>
        <v>24.633763382528159</v>
      </c>
      <c r="AL38" s="297">
        <f>'SDS Main'!AL45</f>
        <v>25.283386428218968</v>
      </c>
      <c r="AM38" s="297">
        <f>'SDS Main'!AM45</f>
        <v>25.933009473909777</v>
      </c>
      <c r="AN38" s="297">
        <f>'SDS Main'!AN45</f>
        <v>26.582632519600619</v>
      </c>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row>
    <row r="39" spans="1:92">
      <c r="A39" s="41" t="s">
        <v>644</v>
      </c>
      <c r="B39" s="41" t="s">
        <v>157</v>
      </c>
      <c r="C39" s="41" t="s">
        <v>154</v>
      </c>
      <c r="D39" s="41" t="s">
        <v>165</v>
      </c>
      <c r="E39" s="297">
        <f>'SDS Main'!E46</f>
        <v>106.11366620800401</v>
      </c>
      <c r="F39" s="297">
        <f>'SDS Main'!F46</f>
        <v>112.90224450195599</v>
      </c>
      <c r="G39" s="297">
        <f>'SDS Main'!G46</f>
        <v>119.69082279590801</v>
      </c>
      <c r="H39" s="297">
        <f>'SDS Main'!H46</f>
        <v>126.47940108986</v>
      </c>
      <c r="I39" s="297">
        <f>'SDS Main'!I46</f>
        <v>114.76953638423001</v>
      </c>
      <c r="J39" s="297">
        <f>'SDS Main'!J46</f>
        <v>118.49942147816397</v>
      </c>
      <c r="K39" s="297">
        <f>'SDS Main'!K46</f>
        <v>122.22930657209791</v>
      </c>
      <c r="L39" s="297">
        <f>'SDS Main'!L46</f>
        <v>125.95919166603174</v>
      </c>
      <c r="M39" s="297">
        <f>'SDS Main'!M46</f>
        <v>129.6890767599657</v>
      </c>
      <c r="N39" s="297">
        <f>'SDS Main'!N46</f>
        <v>133.41896185389967</v>
      </c>
      <c r="O39" s="297">
        <f>'SDS Main'!O46</f>
        <v>137.14884694783362</v>
      </c>
      <c r="P39" s="297">
        <f>'SDS Main'!P46</f>
        <v>140.87873204176742</v>
      </c>
      <c r="Q39" s="297">
        <f>'SDS Main'!Q46</f>
        <v>144.60861713570139</v>
      </c>
      <c r="R39" s="297">
        <f>'SDS Main'!R46</f>
        <v>148.33850222963534</v>
      </c>
      <c r="S39" s="297">
        <f>'SDS Main'!S46</f>
        <v>152.06838732356928</v>
      </c>
      <c r="T39" s="297">
        <f>'SDS Main'!T46</f>
        <v>155.79827241750326</v>
      </c>
      <c r="U39" s="297">
        <f>'SDS Main'!U46</f>
        <v>160.52802948358629</v>
      </c>
      <c r="V39" s="297">
        <f>'SDS Main'!V46</f>
        <v>165.25778654966948</v>
      </c>
      <c r="W39" s="297">
        <f>'SDS Main'!W46</f>
        <v>169.98754361575251</v>
      </c>
      <c r="X39" s="297">
        <f>'SDS Main'!X46</f>
        <v>174.71730068183552</v>
      </c>
      <c r="Y39" s="297">
        <f>'SDS Main'!Y46</f>
        <v>179.44705774791856</v>
      </c>
      <c r="Z39" s="297">
        <f>'SDS Main'!Z46</f>
        <v>184.1768148140016</v>
      </c>
      <c r="AA39" s="297">
        <f>'SDS Main'!AA46</f>
        <v>188.90657188008478</v>
      </c>
      <c r="AB39" s="297">
        <f>'SDS Main'!AB46</f>
        <v>193.63632894616779</v>
      </c>
      <c r="AC39" s="297">
        <f>'SDS Main'!AC46</f>
        <v>198.36608601225086</v>
      </c>
      <c r="AD39" s="297">
        <f>'SDS Main'!AD46</f>
        <v>203.0958430783339</v>
      </c>
      <c r="AE39" s="297">
        <f>'SDS Main'!AE46</f>
        <v>209.6642538736524</v>
      </c>
      <c r="AF39" s="297">
        <f>'SDS Main'!AF46</f>
        <v>216.23266466897073</v>
      </c>
      <c r="AG39" s="297">
        <f>'SDS Main'!AG46</f>
        <v>222.80107546428894</v>
      </c>
      <c r="AH39" s="297">
        <f>'SDS Main'!AH46</f>
        <v>229.36948625960727</v>
      </c>
      <c r="AI39" s="297">
        <f>'SDS Main'!AI46</f>
        <v>235.93789705492549</v>
      </c>
      <c r="AJ39" s="297">
        <f>'SDS Main'!AJ46</f>
        <v>242.50630785024401</v>
      </c>
      <c r="AK39" s="297">
        <f>'SDS Main'!AK46</f>
        <v>249.07471864556251</v>
      </c>
      <c r="AL39" s="297">
        <f>'SDS Main'!AL46</f>
        <v>255.6431294408807</v>
      </c>
      <c r="AM39" s="297">
        <f>'SDS Main'!AM46</f>
        <v>262.21154023619891</v>
      </c>
      <c r="AN39" s="297">
        <f>'SDS Main'!AN46</f>
        <v>268.77995103151738</v>
      </c>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row>
    <row r="40" spans="1:92">
      <c r="A40" s="41" t="s">
        <v>644</v>
      </c>
      <c r="B40" s="41" t="s">
        <v>157</v>
      </c>
      <c r="C40" s="41" t="s">
        <v>112</v>
      </c>
      <c r="D40" s="41" t="s">
        <v>165</v>
      </c>
      <c r="E40" s="297">
        <f>'SDS Main'!E47</f>
        <v>103.64940771618524</v>
      </c>
      <c r="F40" s="297">
        <f>'SDS Main'!F47</f>
        <v>111.17873423744896</v>
      </c>
      <c r="G40" s="297">
        <f>'SDS Main'!G47</f>
        <v>118.70806075871269</v>
      </c>
      <c r="H40" s="297">
        <f>'SDS Main'!H47</f>
        <v>126.23738727997639</v>
      </c>
      <c r="I40" s="297">
        <f>'SDS Main'!I47</f>
        <v>132.05856292170913</v>
      </c>
      <c r="J40" s="297">
        <f>'SDS Main'!J47</f>
        <v>136.35032257227522</v>
      </c>
      <c r="K40" s="297">
        <f>'SDS Main'!K47</f>
        <v>140.64208222284134</v>
      </c>
      <c r="L40" s="297">
        <f>'SDS Main'!L47</f>
        <v>144.93384187340743</v>
      </c>
      <c r="M40" s="297">
        <f>'SDS Main'!M47</f>
        <v>149.22560152397358</v>
      </c>
      <c r="N40" s="297">
        <f>'SDS Main'!N47</f>
        <v>153.51736117453967</v>
      </c>
      <c r="O40" s="297">
        <f>'SDS Main'!O47</f>
        <v>157.80912082510579</v>
      </c>
      <c r="P40" s="297">
        <f>'SDS Main'!P47</f>
        <v>162.10088047567194</v>
      </c>
      <c r="Q40" s="297">
        <f>'SDS Main'!Q47</f>
        <v>166.39264012623804</v>
      </c>
      <c r="R40" s="297">
        <f>'SDS Main'!R47</f>
        <v>170.68439977680413</v>
      </c>
      <c r="S40" s="297">
        <f>'SDS Main'!S47</f>
        <v>174.97615942737025</v>
      </c>
      <c r="T40" s="297">
        <f>'SDS Main'!T47</f>
        <v>179.26791907793648</v>
      </c>
      <c r="U40" s="297">
        <f>'SDS Main'!U47</f>
        <v>184.71017266537498</v>
      </c>
      <c r="V40" s="297">
        <f>'SDS Main'!V47</f>
        <v>190.15242625281348</v>
      </c>
      <c r="W40" s="297">
        <f>'SDS Main'!W47</f>
        <v>195.59467984025196</v>
      </c>
      <c r="X40" s="297">
        <f>'SDS Main'!X47</f>
        <v>201.03693342769046</v>
      </c>
      <c r="Y40" s="297">
        <f>'SDS Main'!Y47</f>
        <v>206.47918701512896</v>
      </c>
      <c r="Z40" s="297">
        <f>'SDS Main'!Z47</f>
        <v>211.92144060256749</v>
      </c>
      <c r="AA40" s="297">
        <f>'SDS Main'!AA47</f>
        <v>217.36369419000596</v>
      </c>
      <c r="AB40" s="297">
        <f>'SDS Main'!AB47</f>
        <v>222.80594777744446</v>
      </c>
      <c r="AC40" s="297">
        <f>'SDS Main'!AC47</f>
        <v>228.24820136488299</v>
      </c>
      <c r="AD40" s="297">
        <f>'SDS Main'!AD47</f>
        <v>233.6904549523214</v>
      </c>
      <c r="AE40" s="297">
        <f>'SDS Main'!AE47</f>
        <v>241.2483393669209</v>
      </c>
      <c r="AF40" s="297">
        <f>'SDS Main'!AF47</f>
        <v>248.80622378152043</v>
      </c>
      <c r="AG40" s="297">
        <f>'SDS Main'!AG47</f>
        <v>256.36410819611996</v>
      </c>
      <c r="AH40" s="297">
        <f>'SDS Main'!AH47</f>
        <v>263.92199261071943</v>
      </c>
      <c r="AI40" s="297">
        <f>'SDS Main'!AI47</f>
        <v>271.4798770253189</v>
      </c>
      <c r="AJ40" s="297">
        <f>'SDS Main'!AJ47</f>
        <v>279.03776143991843</v>
      </c>
      <c r="AK40" s="297">
        <f>'SDS Main'!AK47</f>
        <v>286.5956458545179</v>
      </c>
      <c r="AL40" s="297">
        <f>'SDS Main'!AL47</f>
        <v>294.15353026911737</v>
      </c>
      <c r="AM40" s="297">
        <f>'SDS Main'!AM47</f>
        <v>301.71141468371684</v>
      </c>
      <c r="AN40" s="297">
        <f>'SDS Main'!AN47</f>
        <v>309.26929909831654</v>
      </c>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row>
    <row r="41" spans="1:92">
      <c r="A41" s="41" t="s">
        <v>644</v>
      </c>
      <c r="B41" s="41" t="s">
        <v>157</v>
      </c>
      <c r="C41" s="41" t="s">
        <v>155</v>
      </c>
      <c r="D41" s="41" t="s">
        <v>165</v>
      </c>
      <c r="E41" s="297">
        <f>'SDS Main'!E48</f>
        <v>184.59780180725991</v>
      </c>
      <c r="F41" s="297">
        <f>'SDS Main'!F48</f>
        <v>198.00740206971611</v>
      </c>
      <c r="G41" s="297">
        <f>'SDS Main'!G48</f>
        <v>211.4170023321723</v>
      </c>
      <c r="H41" s="297">
        <f>'SDS Main'!H48</f>
        <v>224.82660259462847</v>
      </c>
      <c r="I41" s="297">
        <f>'SDS Main'!I48</f>
        <v>235.1940156949546</v>
      </c>
      <c r="J41" s="297">
        <f>'SDS Main'!J48</f>
        <v>242.83756537686838</v>
      </c>
      <c r="K41" s="297">
        <f>'SDS Main'!K48</f>
        <v>250.48111505878217</v>
      </c>
      <c r="L41" s="297">
        <f>'SDS Main'!L48</f>
        <v>258.12466474069595</v>
      </c>
      <c r="M41" s="297">
        <f>'SDS Main'!M48</f>
        <v>265.76821442260973</v>
      </c>
      <c r="N41" s="297">
        <f>'SDS Main'!N48</f>
        <v>273.41176410452351</v>
      </c>
      <c r="O41" s="297">
        <f>'SDS Main'!O48</f>
        <v>281.05531378643724</v>
      </c>
      <c r="P41" s="297">
        <f>'SDS Main'!P48</f>
        <v>288.69886346835102</v>
      </c>
      <c r="Q41" s="297">
        <f>'SDS Main'!Q48</f>
        <v>296.3424131502648</v>
      </c>
      <c r="R41" s="297">
        <f>'SDS Main'!R48</f>
        <v>303.98596283217853</v>
      </c>
      <c r="S41" s="297">
        <f>'SDS Main'!S48</f>
        <v>311.62951251409231</v>
      </c>
      <c r="T41" s="297">
        <f>'SDS Main'!T48</f>
        <v>319.27306219600632</v>
      </c>
      <c r="U41" s="297">
        <f>'SDS Main'!U48</f>
        <v>328.96562167371906</v>
      </c>
      <c r="V41" s="297">
        <f>'SDS Main'!V48</f>
        <v>338.65818115143179</v>
      </c>
      <c r="W41" s="297">
        <f>'SDS Main'!W48</f>
        <v>348.35074062914441</v>
      </c>
      <c r="X41" s="297">
        <f>'SDS Main'!X48</f>
        <v>358.0433001068572</v>
      </c>
      <c r="Y41" s="297">
        <f>'SDS Main'!Y48</f>
        <v>367.73585958456988</v>
      </c>
      <c r="Z41" s="297">
        <f>'SDS Main'!Z48</f>
        <v>377.42841906228261</v>
      </c>
      <c r="AA41" s="297">
        <f>'SDS Main'!AA48</f>
        <v>387.12097853999535</v>
      </c>
      <c r="AB41" s="297">
        <f>'SDS Main'!AB48</f>
        <v>396.81353801770803</v>
      </c>
      <c r="AC41" s="297">
        <f>'SDS Main'!AC48</f>
        <v>406.50609749542082</v>
      </c>
      <c r="AD41" s="297">
        <f>'SDS Main'!AD48</f>
        <v>416.19865697313338</v>
      </c>
      <c r="AE41" s="297">
        <f>'SDS Main'!AE48</f>
        <v>429.65911834951385</v>
      </c>
      <c r="AF41" s="297">
        <f>'SDS Main'!AF48</f>
        <v>443.11957972589425</v>
      </c>
      <c r="AG41" s="297">
        <f>'SDS Main'!AG48</f>
        <v>456.58004110227478</v>
      </c>
      <c r="AH41" s="297">
        <f>'SDS Main'!AH48</f>
        <v>470.04050247865507</v>
      </c>
      <c r="AI41" s="297">
        <f>'SDS Main'!AI48</f>
        <v>483.50096385503548</v>
      </c>
      <c r="AJ41" s="297">
        <f>'SDS Main'!AJ48</f>
        <v>496.96142523141589</v>
      </c>
      <c r="AK41" s="297">
        <f>'SDS Main'!AK48</f>
        <v>510.42188660779624</v>
      </c>
      <c r="AL41" s="297">
        <f>'SDS Main'!AL48</f>
        <v>523.88234798417659</v>
      </c>
      <c r="AM41" s="297">
        <f>'SDS Main'!AM48</f>
        <v>537.342809360557</v>
      </c>
      <c r="AN41" s="297">
        <f>'SDS Main'!AN48</f>
        <v>550.80327073693775</v>
      </c>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row>
    <row r="42" spans="1:92">
      <c r="A42" s="41" t="s">
        <v>644</v>
      </c>
      <c r="B42" s="41" t="s">
        <v>157</v>
      </c>
      <c r="C42" s="41" t="s">
        <v>156</v>
      </c>
      <c r="D42" s="41" t="s">
        <v>165</v>
      </c>
      <c r="E42" s="297">
        <f>'SDS Main'!E49</f>
        <v>494.96320380295487</v>
      </c>
      <c r="F42" s="297">
        <f>'SDS Main'!F49</f>
        <v>530.91844618743505</v>
      </c>
      <c r="G42" s="297">
        <f>'SDS Main'!G49</f>
        <v>566.87368857191518</v>
      </c>
      <c r="H42" s="297">
        <f>'SDS Main'!H49</f>
        <v>602.8289309563952</v>
      </c>
      <c r="I42" s="297">
        <f>'SDS Main'!I49</f>
        <v>630.62713848133626</v>
      </c>
      <c r="J42" s="297">
        <f>'SDS Main'!J49</f>
        <v>651.12183452835234</v>
      </c>
      <c r="K42" s="297">
        <f>'SDS Main'!K49</f>
        <v>671.61653057536842</v>
      </c>
      <c r="L42" s="297">
        <f>'SDS Main'!L49</f>
        <v>692.11122662238449</v>
      </c>
      <c r="M42" s="297">
        <f>'SDS Main'!M49</f>
        <v>712.60592266940046</v>
      </c>
      <c r="N42" s="297">
        <f>'SDS Main'!N49</f>
        <v>733.10061871641653</v>
      </c>
      <c r="O42" s="297">
        <f>'SDS Main'!O49</f>
        <v>753.5953147634325</v>
      </c>
      <c r="P42" s="297">
        <f>'SDS Main'!P49</f>
        <v>774.09001081044858</v>
      </c>
      <c r="Q42" s="297">
        <f>'SDS Main'!Q49</f>
        <v>794.58470685746454</v>
      </c>
      <c r="R42" s="297">
        <f>'SDS Main'!R49</f>
        <v>815.0794029044805</v>
      </c>
      <c r="S42" s="297">
        <f>'SDS Main'!S49</f>
        <v>835.57409895149658</v>
      </c>
      <c r="T42" s="297">
        <f>'SDS Main'!T49</f>
        <v>856.06879499851311</v>
      </c>
      <c r="U42" s="297">
        <f>'SDS Main'!U49</f>
        <v>882.0575134186189</v>
      </c>
      <c r="V42" s="297">
        <f>'SDS Main'!V49</f>
        <v>908.04623183872491</v>
      </c>
      <c r="W42" s="297">
        <f>'SDS Main'!W49</f>
        <v>934.03495025883058</v>
      </c>
      <c r="X42" s="297">
        <f>'SDS Main'!X49</f>
        <v>960.02366867893636</v>
      </c>
      <c r="Y42" s="297">
        <f>'SDS Main'!Y49</f>
        <v>986.01238709904237</v>
      </c>
      <c r="Z42" s="297">
        <f>'SDS Main'!Z49</f>
        <v>1012.001105519148</v>
      </c>
      <c r="AA42" s="297">
        <f>'SDS Main'!AA49</f>
        <v>1037.9898239392539</v>
      </c>
      <c r="AB42" s="297">
        <f>'SDS Main'!AB49</f>
        <v>1063.9785423593598</v>
      </c>
      <c r="AC42" s="297">
        <f>'SDS Main'!AC49</f>
        <v>1089.9672607794657</v>
      </c>
      <c r="AD42" s="297">
        <f>'SDS Main'!AD49</f>
        <v>1115.9559791995712</v>
      </c>
      <c r="AE42" s="297">
        <f>'SDS Main'!AE49</f>
        <v>1152.0475957968017</v>
      </c>
      <c r="AF42" s="297">
        <f>'SDS Main'!AF49</f>
        <v>1188.1392123940325</v>
      </c>
      <c r="AG42" s="297">
        <f>'SDS Main'!AG49</f>
        <v>1224.2308289912633</v>
      </c>
      <c r="AH42" s="297">
        <f>'SDS Main'!AH49</f>
        <v>1260.3224455884938</v>
      </c>
      <c r="AI42" s="297">
        <f>'SDS Main'!AI49</f>
        <v>1296.4140621857241</v>
      </c>
      <c r="AJ42" s="297">
        <f>'SDS Main'!AJ49</f>
        <v>1332.5056787829546</v>
      </c>
      <c r="AK42" s="297">
        <f>'SDS Main'!AK49</f>
        <v>1368.5972953801852</v>
      </c>
      <c r="AL42" s="297">
        <f>'SDS Main'!AL49</f>
        <v>1404.6889119774155</v>
      </c>
      <c r="AM42" s="297">
        <f>'SDS Main'!AM49</f>
        <v>1440.780528574646</v>
      </c>
      <c r="AN42" s="297">
        <f>'SDS Main'!AN49</f>
        <v>1476.8721451718775</v>
      </c>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row>
    <row r="43" spans="1:92" s="241" customFormat="1">
      <c r="A43" s="241" t="s">
        <v>644</v>
      </c>
      <c r="B43" s="241" t="s">
        <v>157</v>
      </c>
      <c r="C43" s="241" t="s">
        <v>3</v>
      </c>
      <c r="D43" s="241" t="s">
        <v>165</v>
      </c>
      <c r="E43" s="295">
        <f t="shared" ref="E43:G43" si="31">SUM(E38:E42)</f>
        <v>899.81883773079994</v>
      </c>
      <c r="F43" s="295">
        <f t="shared" si="31"/>
        <v>964.1729830462001</v>
      </c>
      <c r="G43" s="295">
        <f t="shared" si="31"/>
        <v>1028.5271283616003</v>
      </c>
      <c r="H43" s="295">
        <f t="shared" ref="H43:AN43" si="32">SUM(H38:H42)</f>
        <v>1092.8812736770001</v>
      </c>
      <c r="I43" s="295">
        <f t="shared" si="32"/>
        <v>1124.000086751</v>
      </c>
      <c r="J43" s="295">
        <f t="shared" si="32"/>
        <v>1160.5288669589947</v>
      </c>
      <c r="K43" s="295">
        <f t="shared" si="32"/>
        <v>1197.0576471669897</v>
      </c>
      <c r="L43" s="295">
        <f t="shared" si="32"/>
        <v>1233.5864273749844</v>
      </c>
      <c r="M43" s="295">
        <f t="shared" si="32"/>
        <v>1270.1152075829791</v>
      </c>
      <c r="N43" s="295">
        <f t="shared" si="32"/>
        <v>1306.6439877909738</v>
      </c>
      <c r="O43" s="295">
        <f t="shared" si="32"/>
        <v>1343.1727679989685</v>
      </c>
      <c r="P43" s="295">
        <f t="shared" si="32"/>
        <v>1379.7015482069633</v>
      </c>
      <c r="Q43" s="295">
        <f t="shared" si="32"/>
        <v>1416.230328414958</v>
      </c>
      <c r="R43" s="295">
        <f t="shared" si="32"/>
        <v>1452.7591086229527</v>
      </c>
      <c r="S43" s="295">
        <f t="shared" si="32"/>
        <v>1489.2878888309474</v>
      </c>
      <c r="T43" s="295">
        <f t="shared" si="32"/>
        <v>1525.816669038943</v>
      </c>
      <c r="U43" s="295">
        <f t="shared" si="32"/>
        <v>1572.1377357616539</v>
      </c>
      <c r="V43" s="295">
        <f t="shared" si="32"/>
        <v>1618.4588024843652</v>
      </c>
      <c r="W43" s="295">
        <f t="shared" si="32"/>
        <v>1664.779869207076</v>
      </c>
      <c r="X43" s="295">
        <f t="shared" si="32"/>
        <v>1711.1009359297868</v>
      </c>
      <c r="Y43" s="295">
        <f t="shared" si="32"/>
        <v>1757.4220026524979</v>
      </c>
      <c r="Z43" s="295">
        <f t="shared" si="32"/>
        <v>1803.7430693752087</v>
      </c>
      <c r="AA43" s="295">
        <f t="shared" si="32"/>
        <v>1850.0641360979198</v>
      </c>
      <c r="AB43" s="295">
        <f t="shared" si="32"/>
        <v>1896.3852028206309</v>
      </c>
      <c r="AC43" s="295">
        <f t="shared" si="32"/>
        <v>1942.7062695433419</v>
      </c>
      <c r="AD43" s="295">
        <f t="shared" si="32"/>
        <v>1989.0273362660523</v>
      </c>
      <c r="AE43" s="295">
        <f t="shared" si="32"/>
        <v>2053.3553324952718</v>
      </c>
      <c r="AF43" s="295">
        <f t="shared" si="32"/>
        <v>2117.6833287244917</v>
      </c>
      <c r="AG43" s="295">
        <f t="shared" si="32"/>
        <v>2182.0113249537117</v>
      </c>
      <c r="AH43" s="295">
        <f t="shared" si="32"/>
        <v>2246.3393211829311</v>
      </c>
      <c r="AI43" s="295">
        <f t="shared" si="32"/>
        <v>2310.6673174121506</v>
      </c>
      <c r="AJ43" s="295">
        <f t="shared" si="32"/>
        <v>2374.9953136413706</v>
      </c>
      <c r="AK43" s="295">
        <f t="shared" si="32"/>
        <v>2439.32330987059</v>
      </c>
      <c r="AL43" s="295">
        <f t="shared" si="32"/>
        <v>2503.6513060998091</v>
      </c>
      <c r="AM43" s="295">
        <f t="shared" si="32"/>
        <v>2567.9793023290285</v>
      </c>
      <c r="AN43" s="295">
        <f t="shared" si="32"/>
        <v>2632.3072985582498</v>
      </c>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row>
    <row r="44" spans="1:92">
      <c r="A44" s="41" t="s">
        <v>644</v>
      </c>
      <c r="B44" s="41" t="s">
        <v>158</v>
      </c>
      <c r="C44" s="41" t="s">
        <v>153</v>
      </c>
      <c r="D44" s="41" t="s">
        <v>166</v>
      </c>
      <c r="E44" s="293">
        <f t="shared" ref="E44:AJ44" si="33">(E32/E38)*1000</f>
        <v>1189.7236448298318</v>
      </c>
      <c r="F44" s="293">
        <f t="shared" si="33"/>
        <v>1147.7539072100469</v>
      </c>
      <c r="G44" s="293">
        <f t="shared" si="33"/>
        <v>1110.5450166318824</v>
      </c>
      <c r="H44" s="293">
        <f t="shared" si="33"/>
        <v>1077.33038068719</v>
      </c>
      <c r="I44" s="293">
        <f t="shared" si="33"/>
        <v>1126.5819082910111</v>
      </c>
      <c r="J44" s="293">
        <f t="shared" si="33"/>
        <v>1086.7748233056914</v>
      </c>
      <c r="K44" s="293">
        <f t="shared" si="33"/>
        <v>1049.3972023676399</v>
      </c>
      <c r="L44" s="293">
        <f t="shared" si="33"/>
        <v>1014.2332226786245</v>
      </c>
      <c r="M44" s="293">
        <f t="shared" si="33"/>
        <v>981.09188987648861</v>
      </c>
      <c r="N44" s="293">
        <f t="shared" si="33"/>
        <v>949.80356749347379</v>
      </c>
      <c r="O44" s="293">
        <f t="shared" si="33"/>
        <v>920.21707272137542</v>
      </c>
      <c r="P44" s="293">
        <f t="shared" si="33"/>
        <v>892.19723352933408</v>
      </c>
      <c r="Q44" s="293">
        <f t="shared" si="33"/>
        <v>865.62282383667934</v>
      </c>
      <c r="R44" s="293">
        <f t="shared" si="33"/>
        <v>840.38481019903247</v>
      </c>
      <c r="S44" s="293">
        <f t="shared" si="33"/>
        <v>816.38485652275381</v>
      </c>
      <c r="T44" s="293">
        <f t="shared" si="33"/>
        <v>793.53404356649946</v>
      </c>
      <c r="U44" s="293">
        <f t="shared" si="33"/>
        <v>762.06105516600064</v>
      </c>
      <c r="V44" s="293">
        <f t="shared" si="33"/>
        <v>732.38961079420869</v>
      </c>
      <c r="W44" s="293">
        <f t="shared" si="33"/>
        <v>704.36933121594609</v>
      </c>
      <c r="X44" s="293">
        <f t="shared" si="33"/>
        <v>677.86612080955945</v>
      </c>
      <c r="Y44" s="293">
        <f t="shared" si="33"/>
        <v>652.76002159871678</v>
      </c>
      <c r="Z44" s="293">
        <f t="shared" si="33"/>
        <v>628.94339794172356</v>
      </c>
      <c r="AA44" s="293">
        <f t="shared" si="33"/>
        <v>606.31939392639492</v>
      </c>
      <c r="AB44" s="293">
        <f t="shared" si="33"/>
        <v>584.80061684277905</v>
      </c>
      <c r="AC44" s="293">
        <f t="shared" si="33"/>
        <v>564.30800900019346</v>
      </c>
      <c r="AD44" s="293">
        <f t="shared" si="33"/>
        <v>544.76987718505256</v>
      </c>
      <c r="AE44" s="293">
        <f t="shared" si="33"/>
        <v>525.21444475162878</v>
      </c>
      <c r="AF44" s="293">
        <f t="shared" si="33"/>
        <v>506.84706698792417</v>
      </c>
      <c r="AG44" s="293">
        <f t="shared" si="33"/>
        <v>489.56266857818724</v>
      </c>
      <c r="AH44" s="293">
        <f t="shared" si="33"/>
        <v>473.26821029480686</v>
      </c>
      <c r="AI44" s="293">
        <f t="shared" si="33"/>
        <v>457.88101360041605</v>
      </c>
      <c r="AJ44" s="293">
        <f t="shared" si="33"/>
        <v>443.32735752418881</v>
      </c>
      <c r="AK44" s="293">
        <f t="shared" ref="AK44:AN44" si="34">(AK32/AK38)*1000</f>
        <v>429.54129755086836</v>
      </c>
      <c r="AL44" s="293">
        <f t="shared" si="34"/>
        <v>416.46366659225902</v>
      </c>
      <c r="AM44" s="293">
        <f t="shared" si="34"/>
        <v>404.04122611297277</v>
      </c>
      <c r="AN44" s="293">
        <f t="shared" si="34"/>
        <v>392.22594172427398</v>
      </c>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row>
    <row r="45" spans="1:92">
      <c r="A45" s="41" t="s">
        <v>644</v>
      </c>
      <c r="B45" s="41" t="s">
        <v>158</v>
      </c>
      <c r="C45" s="41" t="s">
        <v>154</v>
      </c>
      <c r="D45" s="41" t="s">
        <v>166</v>
      </c>
      <c r="E45" s="293">
        <f t="shared" ref="E45:AJ45" si="35">(E33/E39)*1000</f>
        <v>617.74112327702801</v>
      </c>
      <c r="F45" s="293">
        <f t="shared" si="35"/>
        <v>595.94914412829348</v>
      </c>
      <c r="G45" s="293">
        <f t="shared" si="35"/>
        <v>576.62914325116969</v>
      </c>
      <c r="H45" s="293">
        <f t="shared" si="35"/>
        <v>559.38308227988705</v>
      </c>
      <c r="I45" s="293">
        <f t="shared" si="35"/>
        <v>584.95599084340938</v>
      </c>
      <c r="J45" s="293">
        <f t="shared" si="35"/>
        <v>564.28692748564731</v>
      </c>
      <c r="K45" s="293">
        <f t="shared" si="35"/>
        <v>544.87931661396669</v>
      </c>
      <c r="L45" s="293">
        <f t="shared" si="35"/>
        <v>526.62109639082416</v>
      </c>
      <c r="M45" s="293">
        <f t="shared" si="35"/>
        <v>509.41309666663813</v>
      </c>
      <c r="N45" s="293">
        <f t="shared" si="35"/>
        <v>493.16723696776518</v>
      </c>
      <c r="O45" s="293">
        <f t="shared" si="35"/>
        <v>477.80501852840638</v>
      </c>
      <c r="P45" s="293">
        <f t="shared" si="35"/>
        <v>463.25625587100029</v>
      </c>
      <c r="Q45" s="293">
        <f t="shared" si="35"/>
        <v>449.45800468442951</v>
      </c>
      <c r="R45" s="293">
        <f t="shared" si="35"/>
        <v>436.35365144949753</v>
      </c>
      <c r="S45" s="293">
        <f t="shared" si="35"/>
        <v>423.89213704066054</v>
      </c>
      <c r="T45" s="293">
        <f t="shared" si="35"/>
        <v>412.02729185183631</v>
      </c>
      <c r="U45" s="293">
        <f t="shared" si="35"/>
        <v>395.68554787465416</v>
      </c>
      <c r="V45" s="293">
        <f t="shared" si="35"/>
        <v>380.2792209893006</v>
      </c>
      <c r="W45" s="293">
        <f t="shared" si="35"/>
        <v>365.73022966981813</v>
      </c>
      <c r="X45" s="293">
        <f t="shared" si="35"/>
        <v>351.9689473434251</v>
      </c>
      <c r="Y45" s="293">
        <f t="shared" si="35"/>
        <v>338.93308813779521</v>
      </c>
      <c r="Z45" s="293">
        <f t="shared" si="35"/>
        <v>326.56676431589489</v>
      </c>
      <c r="AA45" s="293">
        <f t="shared" si="35"/>
        <v>314.81968530793569</v>
      </c>
      <c r="AB45" s="293">
        <f t="shared" si="35"/>
        <v>303.64647412990445</v>
      </c>
      <c r="AC45" s="293">
        <f t="shared" si="35"/>
        <v>293.00608159625432</v>
      </c>
      <c r="AD45" s="293">
        <f t="shared" si="35"/>
        <v>282.86128238454643</v>
      </c>
      <c r="AE45" s="293">
        <f t="shared" si="35"/>
        <v>272.70750015949955</v>
      </c>
      <c r="AF45" s="293">
        <f t="shared" si="35"/>
        <v>263.17059247449896</v>
      </c>
      <c r="AG45" s="293">
        <f t="shared" si="35"/>
        <v>254.19600099252031</v>
      </c>
      <c r="AH45" s="293">
        <f t="shared" si="35"/>
        <v>245.73541688384202</v>
      </c>
      <c r="AI45" s="293">
        <f t="shared" si="35"/>
        <v>237.7459109079083</v>
      </c>
      <c r="AJ45" s="293">
        <f t="shared" si="35"/>
        <v>230.1892048683288</v>
      </c>
      <c r="AK45" s="293">
        <f t="shared" ref="AK45:AN45" si="36">(AK33/AK39)*1000</f>
        <v>223.03105834372005</v>
      </c>
      <c r="AL45" s="293">
        <f t="shared" si="36"/>
        <v>216.24074996136525</v>
      </c>
      <c r="AM45" s="293">
        <f t="shared" si="36"/>
        <v>209.79063663558199</v>
      </c>
      <c r="AN45" s="293">
        <f t="shared" si="36"/>
        <v>203.65577743375763</v>
      </c>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row>
    <row r="46" spans="1:92">
      <c r="A46" s="41" t="s">
        <v>644</v>
      </c>
      <c r="B46" s="41" t="s">
        <v>158</v>
      </c>
      <c r="C46" s="41" t="s">
        <v>112</v>
      </c>
      <c r="D46" s="41" t="s">
        <v>166</v>
      </c>
      <c r="E46" s="293">
        <f t="shared" ref="E46:AJ46" si="37">(E34/E40)*1000</f>
        <v>683.29204166542684</v>
      </c>
      <c r="F46" s="293">
        <f t="shared" si="37"/>
        <v>670.34703768087195</v>
      </c>
      <c r="G46" s="293">
        <f t="shared" si="37"/>
        <v>659.04416585138404</v>
      </c>
      <c r="H46" s="293">
        <f t="shared" si="37"/>
        <v>649.08959525762248</v>
      </c>
      <c r="I46" s="293">
        <f t="shared" si="37"/>
        <v>635.54538040104273</v>
      </c>
      <c r="J46" s="293">
        <f t="shared" si="37"/>
        <v>613.08877180164723</v>
      </c>
      <c r="K46" s="293">
        <f t="shared" si="37"/>
        <v>592.00271126513837</v>
      </c>
      <c r="L46" s="293">
        <f t="shared" si="37"/>
        <v>572.16544538735434</v>
      </c>
      <c r="M46" s="293">
        <f t="shared" si="37"/>
        <v>553.46922737806392</v>
      </c>
      <c r="N46" s="293">
        <f t="shared" si="37"/>
        <v>535.81835920356218</v>
      </c>
      <c r="O46" s="293">
        <f t="shared" si="37"/>
        <v>519.12755320332121</v>
      </c>
      <c r="P46" s="293">
        <f t="shared" si="37"/>
        <v>503.32055397226071</v>
      </c>
      <c r="Q46" s="293">
        <f t="shared" si="37"/>
        <v>488.32897351747442</v>
      </c>
      <c r="R46" s="293">
        <f t="shared" si="37"/>
        <v>474.09130215078557</v>
      </c>
      <c r="S46" s="293">
        <f t="shared" si="37"/>
        <v>460.5520649443792</v>
      </c>
      <c r="T46" s="293">
        <f t="shared" si="37"/>
        <v>447.66109935556875</v>
      </c>
      <c r="U46" s="293">
        <f t="shared" si="37"/>
        <v>429.90605443771096</v>
      </c>
      <c r="V46" s="293">
        <f t="shared" si="37"/>
        <v>413.16732531243605</v>
      </c>
      <c r="W46" s="293">
        <f t="shared" si="37"/>
        <v>397.36007764366701</v>
      </c>
      <c r="X46" s="293">
        <f t="shared" si="37"/>
        <v>382.40866326747863</v>
      </c>
      <c r="Y46" s="293">
        <f t="shared" si="37"/>
        <v>368.24540957423739</v>
      </c>
      <c r="Z46" s="293">
        <f t="shared" si="37"/>
        <v>354.80959542654352</v>
      </c>
      <c r="AA46" s="293">
        <f t="shared" si="37"/>
        <v>342.0465809201873</v>
      </c>
      <c r="AB46" s="293">
        <f t="shared" si="37"/>
        <v>329.90706468375299</v>
      </c>
      <c r="AC46" s="293">
        <f t="shared" si="37"/>
        <v>318.34644743002622</v>
      </c>
      <c r="AD46" s="293">
        <f t="shared" si="37"/>
        <v>307.32428443824142</v>
      </c>
      <c r="AE46" s="293">
        <f t="shared" si="37"/>
        <v>296.2923615453376</v>
      </c>
      <c r="AF46" s="293">
        <f t="shared" si="37"/>
        <v>285.93066302888315</v>
      </c>
      <c r="AG46" s="293">
        <f t="shared" si="37"/>
        <v>276.1799121234443</v>
      </c>
      <c r="AH46" s="293">
        <f t="shared" si="37"/>
        <v>266.98762205387493</v>
      </c>
      <c r="AI46" s="293">
        <f t="shared" si="37"/>
        <v>258.30715088309489</v>
      </c>
      <c r="AJ46" s="293">
        <f t="shared" si="37"/>
        <v>250.09690995953636</v>
      </c>
      <c r="AK46" s="293">
        <f t="shared" ref="AK46:AN46" si="38">(AK34/AK40)*1000</f>
        <v>242.31969760995534</v>
      </c>
      <c r="AL46" s="293">
        <f t="shared" si="38"/>
        <v>234.94213555151424</v>
      </c>
      <c r="AM46" s="293">
        <f t="shared" si="38"/>
        <v>227.93419001127921</v>
      </c>
      <c r="AN46" s="293">
        <f t="shared" si="38"/>
        <v>221.26876306264916</v>
      </c>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row>
    <row r="47" spans="1:92">
      <c r="A47" s="41" t="s">
        <v>644</v>
      </c>
      <c r="B47" s="41" t="s">
        <v>158</v>
      </c>
      <c r="C47" s="41" t="s">
        <v>155</v>
      </c>
      <c r="D47" s="41" t="s">
        <v>166</v>
      </c>
      <c r="E47" s="293">
        <f t="shared" ref="E47:AJ47" si="39">(E35/E41)*1000</f>
        <v>1401.0714773798429</v>
      </c>
      <c r="F47" s="293">
        <f t="shared" si="39"/>
        <v>1374.5281039005874</v>
      </c>
      <c r="G47" s="293">
        <f t="shared" si="39"/>
        <v>1351.3518770939982</v>
      </c>
      <c r="H47" s="293">
        <f t="shared" si="39"/>
        <v>1330.9403047676328</v>
      </c>
      <c r="I47" s="293">
        <f t="shared" si="39"/>
        <v>1303.1682659292971</v>
      </c>
      <c r="J47" s="293">
        <f t="shared" si="39"/>
        <v>1257.1216096407081</v>
      </c>
      <c r="K47" s="293">
        <f t="shared" si="39"/>
        <v>1213.8852243375802</v>
      </c>
      <c r="L47" s="293">
        <f t="shared" si="39"/>
        <v>1173.2094580242172</v>
      </c>
      <c r="M47" s="293">
        <f t="shared" si="39"/>
        <v>1134.8733788803036</v>
      </c>
      <c r="N47" s="293">
        <f t="shared" si="39"/>
        <v>1098.6807607283199</v>
      </c>
      <c r="O47" s="293">
        <f t="shared" si="39"/>
        <v>1064.4567235736938</v>
      </c>
      <c r="P47" s="293">
        <f t="shared" si="39"/>
        <v>1032.0449078124209</v>
      </c>
      <c r="Q47" s="293">
        <f t="shared" si="39"/>
        <v>1001.3050857520744</v>
      </c>
      <c r="R47" s="293">
        <f t="shared" si="39"/>
        <v>972.11113347428238</v>
      </c>
      <c r="S47" s="293">
        <f t="shared" si="39"/>
        <v>944.34930117027864</v>
      </c>
      <c r="T47" s="293">
        <f t="shared" si="39"/>
        <v>917.91673193041765</v>
      </c>
      <c r="U47" s="293">
        <f t="shared" si="39"/>
        <v>881.51050224072799</v>
      </c>
      <c r="V47" s="293">
        <f t="shared" si="39"/>
        <v>847.18820004056101</v>
      </c>
      <c r="W47" s="293">
        <f t="shared" si="39"/>
        <v>814.77587486462153</v>
      </c>
      <c r="X47" s="293">
        <f t="shared" si="39"/>
        <v>784.11841224013858</v>
      </c>
      <c r="Y47" s="293">
        <f t="shared" si="39"/>
        <v>755.07705134834669</v>
      </c>
      <c r="Z47" s="293">
        <f t="shared" si="39"/>
        <v>727.52728517248397</v>
      </c>
      <c r="AA47" s="293">
        <f t="shared" si="39"/>
        <v>701.35707609664519</v>
      </c>
      <c r="AB47" s="293">
        <f t="shared" si="39"/>
        <v>676.46533301911381</v>
      </c>
      <c r="AC47" s="293">
        <f t="shared" si="39"/>
        <v>652.76060633208351</v>
      </c>
      <c r="AD47" s="293">
        <f t="shared" si="39"/>
        <v>630.15996525161449</v>
      </c>
      <c r="AE47" s="293">
        <f t="shared" si="39"/>
        <v>607.53931176320509</v>
      </c>
      <c r="AF47" s="293">
        <f t="shared" si="39"/>
        <v>586.2929348652259</v>
      </c>
      <c r="AG47" s="293">
        <f t="shared" si="39"/>
        <v>566.2992891857765</v>
      </c>
      <c r="AH47" s="293">
        <f t="shared" si="39"/>
        <v>547.4507520406861</v>
      </c>
      <c r="AI47" s="293">
        <f t="shared" si="39"/>
        <v>529.65168542496065</v>
      </c>
      <c r="AJ47" s="293">
        <f t="shared" si="39"/>
        <v>512.81681295611509</v>
      </c>
      <c r="AK47" s="293">
        <f t="shared" ref="AK47:AN47" si="40">(AK35/AK41)*1000</f>
        <v>496.86985362966698</v>
      </c>
      <c r="AL47" s="293">
        <f t="shared" si="40"/>
        <v>481.74236619766373</v>
      </c>
      <c r="AM47" s="293">
        <f t="shared" si="40"/>
        <v>467.37276723742553</v>
      </c>
      <c r="AN47" s="293">
        <f t="shared" si="40"/>
        <v>453.70549319816877</v>
      </c>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row>
    <row r="48" spans="1:92">
      <c r="A48" s="41" t="s">
        <v>644</v>
      </c>
      <c r="B48" s="41" t="s">
        <v>158</v>
      </c>
      <c r="C48" s="41" t="s">
        <v>156</v>
      </c>
      <c r="D48" s="41" t="s">
        <v>166</v>
      </c>
      <c r="E48" s="293">
        <f t="shared" ref="E48:AJ48" si="41">(E36/E42)*1000</f>
        <v>1096.0396793216892</v>
      </c>
      <c r="F48" s="293">
        <f t="shared" si="41"/>
        <v>1075.2751494415108</v>
      </c>
      <c r="G48" s="293">
        <f t="shared" si="41"/>
        <v>1057.1446938529884</v>
      </c>
      <c r="H48" s="293">
        <f t="shared" si="41"/>
        <v>1041.1769908854865</v>
      </c>
      <c r="I48" s="478">
        <f t="shared" si="41"/>
        <v>1019.4512923512447</v>
      </c>
      <c r="J48" s="293">
        <f t="shared" si="41"/>
        <v>983.42960237525313</v>
      </c>
      <c r="K48" s="293">
        <f t="shared" si="41"/>
        <v>949.60635020878146</v>
      </c>
      <c r="L48" s="293">
        <f t="shared" si="41"/>
        <v>917.7862363987166</v>
      </c>
      <c r="M48" s="293">
        <f t="shared" si="41"/>
        <v>887.79642890515197</v>
      </c>
      <c r="N48" s="293">
        <f t="shared" si="41"/>
        <v>859.48342258566197</v>
      </c>
      <c r="O48" s="293">
        <f t="shared" si="41"/>
        <v>832.71041113431227</v>
      </c>
      <c r="P48" s="293">
        <f t="shared" si="41"/>
        <v>807.3550765016679</v>
      </c>
      <c r="Q48" s="293">
        <f t="shared" si="41"/>
        <v>783.30772041928174</v>
      </c>
      <c r="R48" s="293">
        <f t="shared" si="41"/>
        <v>760.46967781454384</v>
      </c>
      <c r="S48" s="293">
        <f t="shared" si="41"/>
        <v>738.75196371706863</v>
      </c>
      <c r="T48" s="293">
        <f t="shared" si="41"/>
        <v>718.07411452732924</v>
      </c>
      <c r="U48" s="293">
        <f t="shared" si="41"/>
        <v>689.59400272816458</v>
      </c>
      <c r="V48" s="293">
        <f t="shared" si="41"/>
        <v>662.74411983182267</v>
      </c>
      <c r="W48" s="293">
        <f t="shared" si="41"/>
        <v>637.38838669082486</v>
      </c>
      <c r="X48" s="293">
        <f t="shared" si="41"/>
        <v>613.40545930542567</v>
      </c>
      <c r="Y48" s="293">
        <f t="shared" si="41"/>
        <v>590.68678692303445</v>
      </c>
      <c r="Z48" s="293">
        <f t="shared" si="41"/>
        <v>569.13496935177886</v>
      </c>
      <c r="AA48" s="293">
        <f t="shared" si="41"/>
        <v>548.6623610470939</v>
      </c>
      <c r="AB48" s="293">
        <f t="shared" si="41"/>
        <v>529.18987977763265</v>
      </c>
      <c r="AC48" s="293">
        <f t="shared" si="41"/>
        <v>510.64598572516871</v>
      </c>
      <c r="AD48" s="293">
        <f t="shared" si="41"/>
        <v>492.96580323467435</v>
      </c>
      <c r="AE48" s="293">
        <f t="shared" si="41"/>
        <v>475.26996530223084</v>
      </c>
      <c r="AF48" s="293">
        <f t="shared" si="41"/>
        <v>458.64920576356826</v>
      </c>
      <c r="AG48" s="293">
        <f t="shared" si="41"/>
        <v>443.00844128240391</v>
      </c>
      <c r="AH48" s="293">
        <f t="shared" si="41"/>
        <v>428.2634800568552</v>
      </c>
      <c r="AI48" s="293">
        <f t="shared" si="41"/>
        <v>414.33950574099231</v>
      </c>
      <c r="AJ48" s="293">
        <f t="shared" si="41"/>
        <v>401.16980774908001</v>
      </c>
      <c r="AK48" s="293">
        <f t="shared" ref="AK48:AN48" si="42">(AK36/AK42)*1000</f>
        <v>388.69471246057765</v>
      </c>
      <c r="AL48" s="293">
        <f t="shared" si="42"/>
        <v>376.86067919275132</v>
      </c>
      <c r="AM48" s="293">
        <f t="shared" si="42"/>
        <v>365.6195320488423</v>
      </c>
      <c r="AN48" s="293">
        <f t="shared" si="42"/>
        <v>354.92780439822843</v>
      </c>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row>
    <row r="49" spans="1:90" s="241" customFormat="1" ht="15" customHeight="1">
      <c r="A49" s="241" t="s">
        <v>644</v>
      </c>
      <c r="B49" s="241" t="s">
        <v>158</v>
      </c>
      <c r="C49" s="241" t="s">
        <v>3</v>
      </c>
      <c r="D49" s="241" t="s">
        <v>166</v>
      </c>
      <c r="E49" s="295">
        <f t="shared" ref="E49:AJ49" si="43">(E37/E43)*1000</f>
        <v>1055.7608253838434</v>
      </c>
      <c r="F49" s="295">
        <f t="shared" si="43"/>
        <v>1034.7505047313637</v>
      </c>
      <c r="G49" s="295">
        <f t="shared" si="43"/>
        <v>1016.3693830394336</v>
      </c>
      <c r="H49" s="295">
        <f t="shared" si="43"/>
        <v>1000.1530003816767</v>
      </c>
      <c r="I49" s="295">
        <f t="shared" si="43"/>
        <v>990.42964757307641</v>
      </c>
      <c r="J49" s="295">
        <f t="shared" si="43"/>
        <v>955.43341972424662</v>
      </c>
      <c r="K49" s="295">
        <f t="shared" si="43"/>
        <v>922.57304476140666</v>
      </c>
      <c r="L49" s="295">
        <f t="shared" si="43"/>
        <v>891.65878299814892</v>
      </c>
      <c r="M49" s="295">
        <f t="shared" si="43"/>
        <v>862.52272256103902</v>
      </c>
      <c r="N49" s="295">
        <f t="shared" si="43"/>
        <v>835.01572827779955</v>
      </c>
      <c r="O49" s="295">
        <f t="shared" si="43"/>
        <v>809.00488843171695</v>
      </c>
      <c r="P49" s="295">
        <f t="shared" si="43"/>
        <v>784.37136711223548</v>
      </c>
      <c r="Q49" s="295">
        <f t="shared" si="43"/>
        <v>761.00858893103339</v>
      </c>
      <c r="R49" s="295">
        <f t="shared" si="43"/>
        <v>738.82069760363083</v>
      </c>
      <c r="S49" s="295">
        <f t="shared" si="43"/>
        <v>717.72124137552078</v>
      </c>
      <c r="T49" s="295">
        <f t="shared" si="43"/>
        <v>697.6320472774604</v>
      </c>
      <c r="U49" s="295">
        <f t="shared" si="43"/>
        <v>669.962704657833</v>
      </c>
      <c r="V49" s="295">
        <f t="shared" si="43"/>
        <v>643.87718173591998</v>
      </c>
      <c r="W49" s="295">
        <f t="shared" si="43"/>
        <v>619.24327325278375</v>
      </c>
      <c r="X49" s="295">
        <f t="shared" si="43"/>
        <v>595.94308961840204</v>
      </c>
      <c r="Y49" s="295">
        <f t="shared" si="43"/>
        <v>573.87117029293506</v>
      </c>
      <c r="Z49" s="295">
        <f t="shared" si="43"/>
        <v>552.93288786413268</v>
      </c>
      <c r="AA49" s="295">
        <f t="shared" si="43"/>
        <v>533.04309187265869</v>
      </c>
      <c r="AB49" s="295">
        <f t="shared" si="43"/>
        <v>514.12495139278872</v>
      </c>
      <c r="AC49" s="295">
        <f t="shared" si="43"/>
        <v>496.10896319520225</v>
      </c>
      <c r="AD49" s="295">
        <f t="shared" si="43"/>
        <v>478.9320984989979</v>
      </c>
      <c r="AE49" s="295">
        <f t="shared" si="43"/>
        <v>461.74002403851284</v>
      </c>
      <c r="AF49" s="295">
        <f t="shared" si="43"/>
        <v>445.59242273986973</v>
      </c>
      <c r="AG49" s="295">
        <f t="shared" si="43"/>
        <v>430.39691809037856</v>
      </c>
      <c r="AH49" s="295">
        <f t="shared" si="43"/>
        <v>416.07171505255923</v>
      </c>
      <c r="AI49" s="295">
        <f t="shared" si="43"/>
        <v>402.54412714527439</v>
      </c>
      <c r="AJ49" s="295">
        <f t="shared" si="43"/>
        <v>389.74934289355213</v>
      </c>
      <c r="AK49" s="295">
        <f t="shared" ref="AK49:AN49" si="44">(AK37/AK43)*1000</f>
        <v>377.62938745994336</v>
      </c>
      <c r="AL49" s="295">
        <f t="shared" si="44"/>
        <v>366.13224435290124</v>
      </c>
      <c r="AM49" s="295">
        <f t="shared" si="44"/>
        <v>355.21110914262493</v>
      </c>
      <c r="AN49" s="295">
        <f t="shared" si="44"/>
        <v>344.8237526024987</v>
      </c>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row>
    <row r="73" spans="5:89" hidden="1">
      <c r="E73" s="56"/>
      <c r="F73" s="51"/>
      <c r="G73" s="51"/>
      <c r="H73" s="51"/>
      <c r="I73" s="51"/>
      <c r="J73" s="51"/>
      <c r="K73" s="51"/>
      <c r="L73" s="51"/>
      <c r="M73" s="51"/>
      <c r="N73" s="51"/>
      <c r="O73" s="56"/>
      <c r="P73" s="51"/>
      <c r="Q73" s="51"/>
      <c r="R73" s="51"/>
      <c r="S73" s="51"/>
      <c r="U73" s="51"/>
      <c r="V73" s="51"/>
      <c r="W73" s="51"/>
      <c r="X73" s="51"/>
      <c r="Z73" s="51"/>
      <c r="AA73" s="51"/>
      <c r="AB73" s="51"/>
      <c r="AC73" s="51"/>
      <c r="AE73" s="51"/>
      <c r="AF73" s="51"/>
      <c r="AG73" s="51"/>
      <c r="AH73" s="51"/>
      <c r="AJ73" s="51"/>
      <c r="AK73" s="51"/>
      <c r="AL73" s="51"/>
      <c r="AM73" s="51"/>
      <c r="AO73" s="51"/>
      <c r="AP73" s="51"/>
      <c r="AQ73" s="51"/>
      <c r="AR73" s="51"/>
      <c r="AT73" s="51"/>
      <c r="AU73" s="51"/>
      <c r="AV73" s="51"/>
      <c r="AW73" s="51"/>
      <c r="AY73" s="51"/>
      <c r="AZ73" s="51"/>
      <c r="BA73" s="51"/>
      <c r="BB73" s="51"/>
      <c r="BD73" s="51"/>
      <c r="BE73" s="51"/>
      <c r="BF73" s="51"/>
      <c r="BG73" s="51"/>
      <c r="BI73" s="51"/>
      <c r="BJ73" s="51"/>
      <c r="BK73" s="51"/>
      <c r="BL73" s="51"/>
      <c r="BN73" s="51"/>
      <c r="BO73" s="51"/>
      <c r="BP73" s="51"/>
      <c r="BQ73" s="51"/>
      <c r="BS73" s="51"/>
      <c r="BT73" s="51"/>
      <c r="BU73" s="51"/>
      <c r="BV73" s="51"/>
      <c r="BX73" s="51"/>
      <c r="BY73" s="51"/>
      <c r="BZ73" s="51"/>
      <c r="CA73" s="51"/>
      <c r="CC73" s="51"/>
      <c r="CD73" s="51"/>
      <c r="CE73" s="51"/>
      <c r="CF73" s="51"/>
      <c r="CH73" s="51"/>
      <c r="CI73" s="51"/>
      <c r="CJ73" s="51"/>
      <c r="CK73" s="51"/>
    </row>
    <row r="74" spans="5:89" hidden="1">
      <c r="E74" s="56"/>
      <c r="F74" s="51"/>
      <c r="G74" s="51"/>
      <c r="H74" s="51"/>
      <c r="I74" s="51"/>
      <c r="J74" s="51"/>
      <c r="K74" s="51"/>
      <c r="L74" s="51"/>
      <c r="M74" s="51"/>
      <c r="N74" s="51"/>
      <c r="O74" s="56"/>
      <c r="P74" s="51"/>
      <c r="Q74" s="51"/>
      <c r="R74" s="51"/>
      <c r="S74" s="51"/>
      <c r="U74" s="51"/>
      <c r="V74" s="51"/>
      <c r="W74" s="51"/>
      <c r="X74" s="51"/>
      <c r="Z74" s="51"/>
      <c r="AA74" s="51"/>
      <c r="AB74" s="51"/>
      <c r="AC74" s="51"/>
      <c r="AE74" s="51"/>
      <c r="AF74" s="51"/>
      <c r="AG74" s="51"/>
      <c r="AH74" s="51"/>
      <c r="AJ74" s="51"/>
      <c r="AK74" s="51"/>
      <c r="AL74" s="51"/>
      <c r="AM74" s="51"/>
      <c r="AO74" s="51"/>
      <c r="AP74" s="51"/>
      <c r="AQ74" s="51"/>
      <c r="AR74" s="51"/>
      <c r="AT74" s="51"/>
      <c r="AU74" s="51"/>
      <c r="AV74" s="51"/>
      <c r="AW74" s="51"/>
      <c r="AY74" s="51"/>
      <c r="AZ74" s="51"/>
      <c r="BA74" s="51"/>
      <c r="BB74" s="51"/>
      <c r="BD74" s="51"/>
      <c r="BE74" s="51"/>
      <c r="BF74" s="51"/>
      <c r="BG74" s="51"/>
      <c r="BI74" s="51"/>
      <c r="BJ74" s="51"/>
      <c r="BK74" s="51"/>
      <c r="BL74" s="51"/>
      <c r="BN74" s="51"/>
      <c r="BO74" s="51"/>
      <c r="BP74" s="51"/>
      <c r="BQ74" s="51"/>
      <c r="BS74" s="51"/>
      <c r="BT74" s="51"/>
      <c r="BU74" s="51"/>
      <c r="BV74" s="51"/>
      <c r="BX74" s="51"/>
      <c r="BY74" s="51"/>
      <c r="BZ74" s="51"/>
      <c r="CA74" s="51"/>
      <c r="CC74" s="51"/>
      <c r="CD74" s="51"/>
      <c r="CE74" s="51"/>
      <c r="CF74" s="51"/>
      <c r="CH74" s="51"/>
      <c r="CI74" s="51"/>
      <c r="CJ74" s="51"/>
      <c r="CK74" s="51"/>
    </row>
    <row r="75" spans="5:89" hidden="1">
      <c r="E75" s="56"/>
      <c r="F75" s="51"/>
      <c r="G75" s="51"/>
      <c r="H75" s="51"/>
      <c r="I75" s="51"/>
      <c r="J75" s="51"/>
      <c r="K75" s="51"/>
      <c r="L75" s="51"/>
      <c r="M75" s="51"/>
      <c r="N75" s="51"/>
      <c r="O75" s="56"/>
      <c r="P75" s="51"/>
      <c r="Q75" s="51"/>
      <c r="R75" s="51"/>
      <c r="S75" s="51"/>
      <c r="U75" s="51"/>
      <c r="V75" s="51"/>
      <c r="W75" s="51"/>
      <c r="X75" s="51"/>
      <c r="Z75" s="51"/>
      <c r="AA75" s="51"/>
      <c r="AB75" s="51"/>
      <c r="AC75" s="51"/>
      <c r="AE75" s="51"/>
      <c r="AF75" s="51"/>
      <c r="AG75" s="51"/>
      <c r="AH75" s="51"/>
      <c r="AJ75" s="51"/>
      <c r="AK75" s="51"/>
      <c r="AL75" s="51"/>
      <c r="AM75" s="51"/>
      <c r="AO75" s="51"/>
      <c r="AP75" s="51"/>
      <c r="AQ75" s="51"/>
      <c r="AR75" s="51"/>
      <c r="AT75" s="51"/>
      <c r="AU75" s="51"/>
      <c r="AV75" s="51"/>
      <c r="AW75" s="51"/>
      <c r="AY75" s="51"/>
      <c r="AZ75" s="51"/>
      <c r="BA75" s="51"/>
      <c r="BB75" s="51"/>
      <c r="BD75" s="51"/>
      <c r="BE75" s="51"/>
      <c r="BF75" s="51"/>
      <c r="BG75" s="51"/>
      <c r="BI75" s="51"/>
      <c r="BJ75" s="51"/>
      <c r="BK75" s="51"/>
      <c r="BL75" s="51"/>
      <c r="BN75" s="51"/>
      <c r="BO75" s="51"/>
      <c r="BP75" s="51"/>
      <c r="BQ75" s="51"/>
      <c r="BS75" s="51"/>
      <c r="BT75" s="51"/>
      <c r="BU75" s="51"/>
      <c r="BV75" s="51"/>
      <c r="BX75" s="51"/>
      <c r="BY75" s="51"/>
      <c r="BZ75" s="51"/>
      <c r="CA75" s="51"/>
      <c r="CC75" s="51"/>
      <c r="CD75" s="51"/>
      <c r="CE75" s="51"/>
      <c r="CF75" s="51"/>
      <c r="CH75" s="51"/>
      <c r="CI75" s="51"/>
      <c r="CJ75" s="51"/>
      <c r="CK75" s="51"/>
    </row>
    <row r="76" spans="5:89" hidden="1">
      <c r="E76" s="56"/>
      <c r="F76" s="51"/>
      <c r="G76" s="51"/>
      <c r="H76" s="51"/>
      <c r="I76" s="51"/>
      <c r="J76" s="51"/>
      <c r="K76" s="51"/>
      <c r="L76" s="51"/>
      <c r="M76" s="51"/>
      <c r="N76" s="51"/>
      <c r="O76" s="56"/>
      <c r="P76" s="51"/>
      <c r="Q76" s="51"/>
      <c r="R76" s="51"/>
      <c r="S76" s="51"/>
      <c r="U76" s="51"/>
      <c r="V76" s="51"/>
      <c r="W76" s="51"/>
      <c r="X76" s="51"/>
      <c r="Z76" s="51"/>
      <c r="AA76" s="51"/>
      <c r="AB76" s="51"/>
      <c r="AC76" s="51"/>
      <c r="AE76" s="51"/>
      <c r="AF76" s="51"/>
      <c r="AG76" s="51"/>
      <c r="AH76" s="51"/>
      <c r="AJ76" s="51"/>
      <c r="AK76" s="51"/>
      <c r="AL76" s="51"/>
      <c r="AM76" s="51"/>
      <c r="AO76" s="51"/>
      <c r="AP76" s="51"/>
      <c r="AQ76" s="51"/>
      <c r="AR76" s="51"/>
      <c r="AT76" s="51"/>
      <c r="AU76" s="51"/>
      <c r="AV76" s="51"/>
      <c r="AW76" s="51"/>
      <c r="AY76" s="51"/>
      <c r="AZ76" s="51"/>
      <c r="BA76" s="51"/>
      <c r="BB76" s="51"/>
      <c r="BD76" s="51"/>
      <c r="BE76" s="51"/>
      <c r="BF76" s="51"/>
      <c r="BG76" s="51"/>
      <c r="BI76" s="51"/>
      <c r="BJ76" s="51"/>
      <c r="BK76" s="51"/>
      <c r="BL76" s="51"/>
      <c r="BN76" s="51"/>
      <c r="BO76" s="51"/>
      <c r="BP76" s="51"/>
      <c r="BQ76" s="51"/>
      <c r="BS76" s="51"/>
      <c r="BT76" s="51"/>
      <c r="BU76" s="51"/>
      <c r="BV76" s="51"/>
      <c r="BX76" s="51"/>
      <c r="BY76" s="51"/>
      <c r="BZ76" s="51"/>
      <c r="CA76" s="51"/>
      <c r="CC76" s="51"/>
      <c r="CD76" s="51"/>
      <c r="CE76" s="51"/>
      <c r="CF76" s="51"/>
      <c r="CH76" s="51"/>
      <c r="CI76" s="51"/>
      <c r="CJ76" s="51"/>
      <c r="CK76" s="51"/>
    </row>
    <row r="77" spans="5:89" hidden="1">
      <c r="E77" s="56"/>
      <c r="F77" s="51"/>
      <c r="G77" s="51"/>
      <c r="H77" s="51"/>
      <c r="I77" s="51"/>
      <c r="J77" s="51"/>
      <c r="K77" s="51"/>
      <c r="L77" s="51"/>
      <c r="M77" s="51"/>
      <c r="N77" s="51"/>
      <c r="O77" s="56"/>
      <c r="P77" s="51"/>
      <c r="Q77" s="51"/>
      <c r="R77" s="51"/>
      <c r="S77" s="51"/>
      <c r="U77" s="51"/>
      <c r="V77" s="51"/>
      <c r="W77" s="51"/>
      <c r="X77" s="51"/>
      <c r="Z77" s="51"/>
      <c r="AA77" s="51"/>
      <c r="AB77" s="51"/>
      <c r="AC77" s="51"/>
      <c r="AE77" s="51"/>
      <c r="AF77" s="51"/>
      <c r="AG77" s="51"/>
      <c r="AH77" s="51"/>
      <c r="AJ77" s="51"/>
      <c r="AK77" s="51"/>
      <c r="AL77" s="51"/>
      <c r="AM77" s="51"/>
      <c r="AO77" s="51"/>
      <c r="AP77" s="51"/>
      <c r="AQ77" s="51"/>
      <c r="AR77" s="51"/>
      <c r="AT77" s="51"/>
      <c r="AU77" s="51"/>
      <c r="AV77" s="51"/>
      <c r="AW77" s="51"/>
      <c r="AY77" s="51"/>
      <c r="AZ77" s="51"/>
      <c r="BA77" s="51"/>
      <c r="BB77" s="51"/>
      <c r="BD77" s="51"/>
      <c r="BE77" s="51"/>
      <c r="BF77" s="51"/>
      <c r="BG77" s="51"/>
      <c r="BI77" s="51"/>
      <c r="BJ77" s="51"/>
      <c r="BK77" s="51"/>
      <c r="BL77" s="51"/>
      <c r="BN77" s="51"/>
      <c r="BO77" s="51"/>
      <c r="BP77" s="51"/>
      <c r="BQ77" s="51"/>
      <c r="BS77" s="51"/>
      <c r="BT77" s="51"/>
      <c r="BU77" s="51"/>
      <c r="BV77" s="51"/>
      <c r="BX77" s="51"/>
      <c r="BY77" s="51"/>
      <c r="BZ77" s="51"/>
      <c r="CA77" s="51"/>
      <c r="CC77" s="51"/>
      <c r="CD77" s="51"/>
      <c r="CE77" s="51"/>
      <c r="CF77" s="51"/>
      <c r="CH77" s="51"/>
      <c r="CI77" s="51"/>
      <c r="CJ77" s="51"/>
      <c r="CK77" s="51"/>
    </row>
    <row r="78" spans="5:89" hidden="1">
      <c r="E78" s="56"/>
      <c r="F78" s="51"/>
      <c r="G78" s="51"/>
      <c r="H78" s="51"/>
      <c r="I78" s="51"/>
      <c r="J78" s="51"/>
      <c r="K78" s="51"/>
      <c r="L78" s="51"/>
      <c r="M78" s="51"/>
      <c r="N78" s="51"/>
      <c r="O78" s="56"/>
      <c r="P78" s="51"/>
      <c r="Q78" s="51"/>
      <c r="R78" s="51"/>
      <c r="S78" s="51"/>
      <c r="U78" s="51"/>
      <c r="V78" s="51"/>
      <c r="W78" s="51"/>
      <c r="X78" s="51"/>
      <c r="Z78" s="51"/>
      <c r="AA78" s="51"/>
      <c r="AB78" s="51"/>
      <c r="AC78" s="51"/>
      <c r="AE78" s="51"/>
      <c r="AF78" s="51"/>
      <c r="AG78" s="51"/>
      <c r="AH78" s="51"/>
      <c r="AJ78" s="51"/>
      <c r="AK78" s="51"/>
      <c r="AL78" s="51"/>
      <c r="AM78" s="51"/>
      <c r="AO78" s="51"/>
      <c r="AP78" s="51"/>
      <c r="AQ78" s="51"/>
      <c r="AR78" s="51"/>
      <c r="AT78" s="51"/>
      <c r="AU78" s="51"/>
      <c r="AV78" s="51"/>
      <c r="AW78" s="51"/>
      <c r="AY78" s="51"/>
      <c r="AZ78" s="51"/>
      <c r="BA78" s="51"/>
      <c r="BB78" s="51"/>
      <c r="BD78" s="51"/>
      <c r="BE78" s="51"/>
      <c r="BF78" s="51"/>
      <c r="BG78" s="51"/>
      <c r="BI78" s="51"/>
      <c r="BJ78" s="51"/>
      <c r="BK78" s="51"/>
      <c r="BL78" s="51"/>
      <c r="BN78" s="51"/>
      <c r="BO78" s="51"/>
      <c r="BP78" s="51"/>
      <c r="BQ78" s="51"/>
      <c r="BS78" s="51"/>
      <c r="BT78" s="51"/>
      <c r="BU78" s="51"/>
      <c r="BV78" s="51"/>
      <c r="BX78" s="51"/>
      <c r="BY78" s="51"/>
      <c r="BZ78" s="51"/>
      <c r="CA78" s="51"/>
      <c r="CC78" s="51"/>
      <c r="CD78" s="51"/>
      <c r="CE78" s="51"/>
      <c r="CF78" s="51"/>
      <c r="CH78" s="51"/>
      <c r="CI78" s="51"/>
      <c r="CJ78" s="51"/>
      <c r="CK78" s="51"/>
    </row>
    <row r="79" spans="5:89" hidden="1">
      <c r="E79" s="56"/>
      <c r="O79" s="56"/>
    </row>
    <row r="80" spans="5:89" hidden="1">
      <c r="E80" s="56"/>
      <c r="F80" s="51"/>
      <c r="G80" s="51"/>
      <c r="H80" s="51"/>
      <c r="I80" s="51"/>
      <c r="J80" s="51"/>
      <c r="K80" s="51"/>
      <c r="L80" s="51"/>
      <c r="M80" s="51"/>
      <c r="N80" s="51"/>
      <c r="O80" s="56"/>
      <c r="P80" s="51"/>
      <c r="Q80" s="51"/>
      <c r="R80" s="51"/>
      <c r="S80" s="51"/>
      <c r="U80" s="51"/>
      <c r="V80" s="51"/>
      <c r="W80" s="51"/>
      <c r="X80" s="51"/>
      <c r="Z80" s="51"/>
      <c r="AA80" s="51"/>
      <c r="AB80" s="51"/>
      <c r="AC80" s="51"/>
      <c r="AE80" s="51"/>
      <c r="AF80" s="51"/>
      <c r="AG80" s="51"/>
      <c r="AH80" s="51"/>
      <c r="AJ80" s="51"/>
      <c r="AK80" s="51"/>
      <c r="AL80" s="51"/>
      <c r="AM80" s="51"/>
      <c r="AO80" s="51"/>
      <c r="AP80" s="51"/>
      <c r="AQ80" s="51"/>
      <c r="AR80" s="51"/>
      <c r="AT80" s="51"/>
      <c r="AU80" s="51"/>
      <c r="AV80" s="51"/>
      <c r="AW80" s="51"/>
      <c r="AY80" s="51"/>
      <c r="AZ80" s="51"/>
      <c r="BA80" s="51"/>
      <c r="BB80" s="51"/>
      <c r="BD80" s="51"/>
      <c r="BE80" s="51"/>
      <c r="BF80" s="51"/>
      <c r="BG80" s="51"/>
      <c r="BI80" s="51"/>
      <c r="BJ80" s="51"/>
      <c r="BK80" s="51"/>
      <c r="BL80" s="51"/>
      <c r="BN80" s="51"/>
      <c r="BO80" s="51"/>
      <c r="BP80" s="51"/>
      <c r="BQ80" s="51"/>
      <c r="BS80" s="51"/>
      <c r="BT80" s="51"/>
      <c r="BU80" s="51"/>
      <c r="BV80" s="51"/>
      <c r="BX80" s="51"/>
      <c r="BY80" s="51"/>
      <c r="BZ80" s="51"/>
      <c r="CA80" s="51"/>
      <c r="CC80" s="51"/>
      <c r="CD80" s="51"/>
      <c r="CE80" s="51"/>
      <c r="CF80" s="51"/>
      <c r="CH80" s="51"/>
      <c r="CI80" s="51"/>
      <c r="CJ80" s="51"/>
      <c r="CK80" s="51"/>
    </row>
    <row r="81" spans="4:89" hidden="1">
      <c r="E81" s="56"/>
      <c r="F81" s="51"/>
      <c r="G81" s="51"/>
      <c r="H81" s="51"/>
      <c r="I81" s="51"/>
      <c r="J81" s="51"/>
      <c r="K81" s="51"/>
      <c r="L81" s="51"/>
      <c r="M81" s="51"/>
      <c r="N81" s="51"/>
      <c r="O81" s="56"/>
      <c r="P81" s="51"/>
      <c r="Q81" s="51"/>
      <c r="R81" s="51"/>
      <c r="S81" s="51"/>
      <c r="U81" s="51"/>
      <c r="V81" s="51"/>
      <c r="W81" s="51"/>
      <c r="X81" s="51"/>
      <c r="Z81" s="51"/>
      <c r="AA81" s="51"/>
      <c r="AB81" s="51"/>
      <c r="AC81" s="51"/>
      <c r="AE81" s="51"/>
      <c r="AF81" s="51"/>
      <c r="AG81" s="51"/>
      <c r="AH81" s="51"/>
      <c r="AJ81" s="51"/>
      <c r="AK81" s="51"/>
      <c r="AL81" s="51"/>
      <c r="AM81" s="51"/>
      <c r="AO81" s="51"/>
      <c r="AP81" s="51"/>
      <c r="AQ81" s="51"/>
      <c r="AR81" s="51"/>
      <c r="AT81" s="51"/>
      <c r="AU81" s="51"/>
      <c r="AV81" s="51"/>
      <c r="AW81" s="51"/>
      <c r="AY81" s="51"/>
      <c r="AZ81" s="51"/>
      <c r="BA81" s="51"/>
      <c r="BB81" s="51"/>
      <c r="BD81" s="51"/>
      <c r="BE81" s="51"/>
      <c r="BF81" s="51"/>
      <c r="BG81" s="51"/>
      <c r="BI81" s="51"/>
      <c r="BJ81" s="51"/>
      <c r="BK81" s="51"/>
      <c r="BL81" s="51"/>
      <c r="BN81" s="51"/>
      <c r="BO81" s="51"/>
      <c r="BP81" s="51"/>
      <c r="BQ81" s="51"/>
      <c r="BS81" s="51"/>
      <c r="BT81" s="51"/>
      <c r="BU81" s="51"/>
      <c r="BV81" s="51"/>
      <c r="BX81" s="51"/>
      <c r="BY81" s="51"/>
      <c r="BZ81" s="51"/>
      <c r="CA81" s="51"/>
      <c r="CC81" s="51"/>
      <c r="CD81" s="51"/>
      <c r="CE81" s="51"/>
      <c r="CF81" s="51"/>
      <c r="CH81" s="51"/>
      <c r="CI81" s="51"/>
      <c r="CJ81" s="51"/>
      <c r="CK81" s="51"/>
    </row>
    <row r="82" spans="4:89" hidden="1">
      <c r="E82" s="56"/>
      <c r="F82" s="51"/>
      <c r="G82" s="51"/>
      <c r="H82" s="51"/>
      <c r="I82" s="51"/>
      <c r="J82" s="51"/>
      <c r="K82" s="51"/>
      <c r="L82" s="51"/>
      <c r="M82" s="51"/>
      <c r="N82" s="51"/>
      <c r="O82" s="56"/>
      <c r="P82" s="51"/>
      <c r="Q82" s="51"/>
      <c r="R82" s="51"/>
      <c r="S82" s="51"/>
      <c r="U82" s="51"/>
      <c r="V82" s="51"/>
      <c r="W82" s="51"/>
      <c r="X82" s="51"/>
      <c r="Z82" s="51"/>
      <c r="AA82" s="51"/>
      <c r="AB82" s="51"/>
      <c r="AC82" s="51"/>
      <c r="AE82" s="51"/>
      <c r="AF82" s="51"/>
      <c r="AG82" s="51"/>
      <c r="AH82" s="51"/>
      <c r="AJ82" s="51"/>
      <c r="AK82" s="51"/>
      <c r="AL82" s="51"/>
      <c r="AM82" s="51"/>
      <c r="AO82" s="51"/>
      <c r="AP82" s="51"/>
      <c r="AQ82" s="51"/>
      <c r="AR82" s="51"/>
      <c r="AT82" s="51"/>
      <c r="AU82" s="51"/>
      <c r="AV82" s="51"/>
      <c r="AW82" s="51"/>
      <c r="AY82" s="51"/>
      <c r="AZ82" s="51"/>
      <c r="BA82" s="51"/>
      <c r="BB82" s="51"/>
      <c r="BD82" s="51"/>
      <c r="BE82" s="51"/>
      <c r="BF82" s="51"/>
      <c r="BG82" s="51"/>
      <c r="BI82" s="51"/>
      <c r="BJ82" s="51"/>
      <c r="BK82" s="51"/>
      <c r="BL82" s="51"/>
      <c r="BN82" s="51"/>
      <c r="BO82" s="51"/>
      <c r="BP82" s="51"/>
      <c r="BQ82" s="51"/>
      <c r="BS82" s="51"/>
      <c r="BT82" s="51"/>
      <c r="BU82" s="51"/>
      <c r="BV82" s="51"/>
      <c r="BX82" s="51"/>
      <c r="BY82" s="51"/>
      <c r="BZ82" s="51"/>
      <c r="CA82" s="51"/>
      <c r="CC82" s="51"/>
      <c r="CD82" s="51"/>
      <c r="CE82" s="51"/>
      <c r="CF82" s="51"/>
      <c r="CH82" s="51"/>
      <c r="CI82" s="51"/>
      <c r="CJ82" s="51"/>
      <c r="CK82" s="51"/>
    </row>
    <row r="83" spans="4:89" hidden="1">
      <c r="E83" s="56"/>
      <c r="F83" s="51"/>
      <c r="G83" s="51"/>
      <c r="H83" s="51"/>
      <c r="I83" s="51"/>
      <c r="J83" s="51"/>
      <c r="K83" s="51"/>
      <c r="L83" s="51"/>
      <c r="M83" s="51"/>
      <c r="N83" s="51"/>
      <c r="O83" s="56"/>
      <c r="P83" s="51"/>
      <c r="Q83" s="51"/>
      <c r="R83" s="51"/>
      <c r="S83" s="51"/>
      <c r="U83" s="51"/>
      <c r="V83" s="51"/>
      <c r="W83" s="51"/>
      <c r="X83" s="51"/>
      <c r="Z83" s="51"/>
      <c r="AA83" s="51"/>
      <c r="AB83" s="51"/>
      <c r="AC83" s="51"/>
      <c r="AE83" s="51"/>
      <c r="AF83" s="51"/>
      <c r="AG83" s="51"/>
      <c r="AH83" s="51"/>
      <c r="AJ83" s="51"/>
      <c r="AK83" s="51"/>
      <c r="AL83" s="51"/>
      <c r="AM83" s="51"/>
      <c r="AO83" s="51"/>
      <c r="AP83" s="51"/>
      <c r="AQ83" s="51"/>
      <c r="AR83" s="51"/>
      <c r="AT83" s="51"/>
      <c r="AU83" s="51"/>
      <c r="AV83" s="51"/>
      <c r="AW83" s="51"/>
      <c r="AY83" s="51"/>
      <c r="AZ83" s="51"/>
      <c r="BA83" s="51"/>
      <c r="BB83" s="51"/>
      <c r="BD83" s="51"/>
      <c r="BE83" s="51"/>
      <c r="BF83" s="51"/>
      <c r="BG83" s="51"/>
      <c r="BI83" s="51"/>
      <c r="BJ83" s="51"/>
      <c r="BK83" s="51"/>
      <c r="BL83" s="51"/>
      <c r="BN83" s="51"/>
      <c r="BO83" s="51"/>
      <c r="BP83" s="51"/>
      <c r="BQ83" s="51"/>
      <c r="BS83" s="51"/>
      <c r="BT83" s="51"/>
      <c r="BU83" s="51"/>
      <c r="BV83" s="51"/>
      <c r="BX83" s="51"/>
      <c r="BY83" s="51"/>
      <c r="BZ83" s="51"/>
      <c r="CA83" s="51"/>
      <c r="CC83" s="51"/>
      <c r="CD83" s="51"/>
      <c r="CE83" s="51"/>
      <c r="CF83" s="51"/>
      <c r="CH83" s="51"/>
      <c r="CI83" s="51"/>
      <c r="CJ83" s="51"/>
      <c r="CK83" s="51"/>
    </row>
    <row r="84" spans="4:89" hidden="1">
      <c r="E84" s="56"/>
      <c r="F84" s="51"/>
      <c r="G84" s="51"/>
      <c r="H84" s="51"/>
      <c r="I84" s="51"/>
      <c r="J84" s="51"/>
      <c r="K84" s="51"/>
      <c r="L84" s="51"/>
      <c r="M84" s="51"/>
      <c r="N84" s="51"/>
      <c r="O84" s="56"/>
      <c r="P84" s="51"/>
      <c r="Q84" s="51"/>
      <c r="R84" s="51"/>
      <c r="S84" s="51"/>
      <c r="U84" s="51"/>
      <c r="V84" s="51"/>
      <c r="W84" s="51"/>
      <c r="X84" s="51"/>
      <c r="Z84" s="51"/>
      <c r="AA84" s="51"/>
      <c r="AB84" s="51"/>
      <c r="AC84" s="51"/>
      <c r="AE84" s="51"/>
      <c r="AF84" s="51"/>
      <c r="AG84" s="51"/>
      <c r="AH84" s="51"/>
      <c r="AJ84" s="51"/>
      <c r="AK84" s="51"/>
      <c r="AL84" s="51"/>
      <c r="AM84" s="51"/>
      <c r="AO84" s="51"/>
      <c r="AP84" s="51"/>
      <c r="AQ84" s="51"/>
      <c r="AR84" s="51"/>
      <c r="AT84" s="51"/>
      <c r="AU84" s="51"/>
      <c r="AV84" s="51"/>
      <c r="AW84" s="51"/>
      <c r="AY84" s="51"/>
      <c r="AZ84" s="51"/>
      <c r="BA84" s="51"/>
      <c r="BB84" s="51"/>
      <c r="BD84" s="51"/>
      <c r="BE84" s="51"/>
      <c r="BF84" s="51"/>
      <c r="BG84" s="51"/>
      <c r="BI84" s="51"/>
      <c r="BJ84" s="51"/>
      <c r="BK84" s="51"/>
      <c r="BL84" s="51"/>
      <c r="BN84" s="51"/>
      <c r="BO84" s="51"/>
      <c r="BP84" s="51"/>
      <c r="BQ84" s="51"/>
      <c r="BS84" s="51"/>
      <c r="BT84" s="51"/>
      <c r="BU84" s="51"/>
      <c r="BV84" s="51"/>
      <c r="BX84" s="51"/>
      <c r="BY84" s="51"/>
      <c r="BZ84" s="51"/>
      <c r="CA84" s="51"/>
      <c r="CC84" s="51"/>
      <c r="CD84" s="51"/>
      <c r="CE84" s="51"/>
      <c r="CF84" s="51"/>
      <c r="CH84" s="51"/>
      <c r="CI84" s="51"/>
      <c r="CJ84" s="51"/>
      <c r="CK84" s="51"/>
    </row>
    <row r="85" spans="4:89"/>
    <row r="86" spans="4:89"/>
    <row r="87" spans="4:89">
      <c r="D87" s="481"/>
      <c r="E87" s="481"/>
    </row>
    <row r="88" spans="4:89">
      <c r="D88" s="481"/>
      <c r="E88" s="481"/>
    </row>
    <row r="89" spans="4:89"/>
    <row r="90" spans="4:89"/>
  </sheetData>
  <sheetProtection algorithmName="SHA-512" hashValue="NgZTKt5Ij+DmC7t62Dz5u8F5N0wY7A7wqPHbfbIxn7tRGNLg/5zclS1AlnY+qc2FckPpQVrZhdgMMdxUqvD43A==" saltValue="EUTSGVBYLrbXugc6RtHikQ==" spinCount="100000" sheet="1" objects="1" scenarios="1"/>
  <phoneticPr fontId="9" type="noConversion"/>
  <pageMargins left="0.7" right="0.7" top="0.75" bottom="0.75" header="0.3" footer="0.3"/>
  <pageSetup orientation="portrait" horizontalDpi="90" verticalDpi="90" r:id="rId1"/>
  <customProperties>
    <customPr name="SSC_SHEET_GUID" r:id="rId2"/>
  </customProperties>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4E89-3EA8-43B8-AFD0-B34A239A5E55}">
  <sheetPr codeName="Sheet10">
    <tabColor rgb="FF00546E"/>
  </sheetPr>
  <dimension ref="A1:CL39"/>
  <sheetViews>
    <sheetView topLeftCell="A15" workbookViewId="0">
      <selection activeCell="F23" sqref="F23"/>
    </sheetView>
  </sheetViews>
  <sheetFormatPr defaultRowHeight="15"/>
  <cols>
    <col min="1" max="1" width="22.7109375" bestFit="1" customWidth="1"/>
    <col min="2" max="2" width="16.7109375" bestFit="1" customWidth="1"/>
    <col min="3" max="3" width="20.5703125" customWidth="1"/>
    <col min="4" max="4" width="17.140625" customWidth="1"/>
    <col min="5" max="5" width="13.7109375" bestFit="1" customWidth="1"/>
    <col min="6" max="6" width="19.42578125" bestFit="1" customWidth="1"/>
    <col min="7" max="7" width="21.28515625" customWidth="1"/>
    <col min="8" max="8" width="14" customWidth="1"/>
    <col min="9" max="9" width="15.5703125" customWidth="1"/>
  </cols>
  <sheetData>
    <row r="1" spans="1:90" s="74" customFormat="1" ht="15.75">
      <c r="A1" s="74" t="s">
        <v>162</v>
      </c>
      <c r="B1" s="74" t="s">
        <v>164</v>
      </c>
      <c r="C1" s="74" t="s">
        <v>163</v>
      </c>
      <c r="D1" s="74" t="s">
        <v>6</v>
      </c>
      <c r="E1" s="76" t="s">
        <v>168</v>
      </c>
      <c r="F1" s="76" t="s">
        <v>169</v>
      </c>
      <c r="G1" s="76" t="s">
        <v>170</v>
      </c>
      <c r="H1" s="76" t="s">
        <v>171</v>
      </c>
      <c r="I1" s="76" t="s">
        <v>172</v>
      </c>
      <c r="J1" s="76" t="s">
        <v>173</v>
      </c>
      <c r="K1" s="76" t="s">
        <v>174</v>
      </c>
      <c r="L1" s="76" t="s">
        <v>175</v>
      </c>
      <c r="M1" s="76" t="s">
        <v>176</v>
      </c>
      <c r="N1" s="76" t="s">
        <v>177</v>
      </c>
      <c r="O1" s="76" t="s">
        <v>178</v>
      </c>
      <c r="P1" s="76" t="s">
        <v>179</v>
      </c>
      <c r="Q1" s="76" t="s">
        <v>180</v>
      </c>
      <c r="R1" s="76" t="s">
        <v>181</v>
      </c>
      <c r="S1" s="76" t="s">
        <v>182</v>
      </c>
      <c r="T1" s="76" t="s">
        <v>183</v>
      </c>
      <c r="U1" s="76" t="s">
        <v>184</v>
      </c>
      <c r="V1" s="76" t="s">
        <v>185</v>
      </c>
      <c r="W1" s="76" t="s">
        <v>186</v>
      </c>
      <c r="X1" s="76" t="s">
        <v>187</v>
      </c>
      <c r="Y1" s="76" t="s">
        <v>188</v>
      </c>
      <c r="Z1" s="76" t="s">
        <v>189</v>
      </c>
      <c r="AA1" s="76" t="s">
        <v>190</v>
      </c>
      <c r="AB1" s="76" t="s">
        <v>191</v>
      </c>
      <c r="AC1" s="76" t="s">
        <v>192</v>
      </c>
      <c r="AD1" s="76" t="s">
        <v>193</v>
      </c>
      <c r="AE1" s="76" t="s">
        <v>194</v>
      </c>
      <c r="AF1" s="76" t="s">
        <v>195</v>
      </c>
      <c r="AG1" s="76" t="s">
        <v>196</v>
      </c>
      <c r="AH1" s="76" t="s">
        <v>197</v>
      </c>
      <c r="AI1" s="76" t="s">
        <v>198</v>
      </c>
      <c r="AJ1" s="76" t="s">
        <v>199</v>
      </c>
      <c r="AK1" s="76" t="s">
        <v>200</v>
      </c>
      <c r="AL1" s="76" t="s">
        <v>201</v>
      </c>
      <c r="AM1" s="76" t="s">
        <v>202</v>
      </c>
      <c r="AN1" s="76" t="s">
        <v>203</v>
      </c>
      <c r="AO1" s="76" t="s">
        <v>204</v>
      </c>
      <c r="AP1" s="76" t="s">
        <v>205</v>
      </c>
      <c r="AQ1" s="76" t="s">
        <v>206</v>
      </c>
      <c r="AR1" s="76" t="s">
        <v>207</v>
      </c>
      <c r="AS1" s="76" t="s">
        <v>208</v>
      </c>
      <c r="AT1" s="76" t="s">
        <v>209</v>
      </c>
      <c r="AU1" s="76" t="s">
        <v>210</v>
      </c>
      <c r="AV1" s="76" t="s">
        <v>211</v>
      </c>
      <c r="AW1" s="76" t="s">
        <v>212</v>
      </c>
      <c r="AX1" s="76" t="s">
        <v>213</v>
      </c>
      <c r="AY1" s="76" t="s">
        <v>214</v>
      </c>
      <c r="AZ1" s="76" t="s">
        <v>215</v>
      </c>
      <c r="BA1" s="76" t="s">
        <v>216</v>
      </c>
      <c r="BB1" s="76" t="s">
        <v>217</v>
      </c>
      <c r="BC1" s="76" t="s">
        <v>218</v>
      </c>
      <c r="BD1" s="76" t="s">
        <v>219</v>
      </c>
      <c r="BE1" s="76" t="s">
        <v>220</v>
      </c>
      <c r="BF1" s="76" t="s">
        <v>221</v>
      </c>
      <c r="BG1" s="76" t="s">
        <v>222</v>
      </c>
      <c r="BH1" s="76" t="s">
        <v>223</v>
      </c>
      <c r="BI1" s="76" t="s">
        <v>224</v>
      </c>
      <c r="BJ1" s="76" t="s">
        <v>225</v>
      </c>
      <c r="BK1" s="76" t="s">
        <v>226</v>
      </c>
      <c r="BL1" s="76" t="s">
        <v>227</v>
      </c>
      <c r="BM1" s="76" t="s">
        <v>228</v>
      </c>
      <c r="BN1" s="76" t="s">
        <v>229</v>
      </c>
      <c r="BO1" s="76" t="s">
        <v>230</v>
      </c>
      <c r="BP1" s="76" t="s">
        <v>231</v>
      </c>
      <c r="BQ1" s="76" t="s">
        <v>232</v>
      </c>
      <c r="BR1" s="76" t="s">
        <v>233</v>
      </c>
      <c r="BS1" s="76" t="s">
        <v>234</v>
      </c>
      <c r="BT1" s="76" t="s">
        <v>235</v>
      </c>
      <c r="BU1" s="76" t="s">
        <v>236</v>
      </c>
      <c r="BV1" s="76" t="s">
        <v>237</v>
      </c>
      <c r="BW1" s="76" t="s">
        <v>238</v>
      </c>
      <c r="BX1" s="76" t="s">
        <v>239</v>
      </c>
      <c r="BY1" s="76" t="s">
        <v>240</v>
      </c>
      <c r="BZ1" s="76" t="s">
        <v>241</v>
      </c>
      <c r="CA1" s="76" t="s">
        <v>242</v>
      </c>
      <c r="CB1" s="76" t="s">
        <v>243</v>
      </c>
      <c r="CC1" s="76" t="s">
        <v>244</v>
      </c>
      <c r="CD1" s="76" t="s">
        <v>245</v>
      </c>
      <c r="CE1" s="76" t="s">
        <v>246</v>
      </c>
      <c r="CF1" s="76" t="s">
        <v>247</v>
      </c>
      <c r="CG1" s="76" t="s">
        <v>248</v>
      </c>
      <c r="CH1" s="76" t="s">
        <v>249</v>
      </c>
      <c r="CI1" s="76" t="s">
        <v>250</v>
      </c>
      <c r="CJ1" s="76" t="s">
        <v>251</v>
      </c>
      <c r="CK1" s="76" t="s">
        <v>252</v>
      </c>
      <c r="CL1" s="76" t="s">
        <v>253</v>
      </c>
    </row>
    <row r="2" spans="1:90" ht="15.75">
      <c r="A2" s="485" t="s">
        <v>651</v>
      </c>
      <c r="B2" s="486" t="s">
        <v>158</v>
      </c>
      <c r="C2" s="486" t="s">
        <v>153</v>
      </c>
      <c r="D2" s="486" t="s">
        <v>166</v>
      </c>
      <c r="E2" s="487">
        <v>1189.7236448298318</v>
      </c>
      <c r="F2" s="487">
        <v>1147.7539072100469</v>
      </c>
      <c r="G2" s="487">
        <v>1110.5450166318824</v>
      </c>
      <c r="H2" s="487">
        <v>1077.33038068719</v>
      </c>
      <c r="I2" s="487">
        <v>1122.2800466803124</v>
      </c>
      <c r="J2" s="487">
        <v>593.76151539063994</v>
      </c>
      <c r="K2" s="487">
        <v>632.22068946168156</v>
      </c>
      <c r="L2" s="487">
        <v>741.48918119780717</v>
      </c>
      <c r="M2" s="487">
        <v>834.68293745524898</v>
      </c>
      <c r="N2" s="487">
        <v>902.90952717851462</v>
      </c>
      <c r="O2" s="487">
        <v>967.24825289854471</v>
      </c>
      <c r="P2" s="487">
        <v>925.46220505494296</v>
      </c>
      <c r="Q2" s="487">
        <v>885.35697705048278</v>
      </c>
      <c r="R2" s="487">
        <v>846.84804112275697</v>
      </c>
      <c r="S2" s="487">
        <v>809.8445073594703</v>
      </c>
      <c r="T2" s="487">
        <v>773.96788619728056</v>
      </c>
      <c r="U2" s="487">
        <v>723.3428579144113</v>
      </c>
      <c r="V2" s="487">
        <v>674.95283167266689</v>
      </c>
      <c r="W2" s="487">
        <v>628.64534601563412</v>
      </c>
      <c r="X2" s="487">
        <v>584.28942487660083</v>
      </c>
      <c r="Y2" s="487">
        <v>538.52669925358441</v>
      </c>
      <c r="Z2" s="487">
        <v>493.10476254892103</v>
      </c>
      <c r="AA2" s="487">
        <v>448.36998631277874</v>
      </c>
      <c r="AB2" s="487">
        <v>404.34360798657497</v>
      </c>
      <c r="AC2" s="487">
        <v>361.08866741830911</v>
      </c>
      <c r="AD2" s="487">
        <v>318.68994456484904</v>
      </c>
      <c r="AE2" s="487">
        <v>281.50771120611881</v>
      </c>
      <c r="AF2" s="487">
        <v>245.2956860937569</v>
      </c>
      <c r="AG2" s="487">
        <v>210.08069445731962</v>
      </c>
      <c r="AH2" s="487">
        <v>175.85917877142279</v>
      </c>
      <c r="AI2" s="487">
        <v>142.60213359649836</v>
      </c>
      <c r="AJ2" s="487">
        <v>109.98523210207156</v>
      </c>
      <c r="AK2" s="487">
        <v>78.212482483134721</v>
      </c>
      <c r="AL2" s="487">
        <v>47.244620722005763</v>
      </c>
      <c r="AM2" s="487">
        <v>38.944124677508384</v>
      </c>
      <c r="AN2" s="488">
        <v>37.636164147114265</v>
      </c>
    </row>
    <row r="3" spans="1:90" ht="15.75">
      <c r="A3" s="489" t="s">
        <v>651</v>
      </c>
      <c r="B3" s="490" t="s">
        <v>158</v>
      </c>
      <c r="C3" s="490" t="s">
        <v>154</v>
      </c>
      <c r="D3" s="490" t="s">
        <v>166</v>
      </c>
      <c r="E3" s="491">
        <v>617.74112327702801</v>
      </c>
      <c r="F3" s="491">
        <v>595.94914412829348</v>
      </c>
      <c r="G3" s="491">
        <v>576.62914325116969</v>
      </c>
      <c r="H3" s="491">
        <v>559.38308227988705</v>
      </c>
      <c r="I3" s="491">
        <v>582.72233193016223</v>
      </c>
      <c r="J3" s="491">
        <v>308.2992483759092</v>
      </c>
      <c r="K3" s="491">
        <v>328.26843491279612</v>
      </c>
      <c r="L3" s="491">
        <v>385.0039979296306</v>
      </c>
      <c r="M3" s="491">
        <v>433.39306367868693</v>
      </c>
      <c r="N3" s="491">
        <v>468.81840834269019</v>
      </c>
      <c r="O3" s="491">
        <v>502.22505438962895</v>
      </c>
      <c r="P3" s="491">
        <v>480.52845262468185</v>
      </c>
      <c r="Q3" s="491">
        <v>459.70458423775057</v>
      </c>
      <c r="R3" s="491">
        <v>439.70955981373908</v>
      </c>
      <c r="S3" s="491">
        <v>420.49618651357116</v>
      </c>
      <c r="T3" s="491">
        <v>401.86794091012638</v>
      </c>
      <c r="U3" s="491">
        <v>375.5818685324827</v>
      </c>
      <c r="V3" s="491">
        <v>350.45627798388466</v>
      </c>
      <c r="W3" s="491">
        <v>326.41200658504079</v>
      </c>
      <c r="X3" s="491">
        <v>303.3810475320812</v>
      </c>
      <c r="Y3" s="491">
        <v>279.61963230474572</v>
      </c>
      <c r="Z3" s="491">
        <v>256.03516516963202</v>
      </c>
      <c r="AA3" s="491">
        <v>232.80749289317353</v>
      </c>
      <c r="AB3" s="491">
        <v>209.94764260841387</v>
      </c>
      <c r="AC3" s="491">
        <v>187.48834654412204</v>
      </c>
      <c r="AD3" s="491">
        <v>165.47362506251778</v>
      </c>
      <c r="AE3" s="491">
        <v>146.16746543394629</v>
      </c>
      <c r="AF3" s="491">
        <v>127.3650677794507</v>
      </c>
      <c r="AG3" s="491">
        <v>109.08036058360824</v>
      </c>
      <c r="AH3" s="491">
        <v>91.311496669777213</v>
      </c>
      <c r="AI3" s="491">
        <v>74.043415521258751</v>
      </c>
      <c r="AJ3" s="491">
        <v>57.107716668383311</v>
      </c>
      <c r="AK3" s="491">
        <v>40.610327443166099</v>
      </c>
      <c r="AL3" s="491">
        <v>24.530860759502989</v>
      </c>
      <c r="AM3" s="491">
        <v>20.22098781332166</v>
      </c>
      <c r="AN3" s="492">
        <v>19.541854461001638</v>
      </c>
    </row>
    <row r="4" spans="1:90" ht="15.75">
      <c r="A4" s="485" t="s">
        <v>651</v>
      </c>
      <c r="B4" s="486" t="s">
        <v>158</v>
      </c>
      <c r="C4" s="486" t="s">
        <v>112</v>
      </c>
      <c r="D4" s="486" t="s">
        <v>166</v>
      </c>
      <c r="E4" s="487">
        <v>683.29204166542684</v>
      </c>
      <c r="F4" s="487">
        <v>670.34703768087195</v>
      </c>
      <c r="G4" s="487">
        <v>659.04416585138404</v>
      </c>
      <c r="H4" s="487">
        <v>649.08959525762248</v>
      </c>
      <c r="I4" s="487">
        <v>634.61236176591194</v>
      </c>
      <c r="J4" s="487">
        <v>810.38134239576391</v>
      </c>
      <c r="K4" s="487">
        <v>784.59043302613065</v>
      </c>
      <c r="L4" s="487">
        <v>689.39088599664115</v>
      </c>
      <c r="M4" s="487">
        <v>636.11718816552479</v>
      </c>
      <c r="N4" s="487">
        <v>589.8563511079052</v>
      </c>
      <c r="O4" s="487">
        <v>563.42215509190487</v>
      </c>
      <c r="P4" s="487">
        <v>541.9286843130501</v>
      </c>
      <c r="Q4" s="487">
        <v>521.08877202263352</v>
      </c>
      <c r="R4" s="487">
        <v>500.80100022756022</v>
      </c>
      <c r="S4" s="487">
        <v>480.98077255878803</v>
      </c>
      <c r="T4" s="487">
        <v>460.20311513107191</v>
      </c>
      <c r="U4" s="487">
        <v>430.79170046881353</v>
      </c>
      <c r="V4" s="487">
        <v>402.34755994659474</v>
      </c>
      <c r="W4" s="487">
        <v>374.83638659930745</v>
      </c>
      <c r="X4" s="487">
        <v>348.24740024150054</v>
      </c>
      <c r="Y4" s="487">
        <v>315.64290264633536</v>
      </c>
      <c r="Z4" s="487">
        <v>283.96305958473783</v>
      </c>
      <c r="AA4" s="487">
        <v>253.709975822704</v>
      </c>
      <c r="AB4" s="487">
        <v>224.93361288289125</v>
      </c>
      <c r="AC4" s="487">
        <v>197.67233148521848</v>
      </c>
      <c r="AD4" s="487">
        <v>171.92689088621964</v>
      </c>
      <c r="AE4" s="487">
        <v>149.79530249554762</v>
      </c>
      <c r="AF4" s="487">
        <v>128.95785371681438</v>
      </c>
      <c r="AG4" s="487">
        <v>109.31122742753327</v>
      </c>
      <c r="AH4" s="487">
        <v>90.738629448906778</v>
      </c>
      <c r="AI4" s="487">
        <v>73.120796486100161</v>
      </c>
      <c r="AJ4" s="487">
        <v>56.186423239523393</v>
      </c>
      <c r="AK4" s="487">
        <v>40.00572006891133</v>
      </c>
      <c r="AL4" s="487">
        <v>24.495468108512217</v>
      </c>
      <c r="AM4" s="487">
        <v>18.997056521408702</v>
      </c>
      <c r="AN4" s="487">
        <v>16.266041128869425</v>
      </c>
    </row>
    <row r="5" spans="1:90" ht="15.75">
      <c r="A5" s="489" t="s">
        <v>651</v>
      </c>
      <c r="B5" s="490" t="s">
        <v>158</v>
      </c>
      <c r="C5" s="490" t="s">
        <v>155</v>
      </c>
      <c r="D5" s="490" t="s">
        <v>166</v>
      </c>
      <c r="E5" s="491">
        <v>1401.0714773798429</v>
      </c>
      <c r="F5" s="491">
        <v>1374.5281039005874</v>
      </c>
      <c r="G5" s="491">
        <v>1351.3518770939982</v>
      </c>
      <c r="H5" s="491">
        <v>1330.9403047676328</v>
      </c>
      <c r="I5" s="491">
        <v>1301.255136962714</v>
      </c>
      <c r="J5" s="491">
        <v>1661.6645817564513</v>
      </c>
      <c r="K5" s="491">
        <v>1608.7810337417425</v>
      </c>
      <c r="L5" s="491">
        <v>1413.576989395784</v>
      </c>
      <c r="M5" s="491">
        <v>1304.3407419724945</v>
      </c>
      <c r="N5" s="491">
        <v>1209.4841720596201</v>
      </c>
      <c r="O5" s="491">
        <v>1155.2815825267237</v>
      </c>
      <c r="P5" s="491">
        <v>1111.2098137633227</v>
      </c>
      <c r="Q5" s="491">
        <v>1068.4781486468464</v>
      </c>
      <c r="R5" s="491">
        <v>1026.8786323808774</v>
      </c>
      <c r="S5" s="491">
        <v>986.23780244495799</v>
      </c>
      <c r="T5" s="491">
        <v>943.63378920665286</v>
      </c>
      <c r="U5" s="491">
        <v>883.32649498990179</v>
      </c>
      <c r="V5" s="491">
        <v>825.00256970733778</v>
      </c>
      <c r="W5" s="491">
        <v>768.59166787363779</v>
      </c>
      <c r="X5" s="491">
        <v>714.07168501599176</v>
      </c>
      <c r="Y5" s="491">
        <v>647.21706235194904</v>
      </c>
      <c r="Z5" s="491">
        <v>582.25841829502394</v>
      </c>
      <c r="AA5" s="491">
        <v>520.22530481333126</v>
      </c>
      <c r="AB5" s="491">
        <v>461.22016663049334</v>
      </c>
      <c r="AC5" s="491">
        <v>405.32166134421749</v>
      </c>
      <c r="AD5" s="491">
        <v>352.53134578907668</v>
      </c>
      <c r="AE5" s="491">
        <v>307.15113447020349</v>
      </c>
      <c r="AF5" s="491">
        <v>264.4245207164584</v>
      </c>
      <c r="AG5" s="491">
        <v>224.13965561900861</v>
      </c>
      <c r="AH5" s="491">
        <v>186.05705593692781</v>
      </c>
      <c r="AI5" s="491">
        <v>149.93217557498562</v>
      </c>
      <c r="AJ5" s="491">
        <v>115.20871050249102</v>
      </c>
      <c r="AK5" s="491">
        <v>82.030625124768079</v>
      </c>
      <c r="AL5" s="491">
        <v>50.227281453848306</v>
      </c>
      <c r="AM5" s="491">
        <v>38.95294021198491</v>
      </c>
      <c r="AN5" s="491">
        <v>33.353068506402145</v>
      </c>
    </row>
    <row r="6" spans="1:90" ht="15.75">
      <c r="A6" s="485" t="s">
        <v>651</v>
      </c>
      <c r="B6" s="486" t="s">
        <v>158</v>
      </c>
      <c r="C6" s="486" t="s">
        <v>156</v>
      </c>
      <c r="D6" s="486" t="s">
        <v>166</v>
      </c>
      <c r="E6" s="487">
        <v>1096.0396793216892</v>
      </c>
      <c r="F6" s="487">
        <v>1075.2751494415108</v>
      </c>
      <c r="G6" s="487">
        <v>1057.1446938529884</v>
      </c>
      <c r="H6" s="487">
        <v>1041.1769908854865</v>
      </c>
      <c r="I6" s="487">
        <v>1017.9546768730996</v>
      </c>
      <c r="J6" s="487">
        <v>1299.8982169949581</v>
      </c>
      <c r="K6" s="487">
        <v>1258.5281170798344</v>
      </c>
      <c r="L6" s="487">
        <v>1105.8225759126171</v>
      </c>
      <c r="M6" s="487">
        <v>1020.368504846928</v>
      </c>
      <c r="N6" s="487">
        <v>946.16346524160326</v>
      </c>
      <c r="O6" s="487">
        <v>903.76149659890359</v>
      </c>
      <c r="P6" s="487">
        <v>869.28473500433302</v>
      </c>
      <c r="Q6" s="487">
        <v>835.8563187619784</v>
      </c>
      <c r="R6" s="487">
        <v>803.31356758603022</v>
      </c>
      <c r="S6" s="487">
        <v>771.52078404179986</v>
      </c>
      <c r="T6" s="487">
        <v>738.19222817478931</v>
      </c>
      <c r="U6" s="487">
        <v>691.01462982862972</v>
      </c>
      <c r="V6" s="487">
        <v>645.38859475793447</v>
      </c>
      <c r="W6" s="487">
        <v>601.25909262026914</v>
      </c>
      <c r="X6" s="487">
        <v>558.60883137901624</v>
      </c>
      <c r="Y6" s="487">
        <v>506.30934461556944</v>
      </c>
      <c r="Z6" s="487">
        <v>455.49305683097293</v>
      </c>
      <c r="AA6" s="487">
        <v>406.9653729079867</v>
      </c>
      <c r="AB6" s="487">
        <v>360.8064339984648</v>
      </c>
      <c r="AC6" s="487">
        <v>317.07777290038342</v>
      </c>
      <c r="AD6" s="487">
        <v>275.78060750483019</v>
      </c>
      <c r="AE6" s="487">
        <v>240.28026861098257</v>
      </c>
      <c r="AF6" s="487">
        <v>206.85580398285825</v>
      </c>
      <c r="AG6" s="487">
        <v>175.34148702202853</v>
      </c>
      <c r="AH6" s="487">
        <v>145.54997315769481</v>
      </c>
      <c r="AI6" s="487">
        <v>117.28995721512264</v>
      </c>
      <c r="AJ6" s="487">
        <v>90.126249911503777</v>
      </c>
      <c r="AK6" s="487">
        <v>64.17147269634512</v>
      </c>
      <c r="AL6" s="487">
        <v>39.292137729352461</v>
      </c>
      <c r="AM6" s="487">
        <v>30.472369745491687</v>
      </c>
      <c r="AN6" s="487">
        <v>26.091664201540663</v>
      </c>
    </row>
    <row r="7" spans="1:90" ht="15.75">
      <c r="A7" s="493" t="s">
        <v>651</v>
      </c>
      <c r="B7" s="494" t="s">
        <v>158</v>
      </c>
      <c r="C7" s="494" t="s">
        <v>3</v>
      </c>
      <c r="D7" s="494" t="s">
        <v>166</v>
      </c>
      <c r="E7" s="495">
        <v>1055.7608253838434</v>
      </c>
      <c r="F7" s="495">
        <v>1034.7505047313637</v>
      </c>
      <c r="G7" s="495">
        <v>1016.3693830394336</v>
      </c>
      <c r="H7" s="495">
        <v>1000.1530003816767</v>
      </c>
      <c r="I7" s="495">
        <v>990.79806302009627</v>
      </c>
      <c r="J7" s="495">
        <v>1096.0553472721358</v>
      </c>
      <c r="K7" s="495">
        <v>1081.7307507026849</v>
      </c>
      <c r="L7" s="495">
        <v>1003.1206240659409</v>
      </c>
      <c r="M7" s="495">
        <v>954.17726492504653</v>
      </c>
      <c r="N7" s="495">
        <v>903.01800724338057</v>
      </c>
      <c r="O7" s="495">
        <v>874.32921562633157</v>
      </c>
      <c r="P7" s="495">
        <v>840.09118791587412</v>
      </c>
      <c r="Q7" s="495">
        <v>806.93468521967282</v>
      </c>
      <c r="R7" s="495">
        <v>774.70805598289655</v>
      </c>
      <c r="S7" s="495">
        <v>743.2840709889291</v>
      </c>
      <c r="T7" s="495">
        <v>710.60448966646311</v>
      </c>
      <c r="U7" s="495">
        <v>664.59923146790152</v>
      </c>
      <c r="V7" s="495">
        <v>620.19079521153435</v>
      </c>
      <c r="W7" s="495">
        <v>577.3205791140781</v>
      </c>
      <c r="X7" s="495">
        <v>535.96397665315942</v>
      </c>
      <c r="Y7" s="495">
        <v>486.02602708547118</v>
      </c>
      <c r="Z7" s="495">
        <v>437.51775976993872</v>
      </c>
      <c r="AA7" s="495">
        <v>391.1646586549391</v>
      </c>
      <c r="AB7" s="495">
        <v>347.03070746703281</v>
      </c>
      <c r="AC7" s="495">
        <v>305.16545380474156</v>
      </c>
      <c r="AD7" s="495">
        <v>265.56662767176977</v>
      </c>
      <c r="AE7" s="495">
        <v>231.50027118102449</v>
      </c>
      <c r="AF7" s="495">
        <v>199.37587093376467</v>
      </c>
      <c r="AG7" s="495">
        <v>169.04358048505401</v>
      </c>
      <c r="AH7" s="495">
        <v>140.33357298721896</v>
      </c>
      <c r="AI7" s="495">
        <v>113.07180039557635</v>
      </c>
      <c r="AJ7" s="495">
        <v>86.850810293534778</v>
      </c>
      <c r="AK7" s="495">
        <v>61.780222323792017</v>
      </c>
      <c r="AL7" s="495">
        <v>37.737954803344536</v>
      </c>
      <c r="AM7" s="495">
        <v>29.456669113964765</v>
      </c>
      <c r="AN7" s="495">
        <v>25.608380742536831</v>
      </c>
    </row>
    <row r="8" spans="1:90" ht="15.75">
      <c r="A8" s="496" t="s">
        <v>644</v>
      </c>
      <c r="B8" s="496" t="s">
        <v>158</v>
      </c>
      <c r="C8" s="496" t="s">
        <v>153</v>
      </c>
      <c r="D8" s="496" t="s">
        <v>166</v>
      </c>
      <c r="E8" s="496">
        <v>1189.7236448298318</v>
      </c>
      <c r="F8" s="496">
        <v>1147.7539072100469</v>
      </c>
      <c r="G8" s="496">
        <v>1110.5450166318824</v>
      </c>
      <c r="H8" s="496">
        <v>1077.33038068719</v>
      </c>
      <c r="I8" s="496">
        <v>1126.5819082910111</v>
      </c>
      <c r="J8" s="496">
        <v>1086.7748233056914</v>
      </c>
      <c r="K8" s="496">
        <v>1049.3972023676399</v>
      </c>
      <c r="L8" s="496">
        <v>1014.2332226786245</v>
      </c>
      <c r="M8" s="496">
        <v>981.09188987648861</v>
      </c>
      <c r="N8" s="496">
        <v>949.80356749347379</v>
      </c>
      <c r="O8" s="496">
        <v>920.21707272137542</v>
      </c>
      <c r="P8" s="496">
        <v>892.19723352933408</v>
      </c>
      <c r="Q8" s="496">
        <v>865.62282383667934</v>
      </c>
      <c r="R8" s="496">
        <v>840.38481019903247</v>
      </c>
      <c r="S8" s="496">
        <v>816.38485652275381</v>
      </c>
      <c r="T8" s="496">
        <v>793.53404356649946</v>
      </c>
      <c r="U8" s="496">
        <v>762.06105516600064</v>
      </c>
      <c r="V8" s="496">
        <v>732.38961079420869</v>
      </c>
      <c r="W8" s="496">
        <v>704.36933121594609</v>
      </c>
      <c r="X8" s="496">
        <v>677.86612080955945</v>
      </c>
      <c r="Y8" s="496">
        <v>652.76002159871678</v>
      </c>
      <c r="Z8" s="496">
        <v>628.94339794172356</v>
      </c>
      <c r="AA8" s="496">
        <v>606.31939392639492</v>
      </c>
      <c r="AB8" s="496">
        <v>584.80061684277905</v>
      </c>
      <c r="AC8" s="496">
        <v>564.30800900019346</v>
      </c>
      <c r="AD8" s="496">
        <v>544.76987718505256</v>
      </c>
      <c r="AE8" s="496">
        <v>525.21444475162878</v>
      </c>
      <c r="AF8" s="496">
        <v>506.84706698792417</v>
      </c>
      <c r="AG8" s="496">
        <v>489.56266857818724</v>
      </c>
      <c r="AH8" s="496">
        <v>473.26821029480686</v>
      </c>
      <c r="AI8" s="496">
        <v>457.88101360041605</v>
      </c>
      <c r="AJ8" s="496">
        <v>443.32735752418881</v>
      </c>
      <c r="AK8" s="496">
        <v>429.54129755086836</v>
      </c>
      <c r="AL8" s="496">
        <v>416.46366659225902</v>
      </c>
      <c r="AM8" s="496">
        <v>404.04122611297277</v>
      </c>
      <c r="AN8" s="496">
        <v>392.22594172427398</v>
      </c>
    </row>
    <row r="9" spans="1:90" ht="15.75">
      <c r="A9" s="496" t="s">
        <v>644</v>
      </c>
      <c r="B9" s="496" t="s">
        <v>158</v>
      </c>
      <c r="C9" s="496" t="s">
        <v>154</v>
      </c>
      <c r="D9" s="496" t="s">
        <v>166</v>
      </c>
      <c r="E9" s="496">
        <v>617.74112327702801</v>
      </c>
      <c r="F9" s="496">
        <v>595.94914412829348</v>
      </c>
      <c r="G9" s="496">
        <v>576.62914325116969</v>
      </c>
      <c r="H9" s="496">
        <v>559.38308227988705</v>
      </c>
      <c r="I9" s="496">
        <v>584.95599084340938</v>
      </c>
      <c r="J9" s="496">
        <v>564.28692748564731</v>
      </c>
      <c r="K9" s="496">
        <v>544.87931661396669</v>
      </c>
      <c r="L9" s="496">
        <v>526.62109639082416</v>
      </c>
      <c r="M9" s="496">
        <v>509.41309666663813</v>
      </c>
      <c r="N9" s="496">
        <v>493.16723696776518</v>
      </c>
      <c r="O9" s="496">
        <v>477.80501852840638</v>
      </c>
      <c r="P9" s="496">
        <v>463.25625587100029</v>
      </c>
      <c r="Q9" s="496">
        <v>449.45800468442951</v>
      </c>
      <c r="R9" s="496">
        <v>436.35365144949753</v>
      </c>
      <c r="S9" s="496">
        <v>423.89213704066054</v>
      </c>
      <c r="T9" s="496">
        <v>412.02729185183631</v>
      </c>
      <c r="U9" s="496">
        <v>395.68554787465416</v>
      </c>
      <c r="V9" s="496">
        <v>380.2792209893006</v>
      </c>
      <c r="W9" s="496">
        <v>365.73022966981813</v>
      </c>
      <c r="X9" s="496">
        <v>351.9689473434251</v>
      </c>
      <c r="Y9" s="496">
        <v>338.93308813779521</v>
      </c>
      <c r="Z9" s="496">
        <v>326.56676431589489</v>
      </c>
      <c r="AA9" s="496">
        <v>314.81968530793569</v>
      </c>
      <c r="AB9" s="496">
        <v>303.64647412990445</v>
      </c>
      <c r="AC9" s="496">
        <v>293.00608159625432</v>
      </c>
      <c r="AD9" s="496">
        <v>282.86128238454643</v>
      </c>
      <c r="AE9" s="496">
        <v>272.70750015949955</v>
      </c>
      <c r="AF9" s="496">
        <v>263.17059247449896</v>
      </c>
      <c r="AG9" s="496">
        <v>254.19600099252031</v>
      </c>
      <c r="AH9" s="496">
        <v>245.73541688384202</v>
      </c>
      <c r="AI9" s="496">
        <v>237.7459109079083</v>
      </c>
      <c r="AJ9" s="496">
        <v>230.1892048683288</v>
      </c>
      <c r="AK9" s="496">
        <v>223.03105834372005</v>
      </c>
      <c r="AL9" s="496">
        <v>216.24074996136525</v>
      </c>
      <c r="AM9" s="496">
        <v>209.79063663558199</v>
      </c>
      <c r="AN9" s="496">
        <v>203.65577743375763</v>
      </c>
    </row>
    <row r="10" spans="1:90" ht="15.75">
      <c r="A10" s="496" t="s">
        <v>644</v>
      </c>
      <c r="B10" s="496" t="s">
        <v>158</v>
      </c>
      <c r="C10" s="496" t="s">
        <v>112</v>
      </c>
      <c r="D10" s="496" t="s">
        <v>166</v>
      </c>
      <c r="E10" s="496">
        <v>683.29204166542684</v>
      </c>
      <c r="F10" s="496">
        <v>670.34703768087195</v>
      </c>
      <c r="G10" s="496">
        <v>659.04416585138404</v>
      </c>
      <c r="H10" s="496">
        <v>649.08959525762248</v>
      </c>
      <c r="I10" s="496">
        <v>635.54538040104273</v>
      </c>
      <c r="J10" s="496">
        <v>613.08877180164723</v>
      </c>
      <c r="K10" s="496">
        <v>592.00271126513837</v>
      </c>
      <c r="L10" s="496">
        <v>572.16544538735434</v>
      </c>
      <c r="M10" s="496">
        <v>553.46922737806392</v>
      </c>
      <c r="N10" s="496">
        <v>535.81835920356218</v>
      </c>
      <c r="O10" s="496">
        <v>519.12755320332121</v>
      </c>
      <c r="P10" s="496">
        <v>503.32055397226071</v>
      </c>
      <c r="Q10" s="496">
        <v>488.32897351747442</v>
      </c>
      <c r="R10" s="496">
        <v>474.09130215078557</v>
      </c>
      <c r="S10" s="496">
        <v>460.5520649443792</v>
      </c>
      <c r="T10" s="496">
        <v>447.66109935556875</v>
      </c>
      <c r="U10" s="496">
        <v>429.90605443771096</v>
      </c>
      <c r="V10" s="496">
        <v>413.16732531243605</v>
      </c>
      <c r="W10" s="496">
        <v>397.36007764366701</v>
      </c>
      <c r="X10" s="496">
        <v>382.40866326747863</v>
      </c>
      <c r="Y10" s="496">
        <v>368.24540957423739</v>
      </c>
      <c r="Z10" s="496">
        <v>354.80959542654352</v>
      </c>
      <c r="AA10" s="496">
        <v>342.0465809201873</v>
      </c>
      <c r="AB10" s="496">
        <v>329.90706468375299</v>
      </c>
      <c r="AC10" s="496">
        <v>318.34644743002622</v>
      </c>
      <c r="AD10" s="496">
        <v>307.32428443824142</v>
      </c>
      <c r="AE10" s="496">
        <v>296.2923615453376</v>
      </c>
      <c r="AF10" s="496">
        <v>285.93066302888315</v>
      </c>
      <c r="AG10" s="496">
        <v>276.1799121234443</v>
      </c>
      <c r="AH10" s="496">
        <v>266.98762205387493</v>
      </c>
      <c r="AI10" s="496">
        <v>258.30715088309489</v>
      </c>
      <c r="AJ10" s="496">
        <v>250.09690995953636</v>
      </c>
      <c r="AK10" s="496">
        <v>242.31969760995534</v>
      </c>
      <c r="AL10" s="496">
        <v>234.94213555151424</v>
      </c>
      <c r="AM10" s="496">
        <v>227.93419001127921</v>
      </c>
      <c r="AN10" s="496">
        <v>221.26876306264916</v>
      </c>
    </row>
    <row r="11" spans="1:90" ht="15.75">
      <c r="A11" s="496" t="s">
        <v>644</v>
      </c>
      <c r="B11" s="496" t="s">
        <v>158</v>
      </c>
      <c r="C11" s="496" t="s">
        <v>155</v>
      </c>
      <c r="D11" s="496" t="s">
        <v>166</v>
      </c>
      <c r="E11" s="496">
        <v>1401.0714773798429</v>
      </c>
      <c r="F11" s="496">
        <v>1374.5281039005874</v>
      </c>
      <c r="G11" s="496">
        <v>1351.3518770939982</v>
      </c>
      <c r="H11" s="496">
        <v>1330.9403047676328</v>
      </c>
      <c r="I11" s="496">
        <v>1303.1682659292971</v>
      </c>
      <c r="J11" s="496">
        <v>1257.1216096407081</v>
      </c>
      <c r="K11" s="496">
        <v>1213.8852243375802</v>
      </c>
      <c r="L11" s="496">
        <v>1173.2094580242172</v>
      </c>
      <c r="M11" s="496">
        <v>1134.8733788803036</v>
      </c>
      <c r="N11" s="496">
        <v>1098.6807607283199</v>
      </c>
      <c r="O11" s="496">
        <v>1064.4567235736938</v>
      </c>
      <c r="P11" s="496">
        <v>1032.0449078124209</v>
      </c>
      <c r="Q11" s="496">
        <v>1001.3050857520744</v>
      </c>
      <c r="R11" s="496">
        <v>972.11113347428238</v>
      </c>
      <c r="S11" s="496">
        <v>944.34930117027864</v>
      </c>
      <c r="T11" s="496">
        <v>917.91673193041765</v>
      </c>
      <c r="U11" s="496">
        <v>881.51050224072799</v>
      </c>
      <c r="V11" s="496">
        <v>847.18820004056101</v>
      </c>
      <c r="W11" s="496">
        <v>814.77587486462153</v>
      </c>
      <c r="X11" s="496">
        <v>784.11841224013858</v>
      </c>
      <c r="Y11" s="496">
        <v>755.07705134834669</v>
      </c>
      <c r="Z11" s="496">
        <v>727.52728517248397</v>
      </c>
      <c r="AA11" s="496">
        <v>701.35707609664519</v>
      </c>
      <c r="AB11" s="496">
        <v>676.46533301911381</v>
      </c>
      <c r="AC11" s="496">
        <v>652.76060633208351</v>
      </c>
      <c r="AD11" s="496">
        <v>630.15996525161449</v>
      </c>
      <c r="AE11" s="496">
        <v>607.53931176320509</v>
      </c>
      <c r="AF11" s="496">
        <v>586.2929348652259</v>
      </c>
      <c r="AG11" s="496">
        <v>566.2992891857765</v>
      </c>
      <c r="AH11" s="496">
        <v>547.4507520406861</v>
      </c>
      <c r="AI11" s="496">
        <v>529.65168542496065</v>
      </c>
      <c r="AJ11" s="496">
        <v>512.81681295611509</v>
      </c>
      <c r="AK11" s="496">
        <v>496.86985362966698</v>
      </c>
      <c r="AL11" s="496">
        <v>481.74236619766373</v>
      </c>
      <c r="AM11" s="496">
        <v>467.37276723742553</v>
      </c>
      <c r="AN11" s="496">
        <v>453.70549319816877</v>
      </c>
    </row>
    <row r="12" spans="1:90" ht="15.75">
      <c r="A12" s="496" t="s">
        <v>644</v>
      </c>
      <c r="B12" s="496" t="s">
        <v>158</v>
      </c>
      <c r="C12" s="496" t="s">
        <v>156</v>
      </c>
      <c r="D12" s="496" t="s">
        <v>166</v>
      </c>
      <c r="E12" s="496">
        <v>1096.0396793216892</v>
      </c>
      <c r="F12" s="496">
        <v>1075.2751494415108</v>
      </c>
      <c r="G12" s="496">
        <v>1057.1446938529884</v>
      </c>
      <c r="H12" s="496">
        <v>1041.1769908854865</v>
      </c>
      <c r="I12" s="496">
        <v>1019.4512923512447</v>
      </c>
      <c r="J12" s="496">
        <v>983.42960237525313</v>
      </c>
      <c r="K12" s="496">
        <v>949.60635020878146</v>
      </c>
      <c r="L12" s="496">
        <v>917.7862363987166</v>
      </c>
      <c r="M12" s="496">
        <v>887.79642890515197</v>
      </c>
      <c r="N12" s="496">
        <v>859.48342258566197</v>
      </c>
      <c r="O12" s="496">
        <v>832.71041113431227</v>
      </c>
      <c r="P12" s="496">
        <v>807.3550765016679</v>
      </c>
      <c r="Q12" s="496">
        <v>783.30772041928174</v>
      </c>
      <c r="R12" s="496">
        <v>760.46967781454384</v>
      </c>
      <c r="S12" s="496">
        <v>738.75196371706863</v>
      </c>
      <c r="T12" s="496">
        <v>718.07411452732924</v>
      </c>
      <c r="U12" s="496">
        <v>689.59400272816458</v>
      </c>
      <c r="V12" s="496">
        <v>662.74411983182267</v>
      </c>
      <c r="W12" s="496">
        <v>637.38838669082486</v>
      </c>
      <c r="X12" s="496">
        <v>613.40545930542567</v>
      </c>
      <c r="Y12" s="496">
        <v>590.68678692303445</v>
      </c>
      <c r="Z12" s="496">
        <v>569.13496935177886</v>
      </c>
      <c r="AA12" s="496">
        <v>548.6623610470939</v>
      </c>
      <c r="AB12" s="496">
        <v>529.18987977763265</v>
      </c>
      <c r="AC12" s="496">
        <v>510.64598572516871</v>
      </c>
      <c r="AD12" s="496">
        <v>492.96580323467435</v>
      </c>
      <c r="AE12" s="496">
        <v>475.26996530223084</v>
      </c>
      <c r="AF12" s="496">
        <v>458.64920576356826</v>
      </c>
      <c r="AG12" s="496">
        <v>443.00844128240391</v>
      </c>
      <c r="AH12" s="496">
        <v>428.2634800568552</v>
      </c>
      <c r="AI12" s="496">
        <v>414.33950574099231</v>
      </c>
      <c r="AJ12" s="496">
        <v>401.16980774908001</v>
      </c>
      <c r="AK12" s="496">
        <v>388.69471246057765</v>
      </c>
      <c r="AL12" s="496">
        <v>376.86067919275132</v>
      </c>
      <c r="AM12" s="496">
        <v>365.6195320488423</v>
      </c>
      <c r="AN12" s="496">
        <v>354.92780439822843</v>
      </c>
    </row>
    <row r="13" spans="1:90" ht="15.75">
      <c r="A13" s="497" t="s">
        <v>644</v>
      </c>
      <c r="B13" s="497" t="s">
        <v>158</v>
      </c>
      <c r="C13" s="497" t="s">
        <v>3</v>
      </c>
      <c r="D13" s="497" t="s">
        <v>166</v>
      </c>
      <c r="E13" s="497">
        <v>1055.7608253838434</v>
      </c>
      <c r="F13" s="497">
        <v>1034.7505047313637</v>
      </c>
      <c r="G13" s="497">
        <v>1016.3693830394336</v>
      </c>
      <c r="H13" s="497">
        <v>1000.1530003816767</v>
      </c>
      <c r="I13" s="497">
        <v>990.42964757307641</v>
      </c>
      <c r="J13" s="497">
        <v>955.43341972424662</v>
      </c>
      <c r="K13" s="497">
        <v>922.57304476140666</v>
      </c>
      <c r="L13" s="497">
        <v>891.65878299814892</v>
      </c>
      <c r="M13" s="497">
        <v>862.52272256103902</v>
      </c>
      <c r="N13" s="497">
        <v>835.01572827779955</v>
      </c>
      <c r="O13" s="497">
        <v>809.00488843171695</v>
      </c>
      <c r="P13" s="497">
        <v>784.37136711223548</v>
      </c>
      <c r="Q13" s="497">
        <v>761.00858893103339</v>
      </c>
      <c r="R13" s="497">
        <v>738.82069760363083</v>
      </c>
      <c r="S13" s="497">
        <v>717.72124137552078</v>
      </c>
      <c r="T13" s="497">
        <v>697.6320472774604</v>
      </c>
      <c r="U13" s="497">
        <v>669.962704657833</v>
      </c>
      <c r="V13" s="497">
        <v>643.87718173591998</v>
      </c>
      <c r="W13" s="497">
        <v>619.24327325278375</v>
      </c>
      <c r="X13" s="497">
        <v>595.94308961840204</v>
      </c>
      <c r="Y13" s="497">
        <v>573.87117029293506</v>
      </c>
      <c r="Z13" s="497">
        <v>552.93288786413268</v>
      </c>
      <c r="AA13" s="497">
        <v>533.04309187265869</v>
      </c>
      <c r="AB13" s="497">
        <v>514.12495139278872</v>
      </c>
      <c r="AC13" s="497">
        <v>496.10896319520225</v>
      </c>
      <c r="AD13" s="497">
        <v>478.9320984989979</v>
      </c>
      <c r="AE13" s="497">
        <v>461.74002403851284</v>
      </c>
      <c r="AF13" s="497">
        <v>445.59242273986973</v>
      </c>
      <c r="AG13" s="497">
        <v>430.39691809037856</v>
      </c>
      <c r="AH13" s="497">
        <v>416.07171505255923</v>
      </c>
      <c r="AI13" s="497">
        <v>402.54412714527439</v>
      </c>
      <c r="AJ13" s="497">
        <v>389.74934289355213</v>
      </c>
      <c r="AK13" s="497">
        <v>377.62938745994336</v>
      </c>
      <c r="AL13" s="497">
        <v>366.13224435290124</v>
      </c>
      <c r="AM13" s="497">
        <v>355.21110914262493</v>
      </c>
      <c r="AN13" s="497">
        <v>344.8237526024987</v>
      </c>
    </row>
    <row r="15" spans="1:90" ht="15.75">
      <c r="A15" t="s">
        <v>664</v>
      </c>
      <c r="B15" s="486" t="s">
        <v>158</v>
      </c>
      <c r="C15" s="486" t="s">
        <v>153</v>
      </c>
      <c r="D15" s="498" t="s">
        <v>166</v>
      </c>
      <c r="E15" s="496">
        <f t="shared" ref="E15:L15" si="0">E8</f>
        <v>1189.7236448298318</v>
      </c>
      <c r="F15" s="496">
        <f t="shared" si="0"/>
        <v>1147.7539072100469</v>
      </c>
      <c r="G15" s="496">
        <f t="shared" si="0"/>
        <v>1110.5450166318824</v>
      </c>
      <c r="H15" s="496">
        <f t="shared" si="0"/>
        <v>1077.33038068719</v>
      </c>
      <c r="I15" s="496">
        <f t="shared" si="0"/>
        <v>1126.5819082910111</v>
      </c>
      <c r="J15" s="496">
        <f t="shared" si="0"/>
        <v>1086.7748233056914</v>
      </c>
      <c r="K15" s="496">
        <f t="shared" si="0"/>
        <v>1049.3972023676399</v>
      </c>
      <c r="L15" s="496">
        <f t="shared" si="0"/>
        <v>1014.2332226786245</v>
      </c>
      <c r="M15" s="496">
        <f>M8</f>
        <v>981.09188987648861</v>
      </c>
      <c r="N15" s="496">
        <f t="shared" ref="N15:U15" si="1">N8</f>
        <v>949.80356749347379</v>
      </c>
      <c r="O15" s="496">
        <f t="shared" si="1"/>
        <v>920.21707272137542</v>
      </c>
      <c r="P15" s="496">
        <f t="shared" si="1"/>
        <v>892.19723352933408</v>
      </c>
      <c r="Q15" s="496">
        <f t="shared" si="1"/>
        <v>865.62282383667934</v>
      </c>
      <c r="R15" s="496">
        <f t="shared" si="1"/>
        <v>840.38481019903247</v>
      </c>
      <c r="S15" s="496">
        <f t="shared" si="1"/>
        <v>816.38485652275381</v>
      </c>
      <c r="T15" s="496">
        <f t="shared" si="1"/>
        <v>793.53404356649946</v>
      </c>
      <c r="U15" s="496">
        <f t="shared" si="1"/>
        <v>762.06105516600064</v>
      </c>
      <c r="V15" s="496">
        <f>+V2</f>
        <v>674.95283167266689</v>
      </c>
      <c r="W15" s="496">
        <f>+W2</f>
        <v>628.64534601563412</v>
      </c>
      <c r="X15" s="496">
        <f t="shared" ref="X15:AN20" si="2">+X2</f>
        <v>584.28942487660083</v>
      </c>
      <c r="Y15" s="496">
        <f t="shared" si="2"/>
        <v>538.52669925358441</v>
      </c>
      <c r="Z15" s="496">
        <f t="shared" si="2"/>
        <v>493.10476254892103</v>
      </c>
      <c r="AA15" s="496">
        <f t="shared" si="2"/>
        <v>448.36998631277874</v>
      </c>
      <c r="AB15" s="496">
        <f t="shared" si="2"/>
        <v>404.34360798657497</v>
      </c>
      <c r="AC15" s="496">
        <f t="shared" si="2"/>
        <v>361.08866741830911</v>
      </c>
      <c r="AD15" s="496">
        <f t="shared" si="2"/>
        <v>318.68994456484904</v>
      </c>
      <c r="AE15" s="496">
        <f t="shared" si="2"/>
        <v>281.50771120611881</v>
      </c>
      <c r="AF15" s="496">
        <f t="shared" si="2"/>
        <v>245.2956860937569</v>
      </c>
      <c r="AG15" s="496">
        <f t="shared" si="2"/>
        <v>210.08069445731962</v>
      </c>
      <c r="AH15" s="496">
        <f t="shared" si="2"/>
        <v>175.85917877142279</v>
      </c>
      <c r="AI15" s="496">
        <f t="shared" si="2"/>
        <v>142.60213359649836</v>
      </c>
      <c r="AJ15" s="496">
        <f t="shared" si="2"/>
        <v>109.98523210207156</v>
      </c>
      <c r="AK15" s="496">
        <f t="shared" si="2"/>
        <v>78.212482483134721</v>
      </c>
      <c r="AL15" s="496">
        <f t="shared" si="2"/>
        <v>47.244620722005763</v>
      </c>
      <c r="AM15" s="496">
        <f t="shared" si="2"/>
        <v>38.944124677508384</v>
      </c>
      <c r="AN15" s="496">
        <f t="shared" si="2"/>
        <v>37.636164147114265</v>
      </c>
    </row>
    <row r="16" spans="1:90" ht="15.75">
      <c r="A16" t="s">
        <v>664</v>
      </c>
      <c r="B16" s="490" t="s">
        <v>158</v>
      </c>
      <c r="C16" s="490" t="s">
        <v>154</v>
      </c>
      <c r="D16" s="499" t="s">
        <v>166</v>
      </c>
      <c r="E16" s="496">
        <f t="shared" ref="E16:L16" si="3">E9</f>
        <v>617.74112327702801</v>
      </c>
      <c r="F16" s="496">
        <f t="shared" si="3"/>
        <v>595.94914412829348</v>
      </c>
      <c r="G16" s="496">
        <f t="shared" si="3"/>
        <v>576.62914325116969</v>
      </c>
      <c r="H16" s="496">
        <f t="shared" si="3"/>
        <v>559.38308227988705</v>
      </c>
      <c r="I16" s="496">
        <f t="shared" si="3"/>
        <v>584.95599084340938</v>
      </c>
      <c r="J16" s="496">
        <f t="shared" si="3"/>
        <v>564.28692748564731</v>
      </c>
      <c r="K16" s="496">
        <f t="shared" si="3"/>
        <v>544.87931661396669</v>
      </c>
      <c r="L16" s="496">
        <f t="shared" si="3"/>
        <v>526.62109639082416</v>
      </c>
      <c r="M16" s="496">
        <f t="shared" ref="M16" si="4">M9</f>
        <v>509.41309666663813</v>
      </c>
      <c r="N16" s="496">
        <f t="shared" ref="N16:U16" si="5">N9</f>
        <v>493.16723696776518</v>
      </c>
      <c r="O16" s="496">
        <f t="shared" si="5"/>
        <v>477.80501852840638</v>
      </c>
      <c r="P16" s="496">
        <f t="shared" si="5"/>
        <v>463.25625587100029</v>
      </c>
      <c r="Q16" s="496">
        <f t="shared" si="5"/>
        <v>449.45800468442951</v>
      </c>
      <c r="R16" s="496">
        <f t="shared" si="5"/>
        <v>436.35365144949753</v>
      </c>
      <c r="S16" s="496">
        <f t="shared" si="5"/>
        <v>423.89213704066054</v>
      </c>
      <c r="T16" s="496">
        <f t="shared" si="5"/>
        <v>412.02729185183631</v>
      </c>
      <c r="U16" s="496">
        <f t="shared" si="5"/>
        <v>395.68554787465416</v>
      </c>
      <c r="V16" s="496">
        <f t="shared" ref="V16" si="6">+V3</f>
        <v>350.45627798388466</v>
      </c>
      <c r="W16" s="496">
        <f t="shared" ref="W16:AL20" si="7">+W3</f>
        <v>326.41200658504079</v>
      </c>
      <c r="X16" s="496">
        <f t="shared" si="7"/>
        <v>303.3810475320812</v>
      </c>
      <c r="Y16" s="496">
        <f t="shared" si="7"/>
        <v>279.61963230474572</v>
      </c>
      <c r="Z16" s="496">
        <f t="shared" si="7"/>
        <v>256.03516516963202</v>
      </c>
      <c r="AA16" s="496">
        <f t="shared" si="7"/>
        <v>232.80749289317353</v>
      </c>
      <c r="AB16" s="496">
        <f t="shared" si="7"/>
        <v>209.94764260841387</v>
      </c>
      <c r="AC16" s="496">
        <f t="shared" si="7"/>
        <v>187.48834654412204</v>
      </c>
      <c r="AD16" s="496">
        <f t="shared" si="7"/>
        <v>165.47362506251778</v>
      </c>
      <c r="AE16" s="496">
        <f t="shared" si="7"/>
        <v>146.16746543394629</v>
      </c>
      <c r="AF16" s="496">
        <f t="shared" si="7"/>
        <v>127.3650677794507</v>
      </c>
      <c r="AG16" s="496">
        <f t="shared" si="7"/>
        <v>109.08036058360824</v>
      </c>
      <c r="AH16" s="496">
        <f t="shared" si="7"/>
        <v>91.311496669777213</v>
      </c>
      <c r="AI16" s="496">
        <f t="shared" si="7"/>
        <v>74.043415521258751</v>
      </c>
      <c r="AJ16" s="496">
        <f t="shared" si="7"/>
        <v>57.107716668383311</v>
      </c>
      <c r="AK16" s="496">
        <f t="shared" si="7"/>
        <v>40.610327443166099</v>
      </c>
      <c r="AL16" s="496">
        <f t="shared" si="7"/>
        <v>24.530860759502989</v>
      </c>
      <c r="AM16" s="496">
        <f t="shared" si="2"/>
        <v>20.22098781332166</v>
      </c>
      <c r="AN16" s="496">
        <f t="shared" si="2"/>
        <v>19.541854461001638</v>
      </c>
    </row>
    <row r="17" spans="1:40" ht="15.75">
      <c r="A17" t="s">
        <v>664</v>
      </c>
      <c r="B17" s="486" t="s">
        <v>158</v>
      </c>
      <c r="C17" s="486" t="s">
        <v>112</v>
      </c>
      <c r="D17" s="498" t="s">
        <v>166</v>
      </c>
      <c r="E17" s="496">
        <f t="shared" ref="E17:L17" si="8">E10</f>
        <v>683.29204166542684</v>
      </c>
      <c r="F17" s="496">
        <f t="shared" si="8"/>
        <v>670.34703768087195</v>
      </c>
      <c r="G17" s="496">
        <f t="shared" si="8"/>
        <v>659.04416585138404</v>
      </c>
      <c r="H17" s="496">
        <f t="shared" si="8"/>
        <v>649.08959525762248</v>
      </c>
      <c r="I17" s="496">
        <f t="shared" si="8"/>
        <v>635.54538040104273</v>
      </c>
      <c r="J17" s="496">
        <f t="shared" si="8"/>
        <v>613.08877180164723</v>
      </c>
      <c r="K17" s="496">
        <f t="shared" si="8"/>
        <v>592.00271126513837</v>
      </c>
      <c r="L17" s="496">
        <f t="shared" si="8"/>
        <v>572.16544538735434</v>
      </c>
      <c r="M17" s="496">
        <f t="shared" ref="M17" si="9">M10</f>
        <v>553.46922737806392</v>
      </c>
      <c r="N17" s="496">
        <f t="shared" ref="N17:U17" si="10">N10</f>
        <v>535.81835920356218</v>
      </c>
      <c r="O17" s="496">
        <f t="shared" si="10"/>
        <v>519.12755320332121</v>
      </c>
      <c r="P17" s="496">
        <f t="shared" si="10"/>
        <v>503.32055397226071</v>
      </c>
      <c r="Q17" s="496">
        <f t="shared" si="10"/>
        <v>488.32897351747442</v>
      </c>
      <c r="R17" s="496">
        <f t="shared" si="10"/>
        <v>474.09130215078557</v>
      </c>
      <c r="S17" s="496">
        <f t="shared" si="10"/>
        <v>460.5520649443792</v>
      </c>
      <c r="T17" s="496">
        <f t="shared" si="10"/>
        <v>447.66109935556875</v>
      </c>
      <c r="U17" s="496">
        <f t="shared" si="10"/>
        <v>429.90605443771096</v>
      </c>
      <c r="V17" s="496">
        <f t="shared" ref="V17" si="11">+V4</f>
        <v>402.34755994659474</v>
      </c>
      <c r="W17" s="496">
        <f t="shared" si="7"/>
        <v>374.83638659930745</v>
      </c>
      <c r="X17" s="496">
        <f t="shared" si="2"/>
        <v>348.24740024150054</v>
      </c>
      <c r="Y17" s="496">
        <f t="shared" si="2"/>
        <v>315.64290264633536</v>
      </c>
      <c r="Z17" s="496">
        <f t="shared" si="2"/>
        <v>283.96305958473783</v>
      </c>
      <c r="AA17" s="496">
        <f t="shared" si="2"/>
        <v>253.709975822704</v>
      </c>
      <c r="AB17" s="496">
        <f t="shared" si="2"/>
        <v>224.93361288289125</v>
      </c>
      <c r="AC17" s="496">
        <f t="shared" si="2"/>
        <v>197.67233148521848</v>
      </c>
      <c r="AD17" s="496">
        <f t="shared" si="2"/>
        <v>171.92689088621964</v>
      </c>
      <c r="AE17" s="496">
        <f t="shared" si="2"/>
        <v>149.79530249554762</v>
      </c>
      <c r="AF17" s="496">
        <f t="shared" si="2"/>
        <v>128.95785371681438</v>
      </c>
      <c r="AG17" s="496">
        <f t="shared" si="2"/>
        <v>109.31122742753327</v>
      </c>
      <c r="AH17" s="496">
        <f t="shared" si="2"/>
        <v>90.738629448906778</v>
      </c>
      <c r="AI17" s="496">
        <f t="shared" si="2"/>
        <v>73.120796486100161</v>
      </c>
      <c r="AJ17" s="496">
        <f t="shared" si="2"/>
        <v>56.186423239523393</v>
      </c>
      <c r="AK17" s="496">
        <f t="shared" si="2"/>
        <v>40.00572006891133</v>
      </c>
      <c r="AL17" s="496">
        <f t="shared" si="2"/>
        <v>24.495468108512217</v>
      </c>
      <c r="AM17" s="496">
        <f t="shared" si="2"/>
        <v>18.997056521408702</v>
      </c>
      <c r="AN17" s="496">
        <f t="shared" si="2"/>
        <v>16.266041128869425</v>
      </c>
    </row>
    <row r="18" spans="1:40" ht="15.75">
      <c r="A18" t="s">
        <v>664</v>
      </c>
      <c r="B18" s="490" t="s">
        <v>158</v>
      </c>
      <c r="C18" s="490" t="s">
        <v>155</v>
      </c>
      <c r="D18" s="499" t="s">
        <v>166</v>
      </c>
      <c r="E18" s="496">
        <f t="shared" ref="E18:L18" si="12">E11</f>
        <v>1401.0714773798429</v>
      </c>
      <c r="F18" s="496">
        <f t="shared" si="12"/>
        <v>1374.5281039005874</v>
      </c>
      <c r="G18" s="496">
        <f t="shared" si="12"/>
        <v>1351.3518770939982</v>
      </c>
      <c r="H18" s="496">
        <f t="shared" si="12"/>
        <v>1330.9403047676328</v>
      </c>
      <c r="I18" s="496">
        <f t="shared" si="12"/>
        <v>1303.1682659292971</v>
      </c>
      <c r="J18" s="496">
        <f t="shared" si="12"/>
        <v>1257.1216096407081</v>
      </c>
      <c r="K18" s="496">
        <f t="shared" si="12"/>
        <v>1213.8852243375802</v>
      </c>
      <c r="L18" s="496">
        <f t="shared" si="12"/>
        <v>1173.2094580242172</v>
      </c>
      <c r="M18" s="496">
        <f t="shared" ref="M18" si="13">M11</f>
        <v>1134.8733788803036</v>
      </c>
      <c r="N18" s="496">
        <f t="shared" ref="N18:U18" si="14">N11</f>
        <v>1098.6807607283199</v>
      </c>
      <c r="O18" s="496">
        <f t="shared" si="14"/>
        <v>1064.4567235736938</v>
      </c>
      <c r="P18" s="496">
        <f t="shared" si="14"/>
        <v>1032.0449078124209</v>
      </c>
      <c r="Q18" s="496">
        <f t="shared" si="14"/>
        <v>1001.3050857520744</v>
      </c>
      <c r="R18" s="496">
        <f t="shared" si="14"/>
        <v>972.11113347428238</v>
      </c>
      <c r="S18" s="496">
        <f t="shared" si="14"/>
        <v>944.34930117027864</v>
      </c>
      <c r="T18" s="496">
        <f t="shared" si="14"/>
        <v>917.91673193041765</v>
      </c>
      <c r="U18" s="496">
        <f t="shared" si="14"/>
        <v>881.51050224072799</v>
      </c>
      <c r="V18" s="496">
        <f t="shared" ref="V18" si="15">+V5</f>
        <v>825.00256970733778</v>
      </c>
      <c r="W18" s="496">
        <f t="shared" si="7"/>
        <v>768.59166787363779</v>
      </c>
      <c r="X18" s="496">
        <f t="shared" si="2"/>
        <v>714.07168501599176</v>
      </c>
      <c r="Y18" s="496">
        <f t="shared" si="2"/>
        <v>647.21706235194904</v>
      </c>
      <c r="Z18" s="496">
        <f t="shared" si="2"/>
        <v>582.25841829502394</v>
      </c>
      <c r="AA18" s="496">
        <f t="shared" si="2"/>
        <v>520.22530481333126</v>
      </c>
      <c r="AB18" s="496">
        <f t="shared" si="2"/>
        <v>461.22016663049334</v>
      </c>
      <c r="AC18" s="496">
        <f t="shared" si="2"/>
        <v>405.32166134421749</v>
      </c>
      <c r="AD18" s="496">
        <f t="shared" si="2"/>
        <v>352.53134578907668</v>
      </c>
      <c r="AE18" s="496">
        <f t="shared" si="2"/>
        <v>307.15113447020349</v>
      </c>
      <c r="AF18" s="496">
        <f t="shared" si="2"/>
        <v>264.4245207164584</v>
      </c>
      <c r="AG18" s="496">
        <f t="shared" si="2"/>
        <v>224.13965561900861</v>
      </c>
      <c r="AH18" s="496">
        <f t="shared" si="2"/>
        <v>186.05705593692781</v>
      </c>
      <c r="AI18" s="496">
        <f t="shared" si="2"/>
        <v>149.93217557498562</v>
      </c>
      <c r="AJ18" s="496">
        <f t="shared" si="2"/>
        <v>115.20871050249102</v>
      </c>
      <c r="AK18" s="496">
        <f t="shared" si="2"/>
        <v>82.030625124768079</v>
      </c>
      <c r="AL18" s="496">
        <f t="shared" si="2"/>
        <v>50.227281453848306</v>
      </c>
      <c r="AM18" s="496">
        <f t="shared" si="2"/>
        <v>38.95294021198491</v>
      </c>
      <c r="AN18" s="496">
        <f t="shared" si="2"/>
        <v>33.353068506402145</v>
      </c>
    </row>
    <row r="19" spans="1:40" ht="15.75">
      <c r="A19" t="s">
        <v>664</v>
      </c>
      <c r="B19" s="486" t="s">
        <v>158</v>
      </c>
      <c r="C19" s="486" t="s">
        <v>156</v>
      </c>
      <c r="D19" s="498" t="s">
        <v>166</v>
      </c>
      <c r="E19" s="496">
        <f t="shared" ref="E19:L19" si="16">E12</f>
        <v>1096.0396793216892</v>
      </c>
      <c r="F19" s="496">
        <f t="shared" si="16"/>
        <v>1075.2751494415108</v>
      </c>
      <c r="G19" s="496">
        <f t="shared" si="16"/>
        <v>1057.1446938529884</v>
      </c>
      <c r="H19" s="496">
        <f t="shared" si="16"/>
        <v>1041.1769908854865</v>
      </c>
      <c r="I19" s="496">
        <f t="shared" si="16"/>
        <v>1019.4512923512447</v>
      </c>
      <c r="J19" s="496">
        <f t="shared" si="16"/>
        <v>983.42960237525313</v>
      </c>
      <c r="K19" s="496">
        <f t="shared" si="16"/>
        <v>949.60635020878146</v>
      </c>
      <c r="L19" s="496">
        <f t="shared" si="16"/>
        <v>917.7862363987166</v>
      </c>
      <c r="M19" s="496">
        <f t="shared" ref="M19" si="17">M12</f>
        <v>887.79642890515197</v>
      </c>
      <c r="N19" s="496">
        <f t="shared" ref="N19:U19" si="18">N12</f>
        <v>859.48342258566197</v>
      </c>
      <c r="O19" s="496">
        <f t="shared" si="18"/>
        <v>832.71041113431227</v>
      </c>
      <c r="P19" s="496">
        <f t="shared" si="18"/>
        <v>807.3550765016679</v>
      </c>
      <c r="Q19" s="496">
        <f t="shared" si="18"/>
        <v>783.30772041928174</v>
      </c>
      <c r="R19" s="496">
        <f t="shared" si="18"/>
        <v>760.46967781454384</v>
      </c>
      <c r="S19" s="496">
        <f t="shared" si="18"/>
        <v>738.75196371706863</v>
      </c>
      <c r="T19" s="496">
        <f t="shared" si="18"/>
        <v>718.07411452732924</v>
      </c>
      <c r="U19" s="496">
        <f t="shared" si="18"/>
        <v>689.59400272816458</v>
      </c>
      <c r="V19" s="496">
        <f t="shared" ref="V19" si="19">+V6</f>
        <v>645.38859475793447</v>
      </c>
      <c r="W19" s="496">
        <f t="shared" si="7"/>
        <v>601.25909262026914</v>
      </c>
      <c r="X19" s="496">
        <f t="shared" si="2"/>
        <v>558.60883137901624</v>
      </c>
      <c r="Y19" s="496">
        <f t="shared" si="2"/>
        <v>506.30934461556944</v>
      </c>
      <c r="Z19" s="496">
        <f t="shared" si="2"/>
        <v>455.49305683097293</v>
      </c>
      <c r="AA19" s="496">
        <f t="shared" si="2"/>
        <v>406.9653729079867</v>
      </c>
      <c r="AB19" s="496">
        <f t="shared" si="2"/>
        <v>360.8064339984648</v>
      </c>
      <c r="AC19" s="496">
        <f t="shared" si="2"/>
        <v>317.07777290038342</v>
      </c>
      <c r="AD19" s="496">
        <f t="shared" si="2"/>
        <v>275.78060750483019</v>
      </c>
      <c r="AE19" s="496">
        <f t="shared" si="2"/>
        <v>240.28026861098257</v>
      </c>
      <c r="AF19" s="496">
        <f t="shared" si="2"/>
        <v>206.85580398285825</v>
      </c>
      <c r="AG19" s="496">
        <f t="shared" si="2"/>
        <v>175.34148702202853</v>
      </c>
      <c r="AH19" s="496">
        <f t="shared" si="2"/>
        <v>145.54997315769481</v>
      </c>
      <c r="AI19" s="496">
        <f t="shared" si="2"/>
        <v>117.28995721512264</v>
      </c>
      <c r="AJ19" s="496">
        <f t="shared" si="2"/>
        <v>90.126249911503777</v>
      </c>
      <c r="AK19" s="496">
        <f t="shared" si="2"/>
        <v>64.17147269634512</v>
      </c>
      <c r="AL19" s="496">
        <f t="shared" si="2"/>
        <v>39.292137729352461</v>
      </c>
      <c r="AM19" s="496">
        <f t="shared" si="2"/>
        <v>30.472369745491687</v>
      </c>
      <c r="AN19" s="496">
        <f t="shared" si="2"/>
        <v>26.091664201540663</v>
      </c>
    </row>
    <row r="20" spans="1:40" ht="15.75">
      <c r="A20" t="s">
        <v>664</v>
      </c>
      <c r="B20" s="494" t="s">
        <v>158</v>
      </c>
      <c r="C20" s="494" t="s">
        <v>3</v>
      </c>
      <c r="D20" s="500" t="s">
        <v>166</v>
      </c>
      <c r="E20" s="497">
        <f t="shared" ref="E20:L20" si="20">E13</f>
        <v>1055.7608253838434</v>
      </c>
      <c r="F20" s="497">
        <f t="shared" si="20"/>
        <v>1034.7505047313637</v>
      </c>
      <c r="G20" s="497">
        <f t="shared" si="20"/>
        <v>1016.3693830394336</v>
      </c>
      <c r="H20" s="497">
        <f t="shared" si="20"/>
        <v>1000.1530003816767</v>
      </c>
      <c r="I20" s="497">
        <f t="shared" si="20"/>
        <v>990.42964757307641</v>
      </c>
      <c r="J20" s="497">
        <f t="shared" si="20"/>
        <v>955.43341972424662</v>
      </c>
      <c r="K20" s="497">
        <f t="shared" si="20"/>
        <v>922.57304476140666</v>
      </c>
      <c r="L20" s="497">
        <f t="shared" si="20"/>
        <v>891.65878299814892</v>
      </c>
      <c r="M20" s="497">
        <f t="shared" ref="M20" si="21">M13</f>
        <v>862.52272256103902</v>
      </c>
      <c r="N20" s="497">
        <f t="shared" ref="N20:U20" si="22">N13</f>
        <v>835.01572827779955</v>
      </c>
      <c r="O20" s="497">
        <f t="shared" si="22"/>
        <v>809.00488843171695</v>
      </c>
      <c r="P20" s="497">
        <f t="shared" si="22"/>
        <v>784.37136711223548</v>
      </c>
      <c r="Q20" s="497">
        <f t="shared" si="22"/>
        <v>761.00858893103339</v>
      </c>
      <c r="R20" s="497">
        <f t="shared" si="22"/>
        <v>738.82069760363083</v>
      </c>
      <c r="S20" s="497">
        <f t="shared" si="22"/>
        <v>717.72124137552078</v>
      </c>
      <c r="T20" s="497">
        <f t="shared" si="22"/>
        <v>697.6320472774604</v>
      </c>
      <c r="U20" s="497">
        <f t="shared" si="22"/>
        <v>669.962704657833</v>
      </c>
      <c r="V20" s="497">
        <f t="shared" ref="V20" si="23">+V7</f>
        <v>620.19079521153435</v>
      </c>
      <c r="W20" s="497">
        <f t="shared" si="7"/>
        <v>577.3205791140781</v>
      </c>
      <c r="X20" s="497">
        <f t="shared" si="2"/>
        <v>535.96397665315942</v>
      </c>
      <c r="Y20" s="497">
        <f t="shared" si="2"/>
        <v>486.02602708547118</v>
      </c>
      <c r="Z20" s="497">
        <f t="shared" si="2"/>
        <v>437.51775976993872</v>
      </c>
      <c r="AA20" s="497">
        <f t="shared" si="2"/>
        <v>391.1646586549391</v>
      </c>
      <c r="AB20" s="497">
        <f t="shared" si="2"/>
        <v>347.03070746703281</v>
      </c>
      <c r="AC20" s="497">
        <f t="shared" si="2"/>
        <v>305.16545380474156</v>
      </c>
      <c r="AD20" s="497">
        <f t="shared" si="2"/>
        <v>265.56662767176977</v>
      </c>
      <c r="AE20" s="497">
        <f t="shared" si="2"/>
        <v>231.50027118102449</v>
      </c>
      <c r="AF20" s="497">
        <f t="shared" si="2"/>
        <v>199.37587093376467</v>
      </c>
      <c r="AG20" s="497">
        <f t="shared" si="2"/>
        <v>169.04358048505401</v>
      </c>
      <c r="AH20" s="497">
        <f t="shared" si="2"/>
        <v>140.33357298721896</v>
      </c>
      <c r="AI20" s="497">
        <f t="shared" si="2"/>
        <v>113.07180039557635</v>
      </c>
      <c r="AJ20" s="497">
        <f t="shared" si="2"/>
        <v>86.850810293534778</v>
      </c>
      <c r="AK20" s="497">
        <f t="shared" si="2"/>
        <v>61.780222323792017</v>
      </c>
      <c r="AL20" s="497">
        <f t="shared" si="2"/>
        <v>37.737954803344536</v>
      </c>
      <c r="AM20" s="497">
        <f t="shared" si="2"/>
        <v>29.456669113964765</v>
      </c>
      <c r="AN20" s="497">
        <f t="shared" si="2"/>
        <v>25.608380742536831</v>
      </c>
    </row>
    <row r="21" spans="1:40" ht="15.75">
      <c r="A21" s="594" t="s">
        <v>664</v>
      </c>
      <c r="B21" s="637" t="s">
        <v>152</v>
      </c>
      <c r="C21" s="637" t="s">
        <v>3</v>
      </c>
      <c r="D21" s="637" t="s">
        <v>102</v>
      </c>
      <c r="E21" s="497">
        <f>+Data!E37</f>
        <v>949.99347881860001</v>
      </c>
      <c r="F21" s="497">
        <f>+Data!F37</f>
        <v>997.67848085540004</v>
      </c>
      <c r="G21" s="497">
        <f>+Data!G37</f>
        <v>1045.3634828922</v>
      </c>
      <c r="H21" s="497">
        <f>+Data!H37</f>
        <v>1093.0484849290001</v>
      </c>
      <c r="I21" s="497">
        <f>+Data!I37</f>
        <v>1113.2430097929002</v>
      </c>
      <c r="J21" s="497">
        <f>+Data!J37</f>
        <v>1108.8080640473377</v>
      </c>
      <c r="K21" s="497">
        <f>+Data!K37</f>
        <v>1104.3731183017753</v>
      </c>
      <c r="L21" s="497">
        <f>+Data!L37</f>
        <v>1099.938172556213</v>
      </c>
      <c r="M21" s="497">
        <f>+Data!M37</f>
        <v>1095.5032268106504</v>
      </c>
      <c r="N21" s="497">
        <f>+Data!N37</f>
        <v>1091.0682810650883</v>
      </c>
      <c r="O21" s="497">
        <f>+Data!O37</f>
        <v>1086.6333353195259</v>
      </c>
      <c r="P21" s="497">
        <f>+Data!P37</f>
        <v>1082.1983895739636</v>
      </c>
      <c r="Q21" s="497">
        <f>+Data!Q37</f>
        <v>1077.7634438284013</v>
      </c>
      <c r="R21" s="497">
        <f>+Data!R37</f>
        <v>1073.3284980828387</v>
      </c>
      <c r="S21" s="497">
        <f>+Data!S37</f>
        <v>1068.8935523372761</v>
      </c>
      <c r="T21" s="497">
        <f>+Data!T37</f>
        <v>1064.4586065917131</v>
      </c>
      <c r="U21" s="497">
        <f>+Data!U37</f>
        <v>1053.2736495455192</v>
      </c>
      <c r="V21" s="497">
        <f>+Data!U19</f>
        <v>1048.5939082540926</v>
      </c>
      <c r="W21" s="497">
        <f>+Data!V19</f>
        <v>1006.6285652598916</v>
      </c>
      <c r="X21" s="497">
        <f>+Data!W19</f>
        <v>963.95113701174796</v>
      </c>
      <c r="Y21" s="497">
        <f>+Data!X19</f>
        <v>920.60826820254408</v>
      </c>
      <c r="Z21" s="497">
        <f>+Data!Y19</f>
        <v>858.84756126518118</v>
      </c>
      <c r="AA21" s="497">
        <f>+Data!Z19</f>
        <v>795.40212499321615</v>
      </c>
      <c r="AB21" s="497">
        <f>+Data!AA19</f>
        <v>731.61083873248504</v>
      </c>
      <c r="AC21" s="497">
        <f>+Data!AB19</f>
        <v>667.75401808030824</v>
      </c>
      <c r="AD21" s="497">
        <f>+Data!AC19</f>
        <v>604.1073738722539</v>
      </c>
      <c r="AE21" s="497">
        <f>+Data!AD19</f>
        <v>540.86370582476513</v>
      </c>
      <c r="AF21" s="497">
        <f>+Data!AE19</f>
        <v>485.07628547795809</v>
      </c>
      <c r="AG21" s="497">
        <f>+Data!AF19</f>
        <v>429.82184660351834</v>
      </c>
      <c r="AH21" s="497">
        <f>+Data!AG19</f>
        <v>374.96371349977562</v>
      </c>
      <c r="AI21" s="497">
        <f>+Data!AH19</f>
        <v>320.29348720302181</v>
      </c>
      <c r="AJ21" s="497">
        <f>+Data!AI19</f>
        <v>265.55951632767113</v>
      </c>
      <c r="AK21" s="497">
        <f>+Data!AJ19</f>
        <v>209.909031952828</v>
      </c>
      <c r="AL21" s="497">
        <f>+Data!AK19</f>
        <v>153.6697949241011</v>
      </c>
      <c r="AM21" s="497">
        <f>+Data!AL19</f>
        <v>96.612789693395285</v>
      </c>
      <c r="AN21" s="497">
        <f>+Data!AM19</f>
        <v>77.623954873889346</v>
      </c>
    </row>
    <row r="26" spans="1:40">
      <c r="A26" s="82" t="s">
        <v>665</v>
      </c>
      <c r="B26" s="82" t="s">
        <v>162</v>
      </c>
      <c r="C26" s="82" t="s">
        <v>667</v>
      </c>
      <c r="D26" s="82" t="s">
        <v>666</v>
      </c>
      <c r="E26" s="82" t="s">
        <v>668</v>
      </c>
      <c r="F26" s="82" t="s">
        <v>669</v>
      </c>
      <c r="G26" s="82" t="s">
        <v>670</v>
      </c>
      <c r="H26" s="82" t="s">
        <v>671</v>
      </c>
      <c r="I26" s="82" t="s">
        <v>672</v>
      </c>
    </row>
    <row r="27" spans="1:40">
      <c r="A27" t="s">
        <v>673</v>
      </c>
      <c r="B27" t="s">
        <v>674</v>
      </c>
      <c r="C27">
        <v>2019</v>
      </c>
      <c r="D27">
        <v>2035</v>
      </c>
      <c r="E27" s="501">
        <v>1228.1694684390557</v>
      </c>
      <c r="F27" s="501">
        <v>672.01686816100016</v>
      </c>
      <c r="G27" s="503">
        <v>-0.45283050472252717</v>
      </c>
      <c r="H27" s="597">
        <v>-2.8301906545157948E-2</v>
      </c>
      <c r="I27" s="597">
        <v>-3.6985963343196371E-2</v>
      </c>
    </row>
    <row r="28" spans="1:40" hidden="1">
      <c r="A28" t="s">
        <v>673</v>
      </c>
      <c r="B28" s="510" t="s">
        <v>678</v>
      </c>
      <c r="C28">
        <v>2019</v>
      </c>
      <c r="D28">
        <v>2035</v>
      </c>
      <c r="E28" s="501">
        <v>1228.1694684390557</v>
      </c>
      <c r="F28" s="501">
        <v>608.51429650379384</v>
      </c>
      <c r="G28" s="502">
        <v>-0.5045355611410971</v>
      </c>
      <c r="H28" s="597">
        <v>-3.1533472571318569E-2</v>
      </c>
      <c r="I28" s="597">
        <v>-4.2941949940046076E-2</v>
      </c>
    </row>
    <row r="29" spans="1:40" s="510" customFormat="1">
      <c r="A29" s="510" t="s">
        <v>673</v>
      </c>
      <c r="B29" s="510" t="s">
        <v>679</v>
      </c>
      <c r="C29" s="510">
        <v>2019</v>
      </c>
      <c r="D29" s="510">
        <v>2035</v>
      </c>
      <c r="E29" s="501">
        <v>1228.1694684390557</v>
      </c>
      <c r="F29" s="501">
        <v>608.51429650379373</v>
      </c>
      <c r="G29" s="502">
        <v>-0.5045355611410971</v>
      </c>
      <c r="H29" s="597">
        <v>-3.1533472571318569E-2</v>
      </c>
      <c r="I29" s="597">
        <v>-4.2941949940046076E-2</v>
      </c>
    </row>
    <row r="30" spans="1:40">
      <c r="A30" t="s">
        <v>675</v>
      </c>
      <c r="B30" t="s">
        <v>674</v>
      </c>
      <c r="C30">
        <v>2019</v>
      </c>
      <c r="D30">
        <v>2035</v>
      </c>
      <c r="E30" s="501">
        <v>1185.7531832142272</v>
      </c>
      <c r="F30" s="501">
        <v>655.42986585075698</v>
      </c>
      <c r="G30" s="502">
        <v>-0.44724595714423476</v>
      </c>
      <c r="H30" s="597">
        <v>-2.7952872321514673E-2</v>
      </c>
      <c r="I30" s="597">
        <v>-3.6374585517786273E-2</v>
      </c>
    </row>
    <row r="31" spans="1:40" hidden="1">
      <c r="A31" t="s">
        <v>675</v>
      </c>
      <c r="B31" t="s">
        <v>678</v>
      </c>
      <c r="C31">
        <v>2019</v>
      </c>
      <c r="D31">
        <v>2035</v>
      </c>
      <c r="E31" s="501">
        <v>1237.0087106225915</v>
      </c>
      <c r="F31" s="501">
        <v>612.70345347842556</v>
      </c>
      <c r="G31" s="502">
        <v>-0.50468945916310526</v>
      </c>
      <c r="H31" s="597">
        <v>-3.1543091197694079E-2</v>
      </c>
      <c r="I31" s="597">
        <v>-4.2960532352192105E-2</v>
      </c>
    </row>
    <row r="32" spans="1:40">
      <c r="A32" t="s">
        <v>675</v>
      </c>
      <c r="B32" s="594" t="s">
        <v>679</v>
      </c>
      <c r="C32">
        <v>2019</v>
      </c>
      <c r="D32">
        <v>2035</v>
      </c>
      <c r="E32" s="501">
        <v>1237.01</v>
      </c>
      <c r="F32" s="501">
        <v>612.70345347842556</v>
      </c>
      <c r="G32" s="502">
        <v>-0.50468945916310526</v>
      </c>
      <c r="H32" s="597">
        <v>-3.1543091197694079E-2</v>
      </c>
      <c r="I32" s="597">
        <v>-4.2960532352192105E-2</v>
      </c>
    </row>
    <row r="33" spans="1:10">
      <c r="A33" t="s">
        <v>676</v>
      </c>
      <c r="B33" t="s">
        <v>674</v>
      </c>
      <c r="C33">
        <v>2019</v>
      </c>
      <c r="D33">
        <v>2034</v>
      </c>
      <c r="E33" s="501">
        <v>932.64373995832807</v>
      </c>
      <c r="F33" s="501">
        <v>614.64692544855882</v>
      </c>
      <c r="G33" s="502">
        <v>-0.34096279306391719</v>
      </c>
      <c r="H33" s="597">
        <v>-2.2730852870927812E-2</v>
      </c>
      <c r="I33" s="597">
        <v>-2.7415533672305981E-2</v>
      </c>
    </row>
    <row r="34" spans="1:10" hidden="1">
      <c r="A34" t="s">
        <v>676</v>
      </c>
      <c r="B34" s="507" t="s">
        <v>678</v>
      </c>
      <c r="C34">
        <v>2019</v>
      </c>
      <c r="D34">
        <v>2034</v>
      </c>
      <c r="E34" s="501">
        <v>932.64373995832807</v>
      </c>
      <c r="F34" s="501">
        <v>514.75705923154896</v>
      </c>
      <c r="G34" s="502">
        <v>-0.44806678351312468</v>
      </c>
      <c r="H34" s="597">
        <v>-2.9871118900874977E-2</v>
      </c>
      <c r="I34" s="597">
        <v>-3.8847200031441487E-2</v>
      </c>
    </row>
    <row r="35" spans="1:10">
      <c r="A35" s="507" t="s">
        <v>676</v>
      </c>
      <c r="B35" s="594" t="s">
        <v>679</v>
      </c>
      <c r="C35">
        <v>2019</v>
      </c>
      <c r="D35">
        <v>2034</v>
      </c>
      <c r="E35" s="501">
        <v>932.64373995832807</v>
      </c>
      <c r="F35" s="501">
        <v>514.75705923154896</v>
      </c>
      <c r="G35" s="502">
        <v>-0.44806678351312468</v>
      </c>
      <c r="H35" s="597">
        <v>-2.9871118900874977E-2</v>
      </c>
      <c r="I35" s="597">
        <v>-3.8847200031441487E-2</v>
      </c>
    </row>
    <row r="36" spans="1:10">
      <c r="A36" t="s">
        <v>677</v>
      </c>
      <c r="B36" t="s">
        <v>674</v>
      </c>
      <c r="C36">
        <v>2019</v>
      </c>
      <c r="D36">
        <v>2030</v>
      </c>
      <c r="E36" s="501">
        <v>976.82032150266787</v>
      </c>
      <c r="F36" s="501">
        <v>687.67367832698528</v>
      </c>
      <c r="G36" s="502">
        <v>-0.29600801376744579</v>
      </c>
      <c r="H36" s="597">
        <v>-2.6909819433404161E-2</v>
      </c>
      <c r="I36" s="597">
        <v>-3.1404338168133039E-2</v>
      </c>
    </row>
    <row r="37" spans="1:10" hidden="1">
      <c r="A37" t="s">
        <v>677</v>
      </c>
      <c r="B37" t="s">
        <v>678</v>
      </c>
      <c r="C37">
        <v>2019</v>
      </c>
      <c r="D37">
        <v>2030</v>
      </c>
      <c r="E37" s="501">
        <v>976.82032150266787</v>
      </c>
      <c r="F37" s="501">
        <v>688.60443345265026</v>
      </c>
      <c r="G37" s="502">
        <v>-0.295055172077755</v>
      </c>
      <c r="H37" s="597">
        <v>-2.6823197461614091E-2</v>
      </c>
      <c r="I37" s="597">
        <v>-3.1285231567236949E-2</v>
      </c>
    </row>
    <row r="38" spans="1:10">
      <c r="A38" s="591" t="s">
        <v>677</v>
      </c>
      <c r="B38" s="591" t="s">
        <v>679</v>
      </c>
      <c r="C38" s="591">
        <v>2019</v>
      </c>
      <c r="D38" s="591">
        <v>2030</v>
      </c>
      <c r="E38" s="504">
        <v>972.97456520696414</v>
      </c>
      <c r="F38" s="504">
        <v>686.38507254649062</v>
      </c>
      <c r="G38" s="505">
        <v>-0.29454982988122846</v>
      </c>
      <c r="H38" s="506">
        <v>-2.6777257261929862E-2</v>
      </c>
      <c r="I38" s="506">
        <v>-3.1222122436146194E-2</v>
      </c>
    </row>
    <row r="39" spans="1:10">
      <c r="A39" s="507"/>
      <c r="B39" s="507"/>
      <c r="C39" s="507"/>
      <c r="D39" s="507"/>
      <c r="E39" s="507"/>
      <c r="F39" s="507"/>
      <c r="G39" s="507"/>
      <c r="H39" s="507"/>
      <c r="I39" s="507"/>
      <c r="J39" s="507"/>
    </row>
  </sheetData>
  <pageMargins left="0.7" right="0.7" top="0.75" bottom="0.75" header="0.3" footer="0.3"/>
  <pageSetup orientation="portrait" horizontalDpi="90" verticalDpi="90" r:id="rId1"/>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262E-4753-4664-BF8C-210DEBA8E97C}">
  <sheetPr codeName="Sheet12"/>
  <dimension ref="A1:AJ30"/>
  <sheetViews>
    <sheetView workbookViewId="0">
      <selection activeCell="E2" sqref="E2"/>
    </sheetView>
  </sheetViews>
  <sheetFormatPr defaultRowHeight="15"/>
  <sheetData>
    <row r="1" spans="1:36">
      <c r="A1" t="s">
        <v>652</v>
      </c>
      <c r="B1" t="s">
        <v>254</v>
      </c>
      <c r="C1" t="s">
        <v>163</v>
      </c>
      <c r="D1" t="s">
        <v>653</v>
      </c>
      <c r="E1">
        <v>2019</v>
      </c>
      <c r="F1">
        <v>2020</v>
      </c>
      <c r="G1">
        <v>2021</v>
      </c>
      <c r="H1">
        <v>2022</v>
      </c>
      <c r="I1">
        <v>2023</v>
      </c>
      <c r="J1">
        <v>2024</v>
      </c>
      <c r="K1">
        <v>2025</v>
      </c>
      <c r="L1">
        <v>2026</v>
      </c>
      <c r="M1">
        <v>2027</v>
      </c>
      <c r="N1">
        <v>2028</v>
      </c>
      <c r="O1">
        <v>2029</v>
      </c>
      <c r="P1">
        <v>2030</v>
      </c>
      <c r="Q1">
        <v>2031</v>
      </c>
      <c r="R1">
        <v>2032</v>
      </c>
      <c r="S1">
        <v>2033</v>
      </c>
      <c r="T1">
        <v>2034</v>
      </c>
      <c r="U1">
        <v>2035</v>
      </c>
      <c r="V1">
        <v>2036</v>
      </c>
      <c r="W1">
        <v>2037</v>
      </c>
      <c r="X1">
        <v>2038</v>
      </c>
      <c r="Y1">
        <v>2039</v>
      </c>
      <c r="Z1">
        <v>2040</v>
      </c>
      <c r="AA1">
        <v>2041</v>
      </c>
      <c r="AB1">
        <v>2042</v>
      </c>
      <c r="AC1">
        <v>2043</v>
      </c>
      <c r="AD1">
        <v>2044</v>
      </c>
      <c r="AE1">
        <v>2045</v>
      </c>
      <c r="AF1">
        <v>2046</v>
      </c>
      <c r="AG1">
        <v>2047</v>
      </c>
      <c r="AH1">
        <v>2048</v>
      </c>
      <c r="AI1">
        <v>2049</v>
      </c>
      <c r="AJ1">
        <v>2050</v>
      </c>
    </row>
    <row r="2" spans="1:36">
      <c r="A2" t="s">
        <v>4</v>
      </c>
      <c r="B2" t="s">
        <v>654</v>
      </c>
      <c r="C2" t="s">
        <v>655</v>
      </c>
      <c r="D2" t="s">
        <v>656</v>
      </c>
      <c r="E2">
        <v>1107.3091243257797</v>
      </c>
      <c r="F2">
        <v>603.43466545493538</v>
      </c>
      <c r="G2">
        <v>663.61787392236556</v>
      </c>
      <c r="H2">
        <v>804.69326061385357</v>
      </c>
      <c r="I2">
        <v>936.47189128920343</v>
      </c>
      <c r="J2">
        <v>1047.5497665529983</v>
      </c>
      <c r="K2">
        <v>1160.5605448933093</v>
      </c>
      <c r="L2">
        <v>1147.8541910671383</v>
      </c>
      <c r="M2">
        <v>1134.9060057336912</v>
      </c>
      <c r="N2">
        <v>1121.5311909967329</v>
      </c>
      <c r="O2">
        <v>1107.5611398066962</v>
      </c>
      <c r="P2">
        <v>1089.8479562706584</v>
      </c>
      <c r="Q2">
        <v>1048.5939082540926</v>
      </c>
      <c r="R2">
        <v>1006.6285652598916</v>
      </c>
      <c r="S2">
        <v>963.95113701174796</v>
      </c>
      <c r="T2">
        <v>920.60826820254397</v>
      </c>
      <c r="U2">
        <v>858.84756126518118</v>
      </c>
      <c r="V2">
        <v>795.40212499321603</v>
      </c>
      <c r="W2">
        <v>731.61083873248504</v>
      </c>
      <c r="X2">
        <v>667.75401808030813</v>
      </c>
      <c r="Y2">
        <v>604.10737387225379</v>
      </c>
      <c r="Z2">
        <v>540.86370582476502</v>
      </c>
      <c r="AA2">
        <v>485.07628547795809</v>
      </c>
      <c r="AB2">
        <v>429.82184660351834</v>
      </c>
      <c r="AC2">
        <v>374.96371349977562</v>
      </c>
      <c r="AD2">
        <v>320.29348720302181</v>
      </c>
      <c r="AE2">
        <v>265.55951632767108</v>
      </c>
      <c r="AF2">
        <v>209.909031952828</v>
      </c>
      <c r="AG2">
        <v>153.6697949241011</v>
      </c>
      <c r="AH2">
        <v>96.612789693395271</v>
      </c>
      <c r="AI2">
        <v>77.623954873889332</v>
      </c>
      <c r="AJ2">
        <v>69.472519533170157</v>
      </c>
    </row>
    <row r="3" spans="1:36">
      <c r="A3" t="s">
        <v>14</v>
      </c>
      <c r="B3" t="s">
        <v>654</v>
      </c>
      <c r="C3" t="s">
        <v>655</v>
      </c>
      <c r="D3" t="s">
        <v>656</v>
      </c>
      <c r="E3">
        <v>915.13150770725599</v>
      </c>
      <c r="F3">
        <v>502.16238118699312</v>
      </c>
      <c r="G3">
        <v>559.27158701688404</v>
      </c>
      <c r="H3">
        <v>686.92413690282262</v>
      </c>
      <c r="I3">
        <v>810.07736553518055</v>
      </c>
      <c r="J3">
        <v>918.43169101299998</v>
      </c>
      <c r="K3">
        <v>1031.2350259910932</v>
      </c>
      <c r="L3">
        <v>1054.0308348352858</v>
      </c>
      <c r="M3">
        <v>1077.2505314821206</v>
      </c>
      <c r="N3">
        <v>1101.1140760411865</v>
      </c>
      <c r="O3">
        <v>1125.1991550144323</v>
      </c>
      <c r="P3">
        <v>1150.045611867519</v>
      </c>
      <c r="Q3">
        <v>1175.0039856055109</v>
      </c>
      <c r="R3">
        <v>1200.4396230260008</v>
      </c>
      <c r="S3">
        <v>1225.9552220743967</v>
      </c>
      <c r="T3">
        <v>1252.0118117587233</v>
      </c>
      <c r="U3">
        <v>1278.2491358666291</v>
      </c>
      <c r="V3">
        <v>1305.2600562883349</v>
      </c>
      <c r="W3">
        <v>1332.7416757100436</v>
      </c>
      <c r="X3">
        <v>1361.8188235440034</v>
      </c>
      <c r="Y3">
        <v>1391.7533526463315</v>
      </c>
      <c r="Z3">
        <v>1423.2343435752</v>
      </c>
      <c r="AA3">
        <v>1456.3840092251462</v>
      </c>
      <c r="AB3">
        <v>1490.6906856408464</v>
      </c>
      <c r="AC3">
        <v>1527.1699841050381</v>
      </c>
      <c r="AD3">
        <v>1564.7631132848223</v>
      </c>
      <c r="AE3">
        <v>1604.0369196279687</v>
      </c>
      <c r="AF3">
        <v>1644.3058266499959</v>
      </c>
      <c r="AG3">
        <v>1686.1683248594545</v>
      </c>
      <c r="AH3">
        <v>1729.3742046770581</v>
      </c>
      <c r="AI3">
        <v>1774.1254972055142</v>
      </c>
      <c r="AJ3">
        <v>1820.423401105681</v>
      </c>
    </row>
    <row r="4" spans="1:36">
      <c r="A4" t="s">
        <v>657</v>
      </c>
      <c r="B4" t="s">
        <v>654</v>
      </c>
      <c r="C4" t="s">
        <v>655</v>
      </c>
      <c r="D4" t="s">
        <v>656</v>
      </c>
      <c r="E4">
        <v>915.13150770725599</v>
      </c>
      <c r="F4">
        <v>498.70633508672347</v>
      </c>
      <c r="G4">
        <v>549.12532278861522</v>
      </c>
      <c r="H4">
        <v>666.66591461206008</v>
      </c>
      <c r="I4">
        <v>776.75367125597847</v>
      </c>
      <c r="J4">
        <v>869.88110599181471</v>
      </c>
      <c r="K4">
        <v>964.7971589944292</v>
      </c>
      <c r="L4">
        <v>959.49818352458738</v>
      </c>
      <c r="M4">
        <v>953.75325613533391</v>
      </c>
      <c r="N4">
        <v>947.41574594644703</v>
      </c>
      <c r="O4">
        <v>940.35142197946629</v>
      </c>
      <c r="P4">
        <v>929.95186991064816</v>
      </c>
      <c r="Q4">
        <v>902.49919729584258</v>
      </c>
      <c r="R4">
        <v>873.71799318816056</v>
      </c>
      <c r="S4">
        <v>843.61959608506731</v>
      </c>
      <c r="T4">
        <v>812.25234118146147</v>
      </c>
      <c r="U4">
        <v>764.68499151097649</v>
      </c>
      <c r="V4">
        <v>714.79899033998095</v>
      </c>
      <c r="W4">
        <v>663.6998955146878</v>
      </c>
      <c r="X4">
        <v>611.58764217286387</v>
      </c>
      <c r="Y4">
        <v>558.66355139409791</v>
      </c>
      <c r="Z4">
        <v>505.06430286736776</v>
      </c>
      <c r="AA4">
        <v>456.7434845234169</v>
      </c>
      <c r="AB4">
        <v>408.09169627840072</v>
      </c>
      <c r="AC4">
        <v>358.97351794959582</v>
      </c>
      <c r="AD4">
        <v>309.18574781968596</v>
      </c>
      <c r="AE4">
        <v>258.47964666410155</v>
      </c>
      <c r="AF4">
        <v>206.02630860934758</v>
      </c>
      <c r="AG4">
        <v>152.09396940657675</v>
      </c>
      <c r="AH4">
        <v>96.426736407979476</v>
      </c>
      <c r="AI4">
        <v>77.623954873889332</v>
      </c>
      <c r="AJ4">
        <v>69.472519533170157</v>
      </c>
    </row>
    <row r="6" spans="1:36">
      <c r="A6" t="s">
        <v>4</v>
      </c>
      <c r="B6" t="s">
        <v>654</v>
      </c>
      <c r="C6" t="s">
        <v>658</v>
      </c>
      <c r="D6" t="s">
        <v>656</v>
      </c>
      <c r="E6">
        <v>1031.6308908145504</v>
      </c>
      <c r="F6">
        <v>561.61658356517455</v>
      </c>
      <c r="G6">
        <v>617.12772922096144</v>
      </c>
      <c r="H6">
        <v>747.77604225002312</v>
      </c>
      <c r="I6">
        <v>869.604156973871</v>
      </c>
      <c r="J6">
        <v>972.0738215178169</v>
      </c>
      <c r="K6">
        <v>1076.2098805478513</v>
      </c>
      <c r="L6">
        <v>1063.673092946098</v>
      </c>
      <c r="M6">
        <v>1050.9120413775502</v>
      </c>
      <c r="N6">
        <v>1037.7434202701472</v>
      </c>
      <c r="O6">
        <v>1024.001347916718</v>
      </c>
      <c r="P6">
        <v>1006.5725077666959</v>
      </c>
      <c r="Q6">
        <v>967.41967338243126</v>
      </c>
      <c r="R6">
        <v>927.63341155480157</v>
      </c>
      <c r="S6">
        <v>887.22439970572566</v>
      </c>
      <c r="T6">
        <v>846.24917965295867</v>
      </c>
      <c r="U6">
        <v>787.27456488206849</v>
      </c>
      <c r="V6">
        <v>726.95295203714863</v>
      </c>
      <c r="W6">
        <v>666.59557503458166</v>
      </c>
      <c r="X6">
        <v>606.501077110854</v>
      </c>
      <c r="Y6">
        <v>546.95675530770222</v>
      </c>
      <c r="Z6">
        <v>488.16187759681918</v>
      </c>
      <c r="AA6">
        <v>436.43495574532619</v>
      </c>
      <c r="AB6">
        <v>385.53655911425892</v>
      </c>
      <c r="AC6">
        <v>335.33606333254011</v>
      </c>
      <c r="AD6">
        <v>285.63561871790489</v>
      </c>
      <c r="AE6">
        <v>236.19891364495689</v>
      </c>
      <c r="AF6">
        <v>186.25258916000979</v>
      </c>
      <c r="AG6">
        <v>136.09711442371409</v>
      </c>
      <c r="AH6">
        <v>85.525423149046176</v>
      </c>
      <c r="AI6">
        <v>68.078537001282669</v>
      </c>
      <c r="AJ6">
        <v>59.839122441302763</v>
      </c>
    </row>
    <row r="7" spans="1:36">
      <c r="A7" t="s">
        <v>14</v>
      </c>
      <c r="B7" t="s">
        <v>654</v>
      </c>
      <c r="C7" t="s">
        <v>658</v>
      </c>
      <c r="D7" t="s">
        <v>656</v>
      </c>
      <c r="E7">
        <v>852.58751306987642</v>
      </c>
      <c r="F7">
        <v>467.12880640967455</v>
      </c>
      <c r="G7">
        <v>519.58357791087622</v>
      </c>
      <c r="H7">
        <v>637.42128180803672</v>
      </c>
      <c r="I7">
        <v>750.83890063232116</v>
      </c>
      <c r="J7">
        <v>850.33783030457619</v>
      </c>
      <c r="K7">
        <v>953.75199658678753</v>
      </c>
      <c r="L7">
        <v>973.8234113251757</v>
      </c>
      <c r="M7">
        <v>994.24734517195509</v>
      </c>
      <c r="N7">
        <v>1015.2421471016692</v>
      </c>
      <c r="O7">
        <v>1036.3838671378794</v>
      </c>
      <c r="P7">
        <v>1058.2106871291132</v>
      </c>
      <c r="Q7">
        <v>1080.0714595770207</v>
      </c>
      <c r="R7">
        <v>1102.3298201931282</v>
      </c>
      <c r="S7">
        <v>1124.5867316124165</v>
      </c>
      <c r="T7">
        <v>1147.3014637247454</v>
      </c>
      <c r="U7">
        <v>1170.1119778707148</v>
      </c>
      <c r="V7">
        <v>1193.6093307097894</v>
      </c>
      <c r="W7">
        <v>1217.488797529543</v>
      </c>
      <c r="X7">
        <v>1242.873358866776</v>
      </c>
      <c r="Y7">
        <v>1269.0229979964388</v>
      </c>
      <c r="Z7">
        <v>1296.6249060460289</v>
      </c>
      <c r="AA7">
        <v>1325.7993875765885</v>
      </c>
      <c r="AB7">
        <v>1356.032852439296</v>
      </c>
      <c r="AC7">
        <v>1388.3389690082745</v>
      </c>
      <c r="AD7">
        <v>1421.6569875801365</v>
      </c>
      <c r="AE7">
        <v>1456.5517821384926</v>
      </c>
      <c r="AF7">
        <v>1492.3357911311678</v>
      </c>
      <c r="AG7">
        <v>1529.6055090148934</v>
      </c>
      <c r="AH7">
        <v>1568.1087209308498</v>
      </c>
      <c r="AI7">
        <v>1608.0454453760606</v>
      </c>
      <c r="AJ7">
        <v>1649.4148631348371</v>
      </c>
    </row>
    <row r="8" spans="1:36">
      <c r="A8" t="s">
        <v>657</v>
      </c>
      <c r="B8" t="s">
        <v>654</v>
      </c>
      <c r="C8" t="s">
        <v>658</v>
      </c>
      <c r="D8" t="s">
        <v>656</v>
      </c>
      <c r="E8">
        <v>852.58751306987642</v>
      </c>
      <c r="F8">
        <v>464.1459368307228</v>
      </c>
      <c r="G8">
        <v>510.65602182666657</v>
      </c>
      <c r="H8">
        <v>619.51158724916979</v>
      </c>
      <c r="I8">
        <v>721.29043888228682</v>
      </c>
      <c r="J8">
        <v>807.20618529661795</v>
      </c>
      <c r="K8">
        <v>894.6747671227738</v>
      </c>
      <c r="L8">
        <v>889.13070012571472</v>
      </c>
      <c r="M8">
        <v>883.16633827988062</v>
      </c>
      <c r="N8">
        <v>876.63585686144586</v>
      </c>
      <c r="O8">
        <v>869.40674335182564</v>
      </c>
      <c r="P8">
        <v>858.89410574425324</v>
      </c>
      <c r="Q8">
        <v>832.63451351682284</v>
      </c>
      <c r="R8">
        <v>805.15299359570213</v>
      </c>
      <c r="S8">
        <v>776.47077842228703</v>
      </c>
      <c r="T8">
        <v>746.64534432008645</v>
      </c>
      <c r="U8">
        <v>700.95913537533011</v>
      </c>
      <c r="V8">
        <v>653.286205572124</v>
      </c>
      <c r="W8">
        <v>604.71959965423184</v>
      </c>
      <c r="X8">
        <v>555.48683150105649</v>
      </c>
      <c r="Y8">
        <v>505.81207347389392</v>
      </c>
      <c r="Z8">
        <v>455.85077301294052</v>
      </c>
      <c r="AA8">
        <v>410.94324423328572</v>
      </c>
      <c r="AB8">
        <v>366.04530372186053</v>
      </c>
      <c r="AC8">
        <v>321.03577497218919</v>
      </c>
      <c r="AD8">
        <v>275.72981002031719</v>
      </c>
      <c r="AE8">
        <v>229.90180350404361</v>
      </c>
      <c r="AF8">
        <v>182.80744309369973</v>
      </c>
      <c r="AG8">
        <v>134.70149008598236</v>
      </c>
      <c r="AH8">
        <v>85.360721498116163</v>
      </c>
      <c r="AI8">
        <v>68.078537001282669</v>
      </c>
      <c r="AJ8">
        <v>59.839122441302763</v>
      </c>
    </row>
    <row r="10" spans="1:36">
      <c r="A10" t="s">
        <v>4</v>
      </c>
      <c r="B10" t="s">
        <v>654</v>
      </c>
      <c r="C10" t="s">
        <v>659</v>
      </c>
      <c r="D10" t="s">
        <v>656</v>
      </c>
      <c r="E10">
        <v>75.678233511229195</v>
      </c>
      <c r="F10">
        <v>41.818081889760848</v>
      </c>
      <c r="G10">
        <v>46.490144701404006</v>
      </c>
      <c r="H10">
        <v>56.917218363830351</v>
      </c>
      <c r="I10">
        <v>66.86773431533237</v>
      </c>
      <c r="J10">
        <v>75.475945035181596</v>
      </c>
      <c r="K10">
        <v>84.350664345457901</v>
      </c>
      <c r="L10">
        <v>84.181098121040193</v>
      </c>
      <c r="M10">
        <v>83.993964356141106</v>
      </c>
      <c r="N10">
        <v>83.787770726585805</v>
      </c>
      <c r="O10">
        <v>83.5597918899783</v>
      </c>
      <c r="P10">
        <v>83.275448503962494</v>
      </c>
      <c r="Q10">
        <v>81.174234871661298</v>
      </c>
      <c r="R10">
        <v>78.995153705090004</v>
      </c>
      <c r="S10">
        <v>76.726737306022201</v>
      </c>
      <c r="T10">
        <v>74.359088549585294</v>
      </c>
      <c r="U10">
        <v>71.572996383112596</v>
      </c>
      <c r="V10">
        <v>68.4491729560674</v>
      </c>
      <c r="W10">
        <v>65.015263697903407</v>
      </c>
      <c r="X10">
        <v>61.252940969454201</v>
      </c>
      <c r="Y10">
        <v>57.1506185645516</v>
      </c>
      <c r="Z10">
        <v>52.701828227945903</v>
      </c>
      <c r="AA10">
        <v>48.641329732631903</v>
      </c>
      <c r="AB10">
        <v>44.285287489259403</v>
      </c>
      <c r="AC10">
        <v>39.627650167235501</v>
      </c>
      <c r="AD10">
        <v>34.6578684851169</v>
      </c>
      <c r="AE10">
        <v>29.360602682714202</v>
      </c>
      <c r="AF10">
        <v>23.656442792818201</v>
      </c>
      <c r="AG10">
        <v>17.572680500387001</v>
      </c>
      <c r="AH10">
        <v>11.0873665443491</v>
      </c>
      <c r="AI10">
        <v>9.5454178726066594</v>
      </c>
      <c r="AJ10">
        <v>9.6333970918673906</v>
      </c>
    </row>
    <row r="11" spans="1:36">
      <c r="A11" t="s">
        <v>14</v>
      </c>
      <c r="B11" t="s">
        <v>654</v>
      </c>
      <c r="C11" t="s">
        <v>659</v>
      </c>
      <c r="D11" t="s">
        <v>656</v>
      </c>
      <c r="E11">
        <v>62.543994637379498</v>
      </c>
      <c r="F11">
        <v>35.033574777318641</v>
      </c>
      <c r="G11">
        <v>39.688009106007932</v>
      </c>
      <c r="H11">
        <v>49.502855094785787</v>
      </c>
      <c r="I11">
        <v>59.238464902859207</v>
      </c>
      <c r="J11">
        <v>68.093860708423819</v>
      </c>
      <c r="K11">
        <v>77.48302940430554</v>
      </c>
      <c r="L11">
        <v>80.207423510110331</v>
      </c>
      <c r="M11">
        <v>83.00318631016529</v>
      </c>
      <c r="N11">
        <v>85.87192893951736</v>
      </c>
      <c r="O11">
        <v>88.815287876552887</v>
      </c>
      <c r="P11">
        <v>91.834924738405789</v>
      </c>
      <c r="Q11">
        <v>94.932526028490088</v>
      </c>
      <c r="R11">
        <v>98.109802832872731</v>
      </c>
      <c r="S11">
        <v>101.36849046198017</v>
      </c>
      <c r="T11">
        <v>104.71034803397768</v>
      </c>
      <c r="U11">
        <v>108.13715799591405</v>
      </c>
      <c r="V11">
        <v>111.65072557854546</v>
      </c>
      <c r="W11">
        <v>115.25287818050083</v>
      </c>
      <c r="X11">
        <v>118.94546467722726</v>
      </c>
      <c r="Y11">
        <v>122.73035464989256</v>
      </c>
      <c r="Z11">
        <v>126.60943752917107</v>
      </c>
      <c r="AA11">
        <v>130.58462164855786</v>
      </c>
      <c r="AB11">
        <v>134.65783320155043</v>
      </c>
      <c r="AC11">
        <v>138.83101509676362</v>
      </c>
      <c r="AD11">
        <v>143.10612570468598</v>
      </c>
      <c r="AE11">
        <v>147.48513748947602</v>
      </c>
      <c r="AF11">
        <v>151.9700355188281</v>
      </c>
      <c r="AG11">
        <v>156.56281584456116</v>
      </c>
      <c r="AH11">
        <v>161.26548374620828</v>
      </c>
      <c r="AI11">
        <v>166.08005182945371</v>
      </c>
      <c r="AJ11">
        <v>171.0085379708438</v>
      </c>
    </row>
    <row r="12" spans="1:36">
      <c r="A12" t="s">
        <v>657</v>
      </c>
      <c r="B12" t="s">
        <v>654</v>
      </c>
      <c r="C12" t="s">
        <v>659</v>
      </c>
      <c r="D12" t="s">
        <v>656</v>
      </c>
      <c r="E12">
        <v>62.543994637379498</v>
      </c>
      <c r="F12">
        <v>34.560398256000703</v>
      </c>
      <c r="G12">
        <v>38.469300961948548</v>
      </c>
      <c r="H12">
        <v>47.154327362890371</v>
      </c>
      <c r="I12">
        <v>55.463232373691859</v>
      </c>
      <c r="J12">
        <v>62.674920695196889</v>
      </c>
      <c r="K12">
        <v>70.122391871655338</v>
      </c>
      <c r="L12">
        <v>70.367483398872537</v>
      </c>
      <c r="M12">
        <v>70.586917855453379</v>
      </c>
      <c r="N12">
        <v>70.779889085001315</v>
      </c>
      <c r="O12">
        <v>70.944678627640585</v>
      </c>
      <c r="P12">
        <v>71.057764166394804</v>
      </c>
      <c r="Q12">
        <v>69.864683779019643</v>
      </c>
      <c r="R12">
        <v>68.564999592458477</v>
      </c>
      <c r="S12">
        <v>67.148817662780203</v>
      </c>
      <c r="T12">
        <v>65.606996861375094</v>
      </c>
      <c r="U12">
        <v>63.725856135646289</v>
      </c>
      <c r="V12">
        <v>61.512784767856893</v>
      </c>
      <c r="W12">
        <v>58.980295860456053</v>
      </c>
      <c r="X12">
        <v>56.100810671807537</v>
      </c>
      <c r="Y12">
        <v>52.851477920204019</v>
      </c>
      <c r="Z12">
        <v>49.2135298544273</v>
      </c>
      <c r="AA12">
        <v>45.800240290131242</v>
      </c>
      <c r="AB12">
        <v>42.046392556540127</v>
      </c>
      <c r="AC12">
        <v>37.937742977406614</v>
      </c>
      <c r="AD12">
        <v>33.455937799368705</v>
      </c>
      <c r="AE12">
        <v>28.577843160057977</v>
      </c>
      <c r="AF12">
        <v>23.218865515647842</v>
      </c>
      <c r="AG12">
        <v>17.392479320594386</v>
      </c>
      <c r="AH12">
        <v>11.066014909863316</v>
      </c>
      <c r="AI12">
        <v>9.5454178726066594</v>
      </c>
      <c r="AJ12">
        <v>9.6333970918673906</v>
      </c>
    </row>
    <row r="14" spans="1:36">
      <c r="A14" t="s">
        <v>660</v>
      </c>
    </row>
    <row r="16" spans="1:36">
      <c r="A16" t="s">
        <v>661</v>
      </c>
      <c r="B16" t="s">
        <v>654</v>
      </c>
      <c r="C16" t="s">
        <v>655</v>
      </c>
      <c r="D16" t="s">
        <v>126</v>
      </c>
      <c r="E16">
        <v>1117.5931460246711</v>
      </c>
      <c r="F16">
        <v>550.55127184659477</v>
      </c>
      <c r="G16">
        <v>613.47786728932704</v>
      </c>
      <c r="H16">
        <v>802.18992742088847</v>
      </c>
      <c r="I16">
        <v>981.44435600524002</v>
      </c>
      <c r="J16">
        <v>1160.0541275481607</v>
      </c>
      <c r="K16">
        <v>1327.3724864174119</v>
      </c>
      <c r="L16">
        <v>1366.3447582574611</v>
      </c>
      <c r="M16">
        <v>1406.4409753618841</v>
      </c>
      <c r="N16">
        <v>1447.6823654219152</v>
      </c>
      <c r="O16">
        <v>1490.0913164102951</v>
      </c>
      <c r="P16">
        <v>1533.691346056934</v>
      </c>
      <c r="Q16">
        <v>1577.7838110616849</v>
      </c>
      <c r="R16">
        <v>1623.0949782422222</v>
      </c>
      <c r="S16">
        <v>1669.698209079902</v>
      </c>
      <c r="T16">
        <v>1717.6681797745171</v>
      </c>
      <c r="U16">
        <v>1767.0814182841011</v>
      </c>
      <c r="V16">
        <v>1817.9882010080339</v>
      </c>
      <c r="W16">
        <v>1870.3398237668148</v>
      </c>
      <c r="X16">
        <v>1924.1928846995293</v>
      </c>
      <c r="Y16">
        <v>1979.6060344982193</v>
      </c>
      <c r="Z16">
        <v>2036.6403360487452</v>
      </c>
      <c r="AA16">
        <v>2095.3594697893323</v>
      </c>
      <c r="AB16">
        <v>2155.8368351720501</v>
      </c>
      <c r="AC16">
        <v>2218.1481983749636</v>
      </c>
      <c r="AD16">
        <v>2282.3724956549986</v>
      </c>
      <c r="AE16">
        <v>2348.5919159208902</v>
      </c>
      <c r="AF16">
        <v>2416.892038697004</v>
      </c>
      <c r="AG16">
        <v>2487.3622843037542</v>
      </c>
      <c r="AH16">
        <v>2560.0960676552872</v>
      </c>
      <c r="AI16">
        <v>2635.1911878960386</v>
      </c>
      <c r="AJ16">
        <v>2712.8821705533596</v>
      </c>
    </row>
    <row r="17" spans="1:36">
      <c r="A17" t="s">
        <v>661</v>
      </c>
      <c r="B17" t="s">
        <v>654</v>
      </c>
      <c r="C17" t="s">
        <v>658</v>
      </c>
      <c r="D17" t="s">
        <v>125</v>
      </c>
      <c r="E17">
        <v>9977.1301254488098</v>
      </c>
      <c r="F17">
        <v>4253.4400467637879</v>
      </c>
      <c r="G17">
        <v>4827.4955119103097</v>
      </c>
      <c r="H17">
        <v>6657.2648527506244</v>
      </c>
      <c r="I17">
        <v>8390.2384303947692</v>
      </c>
      <c r="J17">
        <v>10114.462617527717</v>
      </c>
      <c r="K17">
        <v>11723.381028816719</v>
      </c>
      <c r="L17">
        <v>12046.36063152369</v>
      </c>
      <c r="M17">
        <v>12377.829005170161</v>
      </c>
      <c r="N17">
        <v>12717.87718904487</v>
      </c>
      <c r="O17">
        <v>13066.601271044679</v>
      </c>
      <c r="P17">
        <v>13424.10487477375</v>
      </c>
      <c r="Q17">
        <v>13782.798700135399</v>
      </c>
      <c r="R17">
        <v>14150.273589672259</v>
      </c>
      <c r="S17">
        <v>14527.18811382035</v>
      </c>
      <c r="T17">
        <v>14914.20827741436</v>
      </c>
      <c r="U17">
        <v>15308.055147212379</v>
      </c>
      <c r="V17">
        <v>15712.10177693989</v>
      </c>
      <c r="W17">
        <v>16125.556398409408</v>
      </c>
      <c r="X17">
        <v>16548.82043305827</v>
      </c>
      <c r="Y17">
        <v>16982.316551892931</v>
      </c>
      <c r="Z17">
        <v>17426.488227619531</v>
      </c>
      <c r="AA17">
        <v>17881.79695886375</v>
      </c>
      <c r="AB17">
        <v>18348.797028447669</v>
      </c>
      <c r="AC17">
        <v>18828.048864402452</v>
      </c>
      <c r="AD17">
        <v>19320.126859002292</v>
      </c>
      <c r="AE17">
        <v>19825.621401029101</v>
      </c>
      <c r="AF17">
        <v>20345.14354942938</v>
      </c>
      <c r="AG17">
        <v>20879.334476559292</v>
      </c>
      <c r="AH17">
        <v>21428.872181525621</v>
      </c>
      <c r="AI17">
        <v>21994.481351494062</v>
      </c>
      <c r="AJ17">
        <v>22578.400677639322</v>
      </c>
    </row>
    <row r="18" spans="1:36">
      <c r="A18" t="s">
        <v>661</v>
      </c>
      <c r="B18" t="s">
        <v>654</v>
      </c>
      <c r="C18" t="s">
        <v>659</v>
      </c>
      <c r="D18" t="s">
        <v>126</v>
      </c>
      <c r="E18">
        <v>119.88013347978999</v>
      </c>
      <c r="F18">
        <v>125.207267170216</v>
      </c>
      <c r="G18">
        <v>130.72831609829601</v>
      </c>
      <c r="H18">
        <v>136.46344214582601</v>
      </c>
      <c r="I18">
        <v>142.42051296576301</v>
      </c>
      <c r="J18">
        <v>148.60786579538902</v>
      </c>
      <c r="K18">
        <v>155.03438353573998</v>
      </c>
      <c r="L18">
        <v>161.708695105092</v>
      </c>
      <c r="M18">
        <v>168.65807484486803</v>
      </c>
      <c r="N18">
        <v>175.89464651742801</v>
      </c>
      <c r="O18">
        <v>183.43118930582699</v>
      </c>
      <c r="P18">
        <v>191.28085857955898</v>
      </c>
      <c r="Q18">
        <v>199.50394104814498</v>
      </c>
      <c r="R18">
        <v>208.06761927499599</v>
      </c>
      <c r="S18">
        <v>216.979397697867</v>
      </c>
      <c r="T18">
        <v>226.247352033081</v>
      </c>
      <c r="U18">
        <v>236.27590356286299</v>
      </c>
      <c r="V18">
        <v>246.77802331404502</v>
      </c>
      <c r="W18">
        <v>257.784183925874</v>
      </c>
      <c r="X18">
        <v>269.31084139370199</v>
      </c>
      <c r="Y18">
        <v>281.37437930892605</v>
      </c>
      <c r="Z18">
        <v>293.99151328679199</v>
      </c>
      <c r="AA18">
        <v>307.17977390295698</v>
      </c>
      <c r="AB18">
        <v>320.95713232728303</v>
      </c>
      <c r="AC18">
        <v>335.34331193471803</v>
      </c>
      <c r="AD18">
        <v>350.359809754769</v>
      </c>
      <c r="AE18">
        <v>366.02977581797995</v>
      </c>
      <c r="AF18">
        <v>382.37768375406597</v>
      </c>
      <c r="AG18">
        <v>399.42883664782499</v>
      </c>
      <c r="AH18">
        <v>417.208849502725</v>
      </c>
      <c r="AI18">
        <v>435.74305274663203</v>
      </c>
      <c r="AJ18">
        <v>455.04210278942702</v>
      </c>
    </row>
    <row r="22" spans="1:36">
      <c r="A22" t="s">
        <v>662</v>
      </c>
      <c r="B22" t="s">
        <v>663</v>
      </c>
      <c r="F22">
        <v>0.54</v>
      </c>
      <c r="G22">
        <v>0.59</v>
      </c>
      <c r="H22">
        <v>0.71</v>
      </c>
      <c r="I22">
        <v>0.82</v>
      </c>
      <c r="J22">
        <v>0.91</v>
      </c>
      <c r="K22">
        <v>1</v>
      </c>
    </row>
    <row r="23" spans="1:36">
      <c r="A23" t="s">
        <v>125</v>
      </c>
      <c r="B23" t="s">
        <v>663</v>
      </c>
      <c r="F23">
        <v>0.33</v>
      </c>
      <c r="G23">
        <v>0.38</v>
      </c>
      <c r="H23">
        <v>0.56000000000000005</v>
      </c>
      <c r="I23">
        <v>0.72</v>
      </c>
      <c r="J23">
        <v>0.87</v>
      </c>
      <c r="K23">
        <v>1</v>
      </c>
    </row>
    <row r="27" spans="1:36">
      <c r="F27">
        <v>2020</v>
      </c>
      <c r="G27">
        <v>2021</v>
      </c>
      <c r="H27">
        <v>2022</v>
      </c>
      <c r="I27">
        <v>2023</v>
      </c>
      <c r="J27">
        <v>2024</v>
      </c>
      <c r="K27">
        <v>2025</v>
      </c>
    </row>
    <row r="28" spans="1:36">
      <c r="F28">
        <v>8944375594180.4492</v>
      </c>
      <c r="G28">
        <v>9188222351245.6309</v>
      </c>
      <c r="H28">
        <v>9439519997337.9707</v>
      </c>
      <c r="I28">
        <v>9698505002365.6797</v>
      </c>
      <c r="J28">
        <v>9965423124816.4102</v>
      </c>
      <c r="K28">
        <v>10240529896791.6</v>
      </c>
    </row>
    <row r="29" spans="1:36">
      <c r="F29">
        <v>130179610068.424</v>
      </c>
      <c r="G29">
        <v>133597101843.69701</v>
      </c>
      <c r="H29">
        <v>137113365424.136</v>
      </c>
      <c r="I29">
        <v>140731482869.14801</v>
      </c>
      <c r="J29">
        <v>144454449893.74399</v>
      </c>
      <c r="K29">
        <v>148285113202.51199</v>
      </c>
    </row>
    <row r="30" spans="1:36">
      <c r="F30">
        <v>4253.4400467637879</v>
      </c>
      <c r="G30">
        <v>4827.4955119103097</v>
      </c>
      <c r="H30">
        <v>6657.2648527506244</v>
      </c>
      <c r="I30">
        <v>8390.2384303947692</v>
      </c>
      <c r="J30">
        <v>10114.462617527717</v>
      </c>
      <c r="K30">
        <v>11723.381028816719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4F4E-A70C-4A1E-A8F4-9E44E1880C6A}">
  <sheetPr codeName="Sheet13">
    <tabColor theme="0" tint="-0.499984740745262"/>
  </sheetPr>
  <dimension ref="A1:CP209"/>
  <sheetViews>
    <sheetView showGridLines="0" topLeftCell="A3" zoomScaleNormal="100" workbookViewId="0">
      <selection activeCell="V91" sqref="M91:V91"/>
    </sheetView>
  </sheetViews>
  <sheetFormatPr defaultColWidth="0" defaultRowHeight="15.75" zeroHeight="1" outlineLevelRow="1" outlineLevelCol="2"/>
  <cols>
    <col min="1" max="1" width="12.85546875" style="596" customWidth="1"/>
    <col min="2" max="2" width="18.28515625" style="596" customWidth="1"/>
    <col min="3" max="3" width="7.140625" style="596" hidden="1" customWidth="1"/>
    <col min="4" max="4" width="20" style="596" hidden="1" customWidth="1"/>
    <col min="5" max="5" width="7.140625" style="512" customWidth="1"/>
    <col min="6" max="7" width="7.140625" style="512" customWidth="1" outlineLevel="1"/>
    <col min="8" max="8" width="7.140625" style="513" customWidth="1"/>
    <col min="9" max="9" width="7.140625" style="512" customWidth="1" outlineLevel="1"/>
    <col min="10" max="10" width="7.140625" style="512" customWidth="1"/>
    <col min="11" max="14" width="7.140625" style="512" customWidth="1" outlineLevel="1"/>
    <col min="15" max="15" width="7.140625" style="512" customWidth="1"/>
    <col min="16" max="19" width="7.140625" style="512" customWidth="1" outlineLevel="1"/>
    <col min="20" max="20" width="7.140625" style="512" customWidth="1"/>
    <col min="21" max="24" width="7.140625" style="512" customWidth="1" outlineLevel="1"/>
    <col min="25" max="25" width="7.140625" style="512" customWidth="1"/>
    <col min="26" max="29" width="7.140625" style="512" hidden="1" customWidth="1" outlineLevel="1"/>
    <col min="30" max="30" width="7.140625" style="512" customWidth="1" collapsed="1"/>
    <col min="31" max="34" width="7.140625" style="512" hidden="1" customWidth="1" outlineLevel="1"/>
    <col min="35" max="35" width="7.140625" style="512" customWidth="1" collapsed="1"/>
    <col min="36" max="39" width="7.140625" style="512" hidden="1" customWidth="1" outlineLevel="1"/>
    <col min="40" max="40" width="7.140625" style="512" customWidth="1" collapsed="1"/>
    <col min="41" max="44" width="7.140625" style="512" hidden="1" customWidth="1" outlineLevel="1"/>
    <col min="45" max="45" width="7.140625" style="512" hidden="1" customWidth="1" outlineLevel="1" collapsed="1"/>
    <col min="46" max="49" width="7.140625" style="512" hidden="1" customWidth="1" outlineLevel="2"/>
    <col min="50" max="50" width="7.140625" style="512" hidden="1" customWidth="1" outlineLevel="1" collapsed="1"/>
    <col min="51" max="54" width="7.140625" style="512" hidden="1" customWidth="1" outlineLevel="2"/>
    <col min="55" max="55" width="7.140625" style="512" hidden="1" customWidth="1" outlineLevel="1" collapsed="1"/>
    <col min="56" max="59" width="7.140625" style="512" hidden="1" customWidth="1" outlineLevel="2"/>
    <col min="60" max="60" width="7.140625" style="512" hidden="1" customWidth="1" outlineLevel="1" collapsed="1"/>
    <col min="61" max="64" width="7.140625" style="512" hidden="1" customWidth="1" outlineLevel="2"/>
    <col min="65" max="65" width="7.140625" style="512" hidden="1" customWidth="1" outlineLevel="1" collapsed="1"/>
    <col min="66" max="69" width="7.140625" style="512" hidden="1" customWidth="1" outlineLevel="2"/>
    <col min="70" max="70" width="7.140625" style="512" hidden="1" customWidth="1" outlineLevel="1" collapsed="1"/>
    <col min="71" max="74" width="7.140625" style="512" hidden="1" customWidth="1" outlineLevel="2"/>
    <col min="75" max="75" width="7.140625" style="512" hidden="1" customWidth="1" outlineLevel="1" collapsed="1"/>
    <col min="76" max="79" width="7.140625" style="512" hidden="1" customWidth="1" outlineLevel="2"/>
    <col min="80" max="80" width="7.140625" style="512" hidden="1" customWidth="1" outlineLevel="1" collapsed="1"/>
    <col min="81" max="84" width="7.140625" style="512" hidden="1" customWidth="1" outlineLevel="2"/>
    <col min="85" max="85" width="7.140625" style="512" hidden="1" customWidth="1" outlineLevel="1" collapsed="1"/>
    <col min="86" max="89" width="7.140625" style="512" hidden="1" customWidth="1" outlineLevel="2"/>
    <col min="90" max="90" width="7.140625" style="512" hidden="1" customWidth="1" outlineLevel="1" collapsed="1"/>
    <col min="91" max="91" width="1.85546875" style="596" customWidth="1" collapsed="1"/>
    <col min="92" max="94" width="11.42578125" style="596" customWidth="1"/>
    <col min="95" max="16384" width="8.85546875" style="596" hidden="1"/>
  </cols>
  <sheetData>
    <row r="1" spans="1:94" s="511" customFormat="1" ht="21" hidden="1" customHeight="1">
      <c r="A1" s="641"/>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c r="BW1" s="641"/>
      <c r="BX1" s="641"/>
      <c r="BY1" s="641"/>
      <c r="BZ1" s="641"/>
      <c r="CA1" s="641"/>
      <c r="CB1" s="641"/>
      <c r="CC1" s="641"/>
      <c r="CD1" s="641"/>
      <c r="CE1" s="641"/>
      <c r="CF1" s="641"/>
      <c r="CG1" s="641"/>
      <c r="CH1" s="641"/>
      <c r="CI1" s="641"/>
      <c r="CJ1" s="641"/>
      <c r="CK1" s="641"/>
      <c r="CL1" s="641"/>
      <c r="CM1" s="641"/>
      <c r="CN1" s="641"/>
      <c r="CO1" s="641"/>
      <c r="CP1" s="641"/>
    </row>
    <row r="2" spans="1:94" s="511" customFormat="1" ht="21" hidden="1" customHeight="1">
      <c r="A2" s="599"/>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H2" s="599"/>
      <c r="BI2" s="599"/>
      <c r="BJ2" s="599"/>
      <c r="BK2" s="599"/>
      <c r="BL2" s="599"/>
      <c r="BM2" s="599"/>
      <c r="BN2" s="599"/>
      <c r="BO2" s="599"/>
      <c r="BP2" s="599"/>
      <c r="BQ2" s="599"/>
      <c r="BR2" s="599"/>
      <c r="BS2" s="599"/>
      <c r="BT2" s="599"/>
      <c r="BU2" s="599"/>
      <c r="BV2" s="599"/>
      <c r="BW2" s="599"/>
      <c r="BX2" s="599"/>
      <c r="BY2" s="599"/>
      <c r="BZ2" s="599"/>
      <c r="CA2" s="599"/>
      <c r="CB2" s="599"/>
      <c r="CC2" s="599"/>
      <c r="CD2" s="599"/>
      <c r="CE2" s="599"/>
      <c r="CF2" s="599"/>
      <c r="CG2" s="599"/>
      <c r="CH2" s="599"/>
      <c r="CI2" s="599"/>
      <c r="CJ2" s="599"/>
      <c r="CK2" s="599"/>
      <c r="CL2" s="599"/>
      <c r="CM2" s="599"/>
      <c r="CN2" s="599"/>
      <c r="CO2" s="599"/>
      <c r="CP2" s="599"/>
    </row>
    <row r="3" spans="1:94" ht="21" customHeight="1">
      <c r="A3" s="512" t="s">
        <v>162</v>
      </c>
      <c r="B3" s="634" t="str">
        <f>Catalogues!R3</f>
        <v>Well Below 2°C (SDS)</v>
      </c>
      <c r="Y3" s="514"/>
      <c r="AD3" s="514"/>
    </row>
    <row r="4" spans="1:94" ht="21" customHeight="1">
      <c r="A4" s="512" t="s">
        <v>278</v>
      </c>
      <c r="B4" s="606">
        <f>base</f>
        <v>2019</v>
      </c>
      <c r="C4" s="515" t="s">
        <v>279</v>
      </c>
      <c r="AN4" s="607"/>
    </row>
    <row r="5" spans="1:94" ht="21" customHeight="1">
      <c r="A5" s="512" t="s">
        <v>123</v>
      </c>
      <c r="B5" s="606">
        <v>2050</v>
      </c>
      <c r="C5" s="515" t="s">
        <v>275</v>
      </c>
      <c r="AN5" s="607"/>
    </row>
    <row r="6" spans="1:94" ht="21" customHeight="1">
      <c r="A6" s="512" t="s">
        <v>373</v>
      </c>
      <c r="B6" s="605" t="s">
        <v>376</v>
      </c>
      <c r="C6" s="515"/>
      <c r="AN6" s="607"/>
      <c r="CN6" s="608"/>
      <c r="CO6" s="608"/>
      <c r="CP6" s="608"/>
    </row>
    <row r="7" spans="1:94" s="511" customFormat="1" ht="21" customHeight="1">
      <c r="A7" s="516"/>
      <c r="C7" s="517"/>
      <c r="E7" s="516"/>
      <c r="F7" s="516"/>
      <c r="G7" s="516"/>
      <c r="H7" s="518"/>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609"/>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516"/>
      <c r="BQ7" s="516"/>
      <c r="BR7" s="516"/>
      <c r="BS7" s="516"/>
      <c r="BT7" s="516"/>
      <c r="BU7" s="516"/>
      <c r="BV7" s="516"/>
      <c r="BW7" s="516"/>
      <c r="BX7" s="516"/>
      <c r="BY7" s="516"/>
      <c r="BZ7" s="516"/>
      <c r="CA7" s="516"/>
      <c r="CB7" s="516"/>
      <c r="CC7" s="516"/>
      <c r="CD7" s="516"/>
      <c r="CE7" s="516"/>
      <c r="CF7" s="516"/>
      <c r="CG7" s="516"/>
      <c r="CH7" s="516"/>
      <c r="CI7" s="516"/>
      <c r="CJ7" s="516"/>
      <c r="CK7" s="516"/>
      <c r="CL7" s="516"/>
      <c r="CN7" s="610"/>
      <c r="CO7" s="610"/>
      <c r="CP7" s="610"/>
    </row>
    <row r="8" spans="1:94" ht="21" customHeight="1">
      <c r="A8" s="519" t="s">
        <v>287</v>
      </c>
      <c r="B8" s="519" t="s">
        <v>288</v>
      </c>
      <c r="C8" s="519" t="s">
        <v>286</v>
      </c>
      <c r="D8" s="519" t="s">
        <v>285</v>
      </c>
      <c r="E8" s="520">
        <v>2015</v>
      </c>
      <c r="F8" s="521">
        <f>E8+1</f>
        <v>2016</v>
      </c>
      <c r="G8" s="521">
        <f>F8+1</f>
        <v>2017</v>
      </c>
      <c r="H8" s="521">
        <f>G8+1</f>
        <v>2018</v>
      </c>
      <c r="I8" s="521">
        <f>H8+1</f>
        <v>2019</v>
      </c>
      <c r="J8" s="521">
        <f>E8+5</f>
        <v>2020</v>
      </c>
      <c r="K8" s="521">
        <f>J8+1</f>
        <v>2021</v>
      </c>
      <c r="L8" s="521">
        <f>K8+1</f>
        <v>2022</v>
      </c>
      <c r="M8" s="521">
        <f>L8+1</f>
        <v>2023</v>
      </c>
      <c r="N8" s="521">
        <f>M8+1</f>
        <v>2024</v>
      </c>
      <c r="O8" s="521">
        <f>J8+5</f>
        <v>2025</v>
      </c>
      <c r="P8" s="521">
        <f>O8+1</f>
        <v>2026</v>
      </c>
      <c r="Q8" s="521">
        <f>P8+1</f>
        <v>2027</v>
      </c>
      <c r="R8" s="521">
        <f>Q8+1</f>
        <v>2028</v>
      </c>
      <c r="S8" s="521">
        <f>R8+1</f>
        <v>2029</v>
      </c>
      <c r="T8" s="521">
        <f>O8+5</f>
        <v>2030</v>
      </c>
      <c r="U8" s="521">
        <f>T8+1</f>
        <v>2031</v>
      </c>
      <c r="V8" s="521">
        <f>U8+1</f>
        <v>2032</v>
      </c>
      <c r="W8" s="521">
        <f>V8+1</f>
        <v>2033</v>
      </c>
      <c r="X8" s="521">
        <f>W8+1</f>
        <v>2034</v>
      </c>
      <c r="Y8" s="521">
        <f>T8+5</f>
        <v>2035</v>
      </c>
      <c r="Z8" s="521">
        <f>Y8+1</f>
        <v>2036</v>
      </c>
      <c r="AA8" s="521">
        <f>Z8+1</f>
        <v>2037</v>
      </c>
      <c r="AB8" s="521">
        <f>AA8+1</f>
        <v>2038</v>
      </c>
      <c r="AC8" s="521">
        <f>AB8+1</f>
        <v>2039</v>
      </c>
      <c r="AD8" s="521">
        <f>Y8+5</f>
        <v>2040</v>
      </c>
      <c r="AE8" s="521">
        <f>AD8+1</f>
        <v>2041</v>
      </c>
      <c r="AF8" s="521">
        <f>AE8+1</f>
        <v>2042</v>
      </c>
      <c r="AG8" s="521">
        <f>AF8+1</f>
        <v>2043</v>
      </c>
      <c r="AH8" s="521">
        <f>AG8+1</f>
        <v>2044</v>
      </c>
      <c r="AI8" s="521">
        <f>AD8+5</f>
        <v>2045</v>
      </c>
      <c r="AJ8" s="521">
        <f>AI8+1</f>
        <v>2046</v>
      </c>
      <c r="AK8" s="521">
        <f>AJ8+1</f>
        <v>2047</v>
      </c>
      <c r="AL8" s="521">
        <f>AK8+1</f>
        <v>2048</v>
      </c>
      <c r="AM8" s="521">
        <f>AL8+1</f>
        <v>2049</v>
      </c>
      <c r="AN8" s="521">
        <f>AI8+5</f>
        <v>2050</v>
      </c>
      <c r="AO8" s="522">
        <f>AN8+1</f>
        <v>2051</v>
      </c>
      <c r="AP8" s="522">
        <f>AO8+1</f>
        <v>2052</v>
      </c>
      <c r="AQ8" s="522">
        <f>AP8+1</f>
        <v>2053</v>
      </c>
      <c r="AR8" s="522">
        <f>AQ8+1</f>
        <v>2054</v>
      </c>
      <c r="AS8" s="522">
        <f>AN8+5</f>
        <v>2055</v>
      </c>
      <c r="AT8" s="522">
        <f>AS8+1</f>
        <v>2056</v>
      </c>
      <c r="AU8" s="522">
        <f>AT8+1</f>
        <v>2057</v>
      </c>
      <c r="AV8" s="522">
        <f>AU8+1</f>
        <v>2058</v>
      </c>
      <c r="AW8" s="522">
        <f>AV8+1</f>
        <v>2059</v>
      </c>
      <c r="AX8" s="522">
        <f>AS8+5</f>
        <v>2060</v>
      </c>
      <c r="AY8" s="522">
        <f>AX8+1</f>
        <v>2061</v>
      </c>
      <c r="AZ8" s="522">
        <f>AY8+1</f>
        <v>2062</v>
      </c>
      <c r="BA8" s="522">
        <f>AZ8+1</f>
        <v>2063</v>
      </c>
      <c r="BB8" s="522">
        <f>BA8+1</f>
        <v>2064</v>
      </c>
      <c r="BC8" s="522">
        <f>AX8+5</f>
        <v>2065</v>
      </c>
      <c r="BD8" s="522">
        <f>BC8+1</f>
        <v>2066</v>
      </c>
      <c r="BE8" s="522">
        <f>BD8+1</f>
        <v>2067</v>
      </c>
      <c r="BF8" s="522">
        <f>BE8+1</f>
        <v>2068</v>
      </c>
      <c r="BG8" s="522">
        <f>BF8+1</f>
        <v>2069</v>
      </c>
      <c r="BH8" s="522">
        <f>BC8+5</f>
        <v>2070</v>
      </c>
      <c r="BI8" s="522">
        <f>BH8+1</f>
        <v>2071</v>
      </c>
      <c r="BJ8" s="522">
        <f>BI8+1</f>
        <v>2072</v>
      </c>
      <c r="BK8" s="522">
        <f>BJ8+1</f>
        <v>2073</v>
      </c>
      <c r="BL8" s="522">
        <f>BK8+1</f>
        <v>2074</v>
      </c>
      <c r="BM8" s="522">
        <f>BH8+5</f>
        <v>2075</v>
      </c>
      <c r="BN8" s="522">
        <f>BM8+1</f>
        <v>2076</v>
      </c>
      <c r="BO8" s="522">
        <f>BN8+1</f>
        <v>2077</v>
      </c>
      <c r="BP8" s="522">
        <f>BO8+1</f>
        <v>2078</v>
      </c>
      <c r="BQ8" s="522">
        <f>BP8+1</f>
        <v>2079</v>
      </c>
      <c r="BR8" s="522">
        <f>BM8+5</f>
        <v>2080</v>
      </c>
      <c r="BS8" s="522">
        <f>BR8+1</f>
        <v>2081</v>
      </c>
      <c r="BT8" s="522">
        <f>BS8+1</f>
        <v>2082</v>
      </c>
      <c r="BU8" s="522">
        <f>BT8+1</f>
        <v>2083</v>
      </c>
      <c r="BV8" s="522">
        <f>BU8+1</f>
        <v>2084</v>
      </c>
      <c r="BW8" s="522">
        <f>BR8+5</f>
        <v>2085</v>
      </c>
      <c r="BX8" s="522">
        <f>BW8+1</f>
        <v>2086</v>
      </c>
      <c r="BY8" s="522">
        <f>BX8+1</f>
        <v>2087</v>
      </c>
      <c r="BZ8" s="522">
        <f>BY8+1</f>
        <v>2088</v>
      </c>
      <c r="CA8" s="522">
        <f>BZ8+1</f>
        <v>2089</v>
      </c>
      <c r="CB8" s="522">
        <f>BW8+5</f>
        <v>2090</v>
      </c>
      <c r="CC8" s="522">
        <f>CB8+1</f>
        <v>2091</v>
      </c>
      <c r="CD8" s="522">
        <f>CC8+1</f>
        <v>2092</v>
      </c>
      <c r="CE8" s="522">
        <f>CD8+1</f>
        <v>2093</v>
      </c>
      <c r="CF8" s="522">
        <f>CE8+1</f>
        <v>2094</v>
      </c>
      <c r="CG8" s="522">
        <f>CB8+5</f>
        <v>2095</v>
      </c>
      <c r="CH8" s="522">
        <f>CG8+1</f>
        <v>2096</v>
      </c>
      <c r="CI8" s="522">
        <f>CH8+1</f>
        <v>2097</v>
      </c>
      <c r="CJ8" s="522">
        <f>CI8+1</f>
        <v>2098</v>
      </c>
      <c r="CK8" s="522">
        <f>CJ8+1</f>
        <v>2099</v>
      </c>
      <c r="CL8" s="522">
        <f>CG8+5</f>
        <v>2100</v>
      </c>
      <c r="CM8" s="523"/>
      <c r="CN8" s="611" t="s">
        <v>409</v>
      </c>
      <c r="CO8" s="611" t="s">
        <v>411</v>
      </c>
      <c r="CP8" s="611" t="s">
        <v>410</v>
      </c>
    </row>
    <row r="9" spans="1:94">
      <c r="A9" s="524" t="s">
        <v>492</v>
      </c>
      <c r="B9" s="519"/>
      <c r="C9" s="519"/>
      <c r="D9" s="519"/>
      <c r="E9" s="520"/>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2"/>
      <c r="AP9" s="522"/>
      <c r="AQ9" s="522"/>
      <c r="AR9" s="522"/>
      <c r="AS9" s="522"/>
      <c r="AT9" s="522"/>
      <c r="AU9" s="522"/>
      <c r="AV9" s="522"/>
      <c r="AW9" s="522"/>
      <c r="AX9" s="522"/>
      <c r="AY9" s="522"/>
      <c r="AZ9" s="522"/>
      <c r="BA9" s="522"/>
      <c r="BB9" s="522"/>
      <c r="BC9" s="522"/>
      <c r="BD9" s="522"/>
      <c r="BE9" s="522"/>
      <c r="BF9" s="522"/>
      <c r="BG9" s="522"/>
      <c r="BH9" s="522"/>
      <c r="BI9" s="522"/>
      <c r="BJ9" s="522"/>
      <c r="BK9" s="522"/>
      <c r="BL9" s="522"/>
      <c r="BM9" s="522"/>
      <c r="BN9" s="522"/>
      <c r="BO9" s="522"/>
      <c r="BP9" s="522"/>
      <c r="BQ9" s="522"/>
      <c r="BR9" s="522"/>
      <c r="BS9" s="522"/>
      <c r="BT9" s="522"/>
      <c r="BU9" s="522"/>
      <c r="BV9" s="522"/>
      <c r="BW9" s="522"/>
      <c r="BX9" s="522"/>
      <c r="BY9" s="522"/>
      <c r="BZ9" s="522"/>
      <c r="CA9" s="522"/>
      <c r="CB9" s="522"/>
      <c r="CC9" s="522"/>
      <c r="CD9" s="522"/>
      <c r="CE9" s="522"/>
      <c r="CF9" s="522"/>
      <c r="CG9" s="522"/>
      <c r="CH9" s="522"/>
      <c r="CI9" s="522"/>
      <c r="CJ9" s="522"/>
      <c r="CK9" s="522"/>
      <c r="CL9" s="522"/>
      <c r="CM9" s="523"/>
      <c r="CN9" s="611"/>
      <c r="CO9" s="611"/>
      <c r="CP9" s="611"/>
    </row>
    <row r="10" spans="1:94" ht="16.5" thickBot="1">
      <c r="A10" s="525" t="s">
        <v>153</v>
      </c>
      <c r="B10" s="526"/>
      <c r="C10" s="526"/>
      <c r="D10" s="526"/>
      <c r="E10" s="527">
        <v>2015</v>
      </c>
      <c r="F10" s="528">
        <f>E10+1</f>
        <v>2016</v>
      </c>
      <c r="G10" s="528">
        <f t="shared" ref="G10:I10" si="0">F10+1</f>
        <v>2017</v>
      </c>
      <c r="H10" s="528">
        <f t="shared" si="0"/>
        <v>2018</v>
      </c>
      <c r="I10" s="528">
        <f t="shared" si="0"/>
        <v>2019</v>
      </c>
      <c r="J10" s="528">
        <f>E10+5</f>
        <v>2020</v>
      </c>
      <c r="K10" s="528">
        <f>J10+1</f>
        <v>2021</v>
      </c>
      <c r="L10" s="528">
        <f t="shared" ref="L10:N10" si="1">K10+1</f>
        <v>2022</v>
      </c>
      <c r="M10" s="528">
        <f t="shared" si="1"/>
        <v>2023</v>
      </c>
      <c r="N10" s="528">
        <f t="shared" si="1"/>
        <v>2024</v>
      </c>
      <c r="O10" s="528">
        <f>J10+5</f>
        <v>2025</v>
      </c>
      <c r="P10" s="528">
        <f>O10+1</f>
        <v>2026</v>
      </c>
      <c r="Q10" s="528">
        <f t="shared" ref="Q10:S10" si="2">P10+1</f>
        <v>2027</v>
      </c>
      <c r="R10" s="528">
        <f t="shared" si="2"/>
        <v>2028</v>
      </c>
      <c r="S10" s="528">
        <f t="shared" si="2"/>
        <v>2029</v>
      </c>
      <c r="T10" s="528">
        <f>O10+5</f>
        <v>2030</v>
      </c>
      <c r="U10" s="528">
        <f>T10+1</f>
        <v>2031</v>
      </c>
      <c r="V10" s="528">
        <f t="shared" ref="V10:X10" si="3">U10+1</f>
        <v>2032</v>
      </c>
      <c r="W10" s="528">
        <f t="shared" si="3"/>
        <v>2033</v>
      </c>
      <c r="X10" s="528">
        <f t="shared" si="3"/>
        <v>2034</v>
      </c>
      <c r="Y10" s="528">
        <f>T10+5</f>
        <v>2035</v>
      </c>
      <c r="Z10" s="528">
        <f>Y10+1</f>
        <v>2036</v>
      </c>
      <c r="AA10" s="528">
        <f t="shared" ref="AA10:AC10" si="4">Z10+1</f>
        <v>2037</v>
      </c>
      <c r="AB10" s="528">
        <f t="shared" si="4"/>
        <v>2038</v>
      </c>
      <c r="AC10" s="528">
        <f t="shared" si="4"/>
        <v>2039</v>
      </c>
      <c r="AD10" s="528">
        <f>Y10+5</f>
        <v>2040</v>
      </c>
      <c r="AE10" s="528">
        <f>AD10+1</f>
        <v>2041</v>
      </c>
      <c r="AF10" s="528">
        <f t="shared" ref="AF10:AH10" si="5">AE10+1</f>
        <v>2042</v>
      </c>
      <c r="AG10" s="528">
        <f t="shared" si="5"/>
        <v>2043</v>
      </c>
      <c r="AH10" s="528">
        <f t="shared" si="5"/>
        <v>2044</v>
      </c>
      <c r="AI10" s="528">
        <f>AD10+5</f>
        <v>2045</v>
      </c>
      <c r="AJ10" s="528">
        <f>AI10+1</f>
        <v>2046</v>
      </c>
      <c r="AK10" s="528">
        <f t="shared" ref="AK10:AM10" si="6">AJ10+1</f>
        <v>2047</v>
      </c>
      <c r="AL10" s="528">
        <f t="shared" si="6"/>
        <v>2048</v>
      </c>
      <c r="AM10" s="528">
        <f t="shared" si="6"/>
        <v>2049</v>
      </c>
      <c r="AN10" s="528">
        <f>AI10+5</f>
        <v>2050</v>
      </c>
      <c r="AO10" s="528">
        <f>AN10+1</f>
        <v>2051</v>
      </c>
      <c r="AP10" s="528">
        <f t="shared" ref="AP10:AR10" si="7">AO10+1</f>
        <v>2052</v>
      </c>
      <c r="AQ10" s="528">
        <f t="shared" si="7"/>
        <v>2053</v>
      </c>
      <c r="AR10" s="528">
        <f t="shared" si="7"/>
        <v>2054</v>
      </c>
      <c r="AS10" s="528">
        <f>AN10+5</f>
        <v>2055</v>
      </c>
      <c r="AT10" s="528">
        <f>AS10+1</f>
        <v>2056</v>
      </c>
      <c r="AU10" s="528">
        <f t="shared" ref="AU10:AW10" si="8">AT10+1</f>
        <v>2057</v>
      </c>
      <c r="AV10" s="528">
        <f t="shared" si="8"/>
        <v>2058</v>
      </c>
      <c r="AW10" s="528">
        <f t="shared" si="8"/>
        <v>2059</v>
      </c>
      <c r="AX10" s="528">
        <f>AS10+5</f>
        <v>2060</v>
      </c>
      <c r="AY10" s="528">
        <f>AX10+1</f>
        <v>2061</v>
      </c>
      <c r="AZ10" s="528">
        <f t="shared" ref="AZ10:BB10" si="9">AY10+1</f>
        <v>2062</v>
      </c>
      <c r="BA10" s="528">
        <f t="shared" si="9"/>
        <v>2063</v>
      </c>
      <c r="BB10" s="528">
        <f t="shared" si="9"/>
        <v>2064</v>
      </c>
      <c r="BC10" s="528">
        <f>AX10+5</f>
        <v>2065</v>
      </c>
      <c r="BD10" s="528">
        <f>BC10+1</f>
        <v>2066</v>
      </c>
      <c r="BE10" s="528">
        <f t="shared" ref="BE10:BG10" si="10">BD10+1</f>
        <v>2067</v>
      </c>
      <c r="BF10" s="528">
        <f t="shared" si="10"/>
        <v>2068</v>
      </c>
      <c r="BG10" s="528">
        <f t="shared" si="10"/>
        <v>2069</v>
      </c>
      <c r="BH10" s="528">
        <f>BC10+5</f>
        <v>2070</v>
      </c>
      <c r="BI10" s="528">
        <f>BH10+1</f>
        <v>2071</v>
      </c>
      <c r="BJ10" s="528">
        <f t="shared" ref="BJ10:BL10" si="11">BI10+1</f>
        <v>2072</v>
      </c>
      <c r="BK10" s="528">
        <f t="shared" si="11"/>
        <v>2073</v>
      </c>
      <c r="BL10" s="528">
        <f t="shared" si="11"/>
        <v>2074</v>
      </c>
      <c r="BM10" s="528">
        <f>BH10+5</f>
        <v>2075</v>
      </c>
      <c r="BN10" s="528">
        <f>BM10+1</f>
        <v>2076</v>
      </c>
      <c r="BO10" s="528">
        <f t="shared" ref="BO10:BQ10" si="12">BN10+1</f>
        <v>2077</v>
      </c>
      <c r="BP10" s="528">
        <f t="shared" si="12"/>
        <v>2078</v>
      </c>
      <c r="BQ10" s="528">
        <f t="shared" si="12"/>
        <v>2079</v>
      </c>
      <c r="BR10" s="528">
        <f>BM10+5</f>
        <v>2080</v>
      </c>
      <c r="BS10" s="528">
        <f>BR10+1</f>
        <v>2081</v>
      </c>
      <c r="BT10" s="528">
        <f t="shared" ref="BT10:BV10" si="13">BS10+1</f>
        <v>2082</v>
      </c>
      <c r="BU10" s="528">
        <f t="shared" si="13"/>
        <v>2083</v>
      </c>
      <c r="BV10" s="528">
        <f t="shared" si="13"/>
        <v>2084</v>
      </c>
      <c r="BW10" s="528">
        <f>BR10+5</f>
        <v>2085</v>
      </c>
      <c r="BX10" s="528">
        <f>BW10+1</f>
        <v>2086</v>
      </c>
      <c r="BY10" s="528">
        <f t="shared" ref="BY10:CA10" si="14">BX10+1</f>
        <v>2087</v>
      </c>
      <c r="BZ10" s="528">
        <f t="shared" si="14"/>
        <v>2088</v>
      </c>
      <c r="CA10" s="528">
        <f t="shared" si="14"/>
        <v>2089</v>
      </c>
      <c r="CB10" s="528">
        <f>BW10+5</f>
        <v>2090</v>
      </c>
      <c r="CC10" s="528">
        <f>CB10+1</f>
        <v>2091</v>
      </c>
      <c r="CD10" s="528">
        <f t="shared" ref="CD10:CF10" si="15">CC10+1</f>
        <v>2092</v>
      </c>
      <c r="CE10" s="528">
        <f t="shared" si="15"/>
        <v>2093</v>
      </c>
      <c r="CF10" s="528">
        <f t="shared" si="15"/>
        <v>2094</v>
      </c>
      <c r="CG10" s="528">
        <f>CB10+5</f>
        <v>2095</v>
      </c>
      <c r="CH10" s="528">
        <f>CG10+1</f>
        <v>2096</v>
      </c>
      <c r="CI10" s="528">
        <f t="shared" ref="CI10:CK10" si="16">CH10+1</f>
        <v>2097</v>
      </c>
      <c r="CJ10" s="528">
        <f t="shared" si="16"/>
        <v>2098</v>
      </c>
      <c r="CK10" s="528">
        <f t="shared" si="16"/>
        <v>2099</v>
      </c>
      <c r="CL10" s="528">
        <f>CG10+5</f>
        <v>2100</v>
      </c>
      <c r="CN10" s="612" t="s">
        <v>409</v>
      </c>
      <c r="CO10" s="612" t="s">
        <v>411</v>
      </c>
      <c r="CP10" s="612" t="s">
        <v>410</v>
      </c>
    </row>
    <row r="11" spans="1:94" ht="16.5" outlineLevel="1" thickTop="1">
      <c r="A11" s="529" t="s">
        <v>152</v>
      </c>
      <c r="B11" s="529" t="str">
        <f>$A$10</f>
        <v>Ded-short</v>
      </c>
      <c r="C11" s="530" t="s">
        <v>289</v>
      </c>
      <c r="D11" s="530"/>
      <c r="E11" s="531">
        <f ca="1">IF($B$6="ON", IF(E10&gt;=covid_start, IF(E10&lt;covid_recovery,NA(),SUMIFS(INDIRECT("Data_main"&amp;"["&amp;E$8&amp;"]"),Data_main[Data],$A11, Data_main[Segment],$B11, Data_main[Scenario],$B$3)),SUMIFS(INDIRECT("Data_main"&amp;"["&amp;E$8&amp;"]"),Data_main[Data],$A11, Data_main[Segment],$B11, Data_main[Scenario],$B$3)),SUMIFS(INDIRECT("Data_main"&amp;"["&amp;E$8&amp;"]"),Data_main[Data],$A11, Data_main[Segment],$B11, Data_main[Scenario],$B$3))</f>
        <v>12.485861973024001</v>
      </c>
      <c r="F11" s="531">
        <f ca="1">IF($B$6="ON", IF(F10&gt;=covid_start, IF(F10&lt;covid_recovery,NA(),SUMIFS(INDIRECT("Data_main"&amp;"["&amp;F$8&amp;"]"),Data_main[Data],$A11, Data_main[Segment],$B11, Data_main[Scenario],$B$3)),SUMIFS(INDIRECT("Data_main"&amp;"["&amp;F$8&amp;"]"),Data_main[Data],$A11, Data_main[Segment],$B11, Data_main[Scenario],$B$3)),SUMIFS(INDIRECT("Data_main"&amp;"["&amp;F$8&amp;"]"),Data_main[Data],$A11, Data_main[Segment],$B11, Data_main[Scenario],$B$3))</f>
        <v>12.815999234496001</v>
      </c>
      <c r="G11" s="531">
        <f ca="1">IF($B$6="ON", IF(G10&gt;=covid_start, IF(G10&lt;covid_recovery,NA(),SUMIFS(INDIRECT("Data_main"&amp;"["&amp;G$8&amp;"]"),Data_main[Data],$A11, Data_main[Segment],$B11, Data_main[Scenario],$B$3)),SUMIFS(INDIRECT("Data_main"&amp;"["&amp;G$8&amp;"]"),Data_main[Data],$A11, Data_main[Segment],$B11, Data_main[Scenario],$B$3)),SUMIFS(INDIRECT("Data_main"&amp;"["&amp;G$8&amp;"]"),Data_main[Data],$A11, Data_main[Segment],$B11, Data_main[Scenario],$B$3))</f>
        <v>13.146136495968001</v>
      </c>
      <c r="H11" s="531">
        <f ca="1">IF($B$6="ON", IF(H10&gt;=covid_start, IF(H10&lt;covid_recovery,NA(),SUMIFS(INDIRECT("Data_main"&amp;"["&amp;H$8&amp;"]"),Data_main[Data],$A11, Data_main[Segment],$B11, Data_main[Scenario],$B$3)),SUMIFS(INDIRECT("Data_main"&amp;"["&amp;H$8&amp;"]"),Data_main[Data],$A11, Data_main[Segment],$B11, Data_main[Scenario],$B$3)),SUMIFS(INDIRECT("Data_main"&amp;"["&amp;H$8&amp;"]"),Data_main[Data],$A11, Data_main[Segment],$B11, Data_main[Scenario],$B$3))</f>
        <v>13.47627375744</v>
      </c>
      <c r="I11" s="531">
        <f ca="1">IF($B$6="ON", IF(I10&gt;=covid_start, IF(I10&lt;covid_recovery,NA(),SUMIFS(INDIRECT("Data_main"&amp;"["&amp;I$8&amp;"]"),Data_main[Data],$A11, Data_main[Segment],$B11, Data_main[Scenario],$B$3)),SUMIFS(INDIRECT("Data_main"&amp;"["&amp;I$8&amp;"]"),Data_main[Data],$A11, Data_main[Segment],$B11, Data_main[Scenario],$B$3)),SUMIFS(INDIRECT("Data_main"&amp;"["&amp;I$8&amp;"]"),Data_main[Data],$A11, Data_main[Segment],$B11, Data_main[Scenario],$B$3))</f>
        <v>12.787643404624001</v>
      </c>
      <c r="J11" s="531" t="e">
        <f ca="1">IF($B$6="ON", IF(J10&gt;=covid_start, IF(J10&lt;covid_recovery,NA(),SUMIFS(INDIRECT("Data_main"&amp;"["&amp;J$8&amp;"]"),Data_main[Data],$A11, Data_main[Segment],$B11, Data_main[Scenario],$B$3)),SUMIFS(INDIRECT("Data_main"&amp;"["&amp;J$8&amp;"]"),Data_main[Data],$A11, Data_main[Segment],$B11, Data_main[Scenario],$B$3)),SUMIFS(INDIRECT("Data_main"&amp;"["&amp;J$8&amp;"]"),Data_main[Data],$A11, Data_main[Segment],$B11, Data_main[Scenario],$B$3))</f>
        <v>#N/A</v>
      </c>
      <c r="K11" s="531" t="e">
        <f ca="1">IF($B$6="ON", IF(K10&gt;=covid_start, IF(K10&lt;covid_recovery,NA(),SUMIFS(INDIRECT("Data_main"&amp;"["&amp;K$8&amp;"]"),Data_main[Data],$A11, Data_main[Segment],$B11, Data_main[Scenario],$B$3)),SUMIFS(INDIRECT("Data_main"&amp;"["&amp;K$8&amp;"]"),Data_main[Data],$A11, Data_main[Segment],$B11, Data_main[Scenario],$B$3)),SUMIFS(INDIRECT("Data_main"&amp;"["&amp;K$8&amp;"]"),Data_main[Data],$A11, Data_main[Segment],$B11, Data_main[Scenario],$B$3))</f>
        <v>#N/A</v>
      </c>
      <c r="L11" s="531" t="e">
        <f ca="1">IF($B$6="ON", IF(L10&gt;=covid_start, IF(L10&lt;covid_recovery,NA(),SUMIFS(INDIRECT("Data_main"&amp;"["&amp;L$8&amp;"]"),Data_main[Data],$A11, Data_main[Segment],$B11, Data_main[Scenario],$B$3)),SUMIFS(INDIRECT("Data_main"&amp;"["&amp;L$8&amp;"]"),Data_main[Data],$A11, Data_main[Segment],$B11, Data_main[Scenario],$B$3)),SUMIFS(INDIRECT("Data_main"&amp;"["&amp;L$8&amp;"]"),Data_main[Data],$A11, Data_main[Segment],$B11, Data_main[Scenario],$B$3))</f>
        <v>#N/A</v>
      </c>
      <c r="M11" s="531">
        <f ca="1">IF($B$6="ON", IF(M10&gt;=covid_start, IF(M10&lt;covid_recovery,NA(),SUMIFS(INDIRECT("Data_main"&amp;"["&amp;M$8&amp;"]"),Data_main[Data],$A11, Data_main[Segment],$B11, Data_main[Scenario],$B$3)),SUMIFS(INDIRECT("Data_main"&amp;"["&amp;M$8&amp;"]"),Data_main[Data],$A11, Data_main[Segment],$B11, Data_main[Scenario],$B$3)),SUMIFS(INDIRECT("Data_main"&amp;"["&amp;M$8&amp;"]"),Data_main[Data],$A11, Data_main[Segment],$B11, Data_main[Scenario],$B$3))</f>
        <v>12.58386937069171</v>
      </c>
      <c r="N11" s="531">
        <f ca="1">IF($B$6="ON", IF(N10&gt;=covid_start, IF(N10&lt;covid_recovery,NA(),SUMIFS(INDIRECT("Data_main"&amp;"["&amp;N$8&amp;"]"),Data_main[Data],$A11, Data_main[Segment],$B11, Data_main[Scenario],$B$3)),SUMIFS(INDIRECT("Data_main"&amp;"["&amp;N$8&amp;"]"),Data_main[Data],$A11, Data_main[Segment],$B11, Data_main[Scenario],$B$3)),SUMIFS(INDIRECT("Data_main"&amp;"["&amp;N$8&amp;"]"),Data_main[Data],$A11, Data_main[Segment],$B11, Data_main[Scenario],$B$3))</f>
        <v>12.532925862208641</v>
      </c>
      <c r="O11" s="531">
        <f ca="1">IF($B$6="ON", IF(O10&gt;=covid_start, IF(O10&lt;covid_recovery,NA(),SUMIFS(INDIRECT("Data_main"&amp;"["&amp;O$8&amp;"]"),Data_main[Data],$A11, Data_main[Segment],$B11, Data_main[Scenario],$B$3)),SUMIFS(INDIRECT("Data_main"&amp;"["&amp;O$8&amp;"]"),Data_main[Data],$A11, Data_main[Segment],$B11, Data_main[Scenario],$B$3)),SUMIFS(INDIRECT("Data_main"&amp;"["&amp;O$8&amp;"]"),Data_main[Data],$A11, Data_main[Segment],$B11, Data_main[Scenario],$B$3))</f>
        <v>12.481982353725567</v>
      </c>
      <c r="P11" s="531">
        <f ca="1">IF($B$6="ON", IF(P10&gt;=covid_start, IF(P10&lt;covid_recovery,NA(),SUMIFS(INDIRECT("Data_main"&amp;"["&amp;P$8&amp;"]"),Data_main[Data],$A11, Data_main[Segment],$B11, Data_main[Scenario],$B$3)),SUMIFS(INDIRECT("Data_main"&amp;"["&amp;P$8&amp;"]"),Data_main[Data],$A11, Data_main[Segment],$B11, Data_main[Scenario],$B$3)),SUMIFS(INDIRECT("Data_main"&amp;"["&amp;P$8&amp;"]"),Data_main[Data],$A11, Data_main[Segment],$B11, Data_main[Scenario],$B$3))</f>
        <v>12.431038845242496</v>
      </c>
      <c r="Q11" s="531">
        <f ca="1">IF($B$6="ON", IF(Q10&gt;=covid_start, IF(Q10&lt;covid_recovery,NA(),SUMIFS(INDIRECT("Data_main"&amp;"["&amp;Q$8&amp;"]"),Data_main[Data],$A11, Data_main[Segment],$B11, Data_main[Scenario],$B$3)),SUMIFS(INDIRECT("Data_main"&amp;"["&amp;Q$8&amp;"]"),Data_main[Data],$A11, Data_main[Segment],$B11, Data_main[Scenario],$B$3)),SUMIFS(INDIRECT("Data_main"&amp;"["&amp;Q$8&amp;"]"),Data_main[Data],$A11, Data_main[Segment],$B11, Data_main[Scenario],$B$3))</f>
        <v>12.380095336759421</v>
      </c>
      <c r="R11" s="531">
        <f ca="1">IF($B$6="ON", IF(R10&gt;=covid_start, IF(R10&lt;covid_recovery,NA(),SUMIFS(INDIRECT("Data_main"&amp;"["&amp;R$8&amp;"]"),Data_main[Data],$A11, Data_main[Segment],$B11, Data_main[Scenario],$B$3)),SUMIFS(INDIRECT("Data_main"&amp;"["&amp;R$8&amp;"]"),Data_main[Data],$A11, Data_main[Segment],$B11, Data_main[Scenario],$B$3)),SUMIFS(INDIRECT("Data_main"&amp;"["&amp;R$8&amp;"]"),Data_main[Data],$A11, Data_main[Segment],$B11, Data_main[Scenario],$B$3))</f>
        <v>12.329151828276347</v>
      </c>
      <c r="S11" s="531">
        <f ca="1">IF($B$6="ON", IF(S10&gt;=covid_start, IF(S10&lt;covid_recovery,NA(),SUMIFS(INDIRECT("Data_main"&amp;"["&amp;S$8&amp;"]"),Data_main[Data],$A11, Data_main[Segment],$B11, Data_main[Scenario],$B$3)),SUMIFS(INDIRECT("Data_main"&amp;"["&amp;S$8&amp;"]"),Data_main[Data],$A11, Data_main[Segment],$B11, Data_main[Scenario],$B$3)),SUMIFS(INDIRECT("Data_main"&amp;"["&amp;S$8&amp;"]"),Data_main[Data],$A11, Data_main[Segment],$B11, Data_main[Scenario],$B$3))</f>
        <v>12.278208319793274</v>
      </c>
      <c r="T11" s="531">
        <f ca="1">IF($B$6="ON", IF(T10&gt;=covid_start, IF(T10&lt;covid_recovery,NA(),SUMIFS(INDIRECT("Data_main"&amp;"["&amp;T$8&amp;"]"),Data_main[Data],$A11, Data_main[Segment],$B11, Data_main[Scenario],$B$3)),SUMIFS(INDIRECT("Data_main"&amp;"["&amp;T$8&amp;"]"),Data_main[Data],$A11, Data_main[Segment],$B11, Data_main[Scenario],$B$3)),SUMIFS(INDIRECT("Data_main"&amp;"["&amp;T$8&amp;"]"),Data_main[Data],$A11, Data_main[Segment],$B11, Data_main[Scenario],$B$3))</f>
        <v>12.227264811310192</v>
      </c>
      <c r="U11" s="531">
        <f ca="1">IF($B$6="ON", IF(U10&gt;=covid_start, IF(U10&lt;covid_recovery,NA(),SUMIFS(INDIRECT("Data_main"&amp;"["&amp;U$8&amp;"]"),Data_main[Data],$A11, Data_main[Segment],$B11, Data_main[Scenario],$B$3)),SUMIFS(INDIRECT("Data_main"&amp;"["&amp;U$8&amp;"]"),Data_main[Data],$A11, Data_main[Segment],$B11, Data_main[Scenario],$B$3)),SUMIFS(INDIRECT("Data_main"&amp;"["&amp;U$8&amp;"]"),Data_main[Data],$A11, Data_main[Segment],$B11, Data_main[Scenario],$B$3))</f>
        <v>12.098785008657424</v>
      </c>
      <c r="V11" s="531">
        <f ca="1">IF($B$6="ON", IF(V10&gt;=covid_start, IF(V10&lt;covid_recovery,NA(),SUMIFS(INDIRECT("Data_main"&amp;"["&amp;V$8&amp;"]"),Data_main[Data],$A11, Data_main[Segment],$B11, Data_main[Scenario],$B$3)),SUMIFS(INDIRECT("Data_main"&amp;"["&amp;V$8&amp;"]"),Data_main[Data],$A11, Data_main[Segment],$B11, Data_main[Scenario],$B$3)),SUMIFS(INDIRECT("Data_main"&amp;"["&amp;V$8&amp;"]"),Data_main[Data],$A11, Data_main[Segment],$B11, Data_main[Scenario],$B$3))</f>
        <v>11.970305206004655</v>
      </c>
      <c r="W11" s="531">
        <f ca="1">IF($B$6="ON", IF(W10&gt;=covid_start, IF(W10&lt;covid_recovery,NA(),SUMIFS(INDIRECT("Data_main"&amp;"["&amp;W$8&amp;"]"),Data_main[Data],$A11, Data_main[Segment],$B11, Data_main[Scenario],$B$3)),SUMIFS(INDIRECT("Data_main"&amp;"["&amp;W$8&amp;"]"),Data_main[Data],$A11, Data_main[Segment],$B11, Data_main[Scenario],$B$3)),SUMIFS(INDIRECT("Data_main"&amp;"["&amp;W$8&amp;"]"),Data_main[Data],$A11, Data_main[Segment],$B11, Data_main[Scenario],$B$3))</f>
        <v>11.841825403351883</v>
      </c>
      <c r="X11" s="531">
        <f ca="1">IF($B$6="ON", IF(X10&gt;=covid_start, IF(X10&lt;covid_recovery,NA(),SUMIFS(INDIRECT("Data_main"&amp;"["&amp;X$8&amp;"]"),Data_main[Data],$A11, Data_main[Segment],$B11, Data_main[Scenario],$B$3)),SUMIFS(INDIRECT("Data_main"&amp;"["&amp;X$8&amp;"]"),Data_main[Data],$A11, Data_main[Segment],$B11, Data_main[Scenario],$B$3)),SUMIFS(INDIRECT("Data_main"&amp;"["&amp;X$8&amp;"]"),Data_main[Data],$A11, Data_main[Segment],$B11, Data_main[Scenario],$B$3))</f>
        <v>11.713345600699112</v>
      </c>
      <c r="Y11" s="531">
        <f ca="1">IF($B$6="ON", IF(Y10&gt;=covid_start, IF(Y10&lt;covid_recovery,NA(),SUMIFS(INDIRECT("Data_main"&amp;"["&amp;Y$8&amp;"]"),Data_main[Data],$A11, Data_main[Segment],$B11, Data_main[Scenario],$B$3)),SUMIFS(INDIRECT("Data_main"&amp;"["&amp;Y$8&amp;"]"),Data_main[Data],$A11, Data_main[Segment],$B11, Data_main[Scenario],$B$3)),SUMIFS(INDIRECT("Data_main"&amp;"["&amp;Y$8&amp;"]"),Data_main[Data],$A11, Data_main[Segment],$B11, Data_main[Scenario],$B$3))</f>
        <v>11.584865798046346</v>
      </c>
      <c r="Z11" s="531">
        <f ca="1">IF($B$6="ON", IF(Z10&gt;=covid_start, IF(Z10&lt;covid_recovery,NA(),SUMIFS(INDIRECT("Data_main"&amp;"["&amp;Z$8&amp;"]"),Data_main[Data],$A11, Data_main[Segment],$B11, Data_main[Scenario],$B$3)),SUMIFS(INDIRECT("Data_main"&amp;"["&amp;Z$8&amp;"]"),Data_main[Data],$A11, Data_main[Segment],$B11, Data_main[Scenario],$B$3)),SUMIFS(INDIRECT("Data_main"&amp;"["&amp;Z$8&amp;"]"),Data_main[Data],$A11, Data_main[Segment],$B11, Data_main[Scenario],$B$3))</f>
        <v>11.456385995393578</v>
      </c>
      <c r="AA11" s="531">
        <f ca="1">IF($B$6="ON", IF(AA10&gt;=covid_start, IF(AA10&lt;covid_recovery,NA(),SUMIFS(INDIRECT("Data_main"&amp;"["&amp;AA$8&amp;"]"),Data_main[Data],$A11, Data_main[Segment],$B11, Data_main[Scenario],$B$3)),SUMIFS(INDIRECT("Data_main"&amp;"["&amp;AA$8&amp;"]"),Data_main[Data],$A11, Data_main[Segment],$B11, Data_main[Scenario],$B$3)),SUMIFS(INDIRECT("Data_main"&amp;"["&amp;AA$8&amp;"]"),Data_main[Data],$A11, Data_main[Segment],$B11, Data_main[Scenario],$B$3))</f>
        <v>11.327906192740807</v>
      </c>
      <c r="AB11" s="531">
        <f ca="1">IF($B$6="ON", IF(AB10&gt;=covid_start, IF(AB10&lt;covid_recovery,NA(),SUMIFS(INDIRECT("Data_main"&amp;"["&amp;AB$8&amp;"]"),Data_main[Data],$A11, Data_main[Segment],$B11, Data_main[Scenario],$B$3)),SUMIFS(INDIRECT("Data_main"&amp;"["&amp;AB$8&amp;"]"),Data_main[Data],$A11, Data_main[Segment],$B11, Data_main[Scenario],$B$3)),SUMIFS(INDIRECT("Data_main"&amp;"["&amp;AB$8&amp;"]"),Data_main[Data],$A11, Data_main[Segment],$B11, Data_main[Scenario],$B$3))</f>
        <v>11.199426390088041</v>
      </c>
      <c r="AC11" s="531">
        <f ca="1">IF($B$6="ON", IF(AC10&gt;=covid_start, IF(AC10&lt;covid_recovery,NA(),SUMIFS(INDIRECT("Data_main"&amp;"["&amp;AC$8&amp;"]"),Data_main[Data],$A11, Data_main[Segment],$B11, Data_main[Scenario],$B$3)),SUMIFS(INDIRECT("Data_main"&amp;"["&amp;AC$8&amp;"]"),Data_main[Data],$A11, Data_main[Segment],$B11, Data_main[Scenario],$B$3)),SUMIFS(INDIRECT("Data_main"&amp;"["&amp;AC$8&amp;"]"),Data_main[Data],$A11, Data_main[Segment],$B11, Data_main[Scenario],$B$3))</f>
        <v>11.070946587435271</v>
      </c>
      <c r="AD11" s="531">
        <f ca="1">IF($B$6="ON", IF(AD10&gt;=covid_start, IF(AD10&lt;covid_recovery,NA(),SUMIFS(INDIRECT("Data_main"&amp;"["&amp;AD$8&amp;"]"),Data_main[Data],$A11, Data_main[Segment],$B11, Data_main[Scenario],$B$3)),SUMIFS(INDIRECT("Data_main"&amp;"["&amp;AD$8&amp;"]"),Data_main[Data],$A11, Data_main[Segment],$B11, Data_main[Scenario],$B$3)),SUMIFS(INDIRECT("Data_main"&amp;"["&amp;AD$8&amp;"]"),Data_main[Data],$A11, Data_main[Segment],$B11, Data_main[Scenario],$B$3))</f>
        <v>10.942466784782503</v>
      </c>
      <c r="AE11" s="531">
        <f ca="1">IF($B$6="ON", IF(AE10&gt;=covid_start, IF(AE10&lt;covid_recovery,NA(),SUMIFS(INDIRECT("Data_main"&amp;"["&amp;AE$8&amp;"]"),Data_main[Data],$A11, Data_main[Segment],$B11, Data_main[Scenario],$B$3)),SUMIFS(INDIRECT("Data_main"&amp;"["&amp;AE$8&amp;"]"),Data_main[Data],$A11, Data_main[Segment],$B11, Data_main[Scenario],$B$3)),SUMIFS(INDIRECT("Data_main"&amp;"["&amp;AE$8&amp;"]"),Data_main[Data],$A11, Data_main[Segment],$B11, Data_main[Scenario],$B$3))</f>
        <v>10.890859913655317</v>
      </c>
      <c r="AF11" s="531">
        <f ca="1">IF($B$6="ON", IF(AF10&gt;=covid_start, IF(AF10&lt;covid_recovery,NA(),SUMIFS(INDIRECT("Data_main"&amp;"["&amp;AF$8&amp;"]"),Data_main[Data],$A11, Data_main[Segment],$B11, Data_main[Scenario],$B$3)),SUMIFS(INDIRECT("Data_main"&amp;"["&amp;AF$8&amp;"]"),Data_main[Data],$A11, Data_main[Segment],$B11, Data_main[Scenario],$B$3)),SUMIFS(INDIRECT("Data_main"&amp;"["&amp;AF$8&amp;"]"),Data_main[Data],$A11, Data_main[Segment],$B11, Data_main[Scenario],$B$3))</f>
        <v>10.839253042528133</v>
      </c>
      <c r="AG11" s="531">
        <f ca="1">IF($B$6="ON", IF(AG10&gt;=covid_start, IF(AG10&lt;covid_recovery,NA(),SUMIFS(INDIRECT("Data_main"&amp;"["&amp;AG$8&amp;"]"),Data_main[Data],$A11, Data_main[Segment],$B11, Data_main[Scenario],$B$3)),SUMIFS(INDIRECT("Data_main"&amp;"["&amp;AG$8&amp;"]"),Data_main[Data],$A11, Data_main[Segment],$B11, Data_main[Scenario],$B$3)),SUMIFS(INDIRECT("Data_main"&amp;"["&amp;AG$8&amp;"]"),Data_main[Data],$A11, Data_main[Segment],$B11, Data_main[Scenario],$B$3))</f>
        <v>10.787646171400949</v>
      </c>
      <c r="AH11" s="531">
        <f ca="1">IF($B$6="ON", IF(AH10&gt;=covid_start, IF(AH10&lt;covid_recovery,NA(),SUMIFS(INDIRECT("Data_main"&amp;"["&amp;AH$8&amp;"]"),Data_main[Data],$A11, Data_main[Segment],$B11, Data_main[Scenario],$B$3)),SUMIFS(INDIRECT("Data_main"&amp;"["&amp;AH$8&amp;"]"),Data_main[Data],$A11, Data_main[Segment],$B11, Data_main[Scenario],$B$3)),SUMIFS(INDIRECT("Data_main"&amp;"["&amp;AH$8&amp;"]"),Data_main[Data],$A11, Data_main[Segment],$B11, Data_main[Scenario],$B$3))</f>
        <v>10.736039300273765</v>
      </c>
      <c r="AI11" s="531">
        <f ca="1">IF($B$6="ON", IF(AI10&gt;=covid_start, IF(AI10&lt;covid_recovery,NA(),SUMIFS(INDIRECT("Data_main"&amp;"["&amp;AI$8&amp;"]"),Data_main[Data],$A11, Data_main[Segment],$B11, Data_main[Scenario],$B$3)),SUMIFS(INDIRECT("Data_main"&amp;"["&amp;AI$8&amp;"]"),Data_main[Data],$A11, Data_main[Segment],$B11, Data_main[Scenario],$B$3)),SUMIFS(INDIRECT("Data_main"&amp;"["&amp;AI$8&amp;"]"),Data_main[Data],$A11, Data_main[Segment],$B11, Data_main[Scenario],$B$3))</f>
        <v>10.684432429146582</v>
      </c>
      <c r="AJ11" s="531">
        <f ca="1">IF($B$6="ON", IF(AJ10&gt;=covid_start, IF(AJ10&lt;covid_recovery,NA(),SUMIFS(INDIRECT("Data_main"&amp;"["&amp;AJ$8&amp;"]"),Data_main[Data],$A11, Data_main[Segment],$B11, Data_main[Scenario],$B$3)),SUMIFS(INDIRECT("Data_main"&amp;"["&amp;AJ$8&amp;"]"),Data_main[Data],$A11, Data_main[Segment],$B11, Data_main[Scenario],$B$3)),SUMIFS(INDIRECT("Data_main"&amp;"["&amp;AJ$8&amp;"]"),Data_main[Data],$A11, Data_main[Segment],$B11, Data_main[Scenario],$B$3))</f>
        <v>10.632825558019396</v>
      </c>
      <c r="AK11" s="531">
        <f ca="1">IF($B$6="ON", IF(AK10&gt;=covid_start, IF(AK10&lt;covid_recovery,NA(),SUMIFS(INDIRECT("Data_main"&amp;"["&amp;AK$8&amp;"]"),Data_main[Data],$A11, Data_main[Segment],$B11, Data_main[Scenario],$B$3)),SUMIFS(INDIRECT("Data_main"&amp;"["&amp;AK$8&amp;"]"),Data_main[Data],$A11, Data_main[Segment],$B11, Data_main[Scenario],$B$3)),SUMIFS(INDIRECT("Data_main"&amp;"["&amp;AK$8&amp;"]"),Data_main[Data],$A11, Data_main[Segment],$B11, Data_main[Scenario],$B$3))</f>
        <v>10.581218686892212</v>
      </c>
      <c r="AL11" s="531">
        <f ca="1">IF($B$6="ON", IF(AL10&gt;=covid_start, IF(AL10&lt;covid_recovery,NA(),SUMIFS(INDIRECT("Data_main"&amp;"["&amp;AL$8&amp;"]"),Data_main[Data],$A11, Data_main[Segment],$B11, Data_main[Scenario],$B$3)),SUMIFS(INDIRECT("Data_main"&amp;"["&amp;AL$8&amp;"]"),Data_main[Data],$A11, Data_main[Segment],$B11, Data_main[Scenario],$B$3)),SUMIFS(INDIRECT("Data_main"&amp;"["&amp;AL$8&amp;"]"),Data_main[Data],$A11, Data_main[Segment],$B11, Data_main[Scenario],$B$3))</f>
        <v>10.529611815765032</v>
      </c>
      <c r="AM11" s="531">
        <f ca="1">IF($B$6="ON", IF(AM10&gt;=covid_start, IF(AM10&lt;covid_recovery,NA(),SUMIFS(INDIRECT("Data_main"&amp;"["&amp;AM$8&amp;"]"),Data_main[Data],$A11, Data_main[Segment],$B11, Data_main[Scenario],$B$3)),SUMIFS(INDIRECT("Data_main"&amp;"["&amp;AM$8&amp;"]"),Data_main[Data],$A11, Data_main[Segment],$B11, Data_main[Scenario],$B$3)),SUMIFS(INDIRECT("Data_main"&amp;"["&amp;AM$8&amp;"]"),Data_main[Data],$A11, Data_main[Segment],$B11, Data_main[Scenario],$B$3))</f>
        <v>10.478004944637846</v>
      </c>
      <c r="AN11" s="531">
        <f ca="1">IF($B$6="ON", IF(AN10&gt;=covid_start, IF(AN10&lt;covid_recovery,NA(),SUMIFS(INDIRECT("Data_main"&amp;"["&amp;AN$8&amp;"]"),Data_main[Data],$A11, Data_main[Segment],$B11, Data_main[Scenario],$B$3)),SUMIFS(INDIRECT("Data_main"&amp;"["&amp;AN$8&amp;"]"),Data_main[Data],$A11, Data_main[Segment],$B11, Data_main[Scenario],$B$3)),SUMIFS(INDIRECT("Data_main"&amp;"["&amp;AN$8&amp;"]"),Data_main[Data],$A11, Data_main[Segment],$B11, Data_main[Scenario],$B$3))</f>
        <v>10.426398073510663</v>
      </c>
      <c r="AO11" s="531">
        <f ca="1">IF($B$6="ON", IF(AO10&gt;=covid_start, IF(AO10&lt;covid_recovery,NA(),SUMIFS(INDIRECT("Data_main"&amp;"["&amp;AO$8&amp;"]"),Data_main[Data],$A11, Data_main[Segment],$B11, Data_main[Scenario],$B$3)),SUMIFS(INDIRECT("Data_main"&amp;"["&amp;AO$8&amp;"]"),Data_main[Data],$A11, Data_main[Segment],$B11, Data_main[Scenario],$B$3)),SUMIFS(INDIRECT("Data_main"&amp;"["&amp;AO$8&amp;"]"),Data_main[Data],$A11, Data_main[Segment],$B11, Data_main[Scenario],$B$3))</f>
        <v>0</v>
      </c>
      <c r="AP11" s="531">
        <f ca="1">IF($B$6="ON", IF(AP10&gt;=covid_start, IF(AP10&lt;covid_recovery,NA(),SUMIFS(INDIRECT("Data_main"&amp;"["&amp;AP$8&amp;"]"),Data_main[Data],$A11, Data_main[Segment],$B11, Data_main[Scenario],$B$3)),SUMIFS(INDIRECT("Data_main"&amp;"["&amp;AP$8&amp;"]"),Data_main[Data],$A11, Data_main[Segment],$B11, Data_main[Scenario],$B$3)),SUMIFS(INDIRECT("Data_main"&amp;"["&amp;AP$8&amp;"]"),Data_main[Data],$A11, Data_main[Segment],$B11, Data_main[Scenario],$B$3))</f>
        <v>0</v>
      </c>
      <c r="AQ11" s="531">
        <f ca="1">IF($B$6="ON", IF(AQ10&gt;=covid_start, IF(AQ10&lt;covid_recovery,NA(),SUMIFS(INDIRECT("Data_main"&amp;"["&amp;AQ$8&amp;"]"),Data_main[Data],$A11, Data_main[Segment],$B11, Data_main[Scenario],$B$3)),SUMIFS(INDIRECT("Data_main"&amp;"["&amp;AQ$8&amp;"]"),Data_main[Data],$A11, Data_main[Segment],$B11, Data_main[Scenario],$B$3)),SUMIFS(INDIRECT("Data_main"&amp;"["&amp;AQ$8&amp;"]"),Data_main[Data],$A11, Data_main[Segment],$B11, Data_main[Scenario],$B$3))</f>
        <v>0</v>
      </c>
      <c r="AR11" s="531">
        <f ca="1">IF($B$6="ON", IF(AR10&gt;=covid_start, IF(AR10&lt;covid_recovery,NA(),SUMIFS(INDIRECT("Data_main"&amp;"["&amp;AR$8&amp;"]"),Data_main[Data],$A11, Data_main[Segment],$B11, Data_main[Scenario],$B$3)),SUMIFS(INDIRECT("Data_main"&amp;"["&amp;AR$8&amp;"]"),Data_main[Data],$A11, Data_main[Segment],$B11, Data_main[Scenario],$B$3)),SUMIFS(INDIRECT("Data_main"&amp;"["&amp;AR$8&amp;"]"),Data_main[Data],$A11, Data_main[Segment],$B11, Data_main[Scenario],$B$3))</f>
        <v>0</v>
      </c>
      <c r="AS11" s="531">
        <f ca="1">IF($B$6="ON", IF(AS10&gt;=covid_start, IF(AS10&lt;covid_recovery,NA(),SUMIFS(INDIRECT("Data_main"&amp;"["&amp;AS$8&amp;"]"),Data_main[Data],$A11, Data_main[Segment],$B11, Data_main[Scenario],$B$3)),SUMIFS(INDIRECT("Data_main"&amp;"["&amp;AS$8&amp;"]"),Data_main[Data],$A11, Data_main[Segment],$B11, Data_main[Scenario],$B$3)),SUMIFS(INDIRECT("Data_main"&amp;"["&amp;AS$8&amp;"]"),Data_main[Data],$A11, Data_main[Segment],$B11, Data_main[Scenario],$B$3))</f>
        <v>0</v>
      </c>
      <c r="AT11" s="531">
        <f ca="1">IF($B$6="ON", IF(AT10&gt;=covid_start, IF(AT10&lt;covid_recovery,NA(),SUMIFS(INDIRECT("Data_main"&amp;"["&amp;AT$8&amp;"]"),Data_main[Data],$A11, Data_main[Segment],$B11, Data_main[Scenario],$B$3)),SUMIFS(INDIRECT("Data_main"&amp;"["&amp;AT$8&amp;"]"),Data_main[Data],$A11, Data_main[Segment],$B11, Data_main[Scenario],$B$3)),SUMIFS(INDIRECT("Data_main"&amp;"["&amp;AT$8&amp;"]"),Data_main[Data],$A11, Data_main[Segment],$B11, Data_main[Scenario],$B$3))</f>
        <v>0</v>
      </c>
      <c r="AU11" s="531">
        <f ca="1">IF($B$6="ON", IF(AU10&gt;=covid_start, IF(AU10&lt;covid_recovery,NA(),SUMIFS(INDIRECT("Data_main"&amp;"["&amp;AU$8&amp;"]"),Data_main[Data],$A11, Data_main[Segment],$B11, Data_main[Scenario],$B$3)),SUMIFS(INDIRECT("Data_main"&amp;"["&amp;AU$8&amp;"]"),Data_main[Data],$A11, Data_main[Segment],$B11, Data_main[Scenario],$B$3)),SUMIFS(INDIRECT("Data_main"&amp;"["&amp;AU$8&amp;"]"),Data_main[Data],$A11, Data_main[Segment],$B11, Data_main[Scenario],$B$3))</f>
        <v>0</v>
      </c>
      <c r="AV11" s="531">
        <f ca="1">IF($B$6="ON", IF(AV10&gt;=covid_start, IF(AV10&lt;covid_recovery,NA(),SUMIFS(INDIRECT("Data_main"&amp;"["&amp;AV$8&amp;"]"),Data_main[Data],$A11, Data_main[Segment],$B11, Data_main[Scenario],$B$3)),SUMIFS(INDIRECT("Data_main"&amp;"["&amp;AV$8&amp;"]"),Data_main[Data],$A11, Data_main[Segment],$B11, Data_main[Scenario],$B$3)),SUMIFS(INDIRECT("Data_main"&amp;"["&amp;AV$8&amp;"]"),Data_main[Data],$A11, Data_main[Segment],$B11, Data_main[Scenario],$B$3))</f>
        <v>0</v>
      </c>
      <c r="AW11" s="531">
        <f ca="1">IF($B$6="ON", IF(AW10&gt;=covid_start, IF(AW10&lt;covid_recovery,NA(),SUMIFS(INDIRECT("Data_main"&amp;"["&amp;AW$8&amp;"]"),Data_main[Data],$A11, Data_main[Segment],$B11, Data_main[Scenario],$B$3)),SUMIFS(INDIRECT("Data_main"&amp;"["&amp;AW$8&amp;"]"),Data_main[Data],$A11, Data_main[Segment],$B11, Data_main[Scenario],$B$3)),SUMIFS(INDIRECT("Data_main"&amp;"["&amp;AW$8&amp;"]"),Data_main[Data],$A11, Data_main[Segment],$B11, Data_main[Scenario],$B$3))</f>
        <v>0</v>
      </c>
      <c r="AX11" s="531">
        <f ca="1">IF($B$6="ON", IF(AX10&gt;=covid_start, IF(AX10&lt;covid_recovery,NA(),SUMIFS(INDIRECT("Data_main"&amp;"["&amp;AX$8&amp;"]"),Data_main[Data],$A11, Data_main[Segment],$B11, Data_main[Scenario],$B$3)),SUMIFS(INDIRECT("Data_main"&amp;"["&amp;AX$8&amp;"]"),Data_main[Data],$A11, Data_main[Segment],$B11, Data_main[Scenario],$B$3)),SUMIFS(INDIRECT("Data_main"&amp;"["&amp;AX$8&amp;"]"),Data_main[Data],$A11, Data_main[Segment],$B11, Data_main[Scenario],$B$3))</f>
        <v>0</v>
      </c>
      <c r="AY11" s="531">
        <f ca="1">IF($B$6="ON", IF(AY10&gt;=covid_start, IF(AY10&lt;covid_recovery,NA(),SUMIFS(INDIRECT("Data_main"&amp;"["&amp;AY$8&amp;"]"),Data_main[Data],$A11, Data_main[Segment],$B11, Data_main[Scenario],$B$3)),SUMIFS(INDIRECT("Data_main"&amp;"["&amp;AY$8&amp;"]"),Data_main[Data],$A11, Data_main[Segment],$B11, Data_main[Scenario],$B$3)),SUMIFS(INDIRECT("Data_main"&amp;"["&amp;AY$8&amp;"]"),Data_main[Data],$A11, Data_main[Segment],$B11, Data_main[Scenario],$B$3))</f>
        <v>0</v>
      </c>
      <c r="AZ11" s="531">
        <f ca="1">IF($B$6="ON", IF(AZ10&gt;=covid_start, IF(AZ10&lt;covid_recovery,NA(),SUMIFS(INDIRECT("Data_main"&amp;"["&amp;AZ$8&amp;"]"),Data_main[Data],$A11, Data_main[Segment],$B11, Data_main[Scenario],$B$3)),SUMIFS(INDIRECT("Data_main"&amp;"["&amp;AZ$8&amp;"]"),Data_main[Data],$A11, Data_main[Segment],$B11, Data_main[Scenario],$B$3)),SUMIFS(INDIRECT("Data_main"&amp;"["&amp;AZ$8&amp;"]"),Data_main[Data],$A11, Data_main[Segment],$B11, Data_main[Scenario],$B$3))</f>
        <v>0</v>
      </c>
      <c r="BA11" s="531">
        <f ca="1">IF($B$6="ON", IF(BA10&gt;=covid_start, IF(BA10&lt;covid_recovery,NA(),SUMIFS(INDIRECT("Data_main"&amp;"["&amp;BA$8&amp;"]"),Data_main[Data],$A11, Data_main[Segment],$B11, Data_main[Scenario],$B$3)),SUMIFS(INDIRECT("Data_main"&amp;"["&amp;BA$8&amp;"]"),Data_main[Data],$A11, Data_main[Segment],$B11, Data_main[Scenario],$B$3)),SUMIFS(INDIRECT("Data_main"&amp;"["&amp;BA$8&amp;"]"),Data_main[Data],$A11, Data_main[Segment],$B11, Data_main[Scenario],$B$3))</f>
        <v>0</v>
      </c>
      <c r="BB11" s="531">
        <f ca="1">IF($B$6="ON", IF(BB10&gt;=covid_start, IF(BB10&lt;covid_recovery,NA(),SUMIFS(INDIRECT("Data_main"&amp;"["&amp;BB$8&amp;"]"),Data_main[Data],$A11, Data_main[Segment],$B11, Data_main[Scenario],$B$3)),SUMIFS(INDIRECT("Data_main"&amp;"["&amp;BB$8&amp;"]"),Data_main[Data],$A11, Data_main[Segment],$B11, Data_main[Scenario],$B$3)),SUMIFS(INDIRECT("Data_main"&amp;"["&amp;BB$8&amp;"]"),Data_main[Data],$A11, Data_main[Segment],$B11, Data_main[Scenario],$B$3))</f>
        <v>0</v>
      </c>
      <c r="BC11" s="531">
        <f ca="1">IF($B$6="ON", IF(BC10&gt;=covid_start, IF(BC10&lt;covid_recovery,NA(),SUMIFS(INDIRECT("Data_main"&amp;"["&amp;BC$8&amp;"]"),Data_main[Data],$A11, Data_main[Segment],$B11, Data_main[Scenario],$B$3)),SUMIFS(INDIRECT("Data_main"&amp;"["&amp;BC$8&amp;"]"),Data_main[Data],$A11, Data_main[Segment],$B11, Data_main[Scenario],$B$3)),SUMIFS(INDIRECT("Data_main"&amp;"["&amp;BC$8&amp;"]"),Data_main[Data],$A11, Data_main[Segment],$B11, Data_main[Scenario],$B$3))</f>
        <v>0</v>
      </c>
      <c r="BD11" s="531">
        <f ca="1">IF($B$6="ON", IF(BD10&gt;=covid_start, IF(BD10&lt;covid_recovery,NA(),SUMIFS(INDIRECT("Data_main"&amp;"["&amp;BD$8&amp;"]"),Data_main[Data],$A11, Data_main[Segment],$B11, Data_main[Scenario],$B$3)),SUMIFS(INDIRECT("Data_main"&amp;"["&amp;BD$8&amp;"]"),Data_main[Data],$A11, Data_main[Segment],$B11, Data_main[Scenario],$B$3)),SUMIFS(INDIRECT("Data_main"&amp;"["&amp;BD$8&amp;"]"),Data_main[Data],$A11, Data_main[Segment],$B11, Data_main[Scenario],$B$3))</f>
        <v>0</v>
      </c>
      <c r="BE11" s="531">
        <f ca="1">IF($B$6="ON", IF(BE10&gt;=covid_start, IF(BE10&lt;covid_recovery,NA(),SUMIFS(INDIRECT("Data_main"&amp;"["&amp;BE$8&amp;"]"),Data_main[Data],$A11, Data_main[Segment],$B11, Data_main[Scenario],$B$3)),SUMIFS(INDIRECT("Data_main"&amp;"["&amp;BE$8&amp;"]"),Data_main[Data],$A11, Data_main[Segment],$B11, Data_main[Scenario],$B$3)),SUMIFS(INDIRECT("Data_main"&amp;"["&amp;BE$8&amp;"]"),Data_main[Data],$A11, Data_main[Segment],$B11, Data_main[Scenario],$B$3))</f>
        <v>0</v>
      </c>
      <c r="BF11" s="531">
        <f ca="1">IF($B$6="ON", IF(BF10&gt;=covid_start, IF(BF10&lt;covid_recovery,NA(),SUMIFS(INDIRECT("Data_main"&amp;"["&amp;BF$8&amp;"]"),Data_main[Data],$A11, Data_main[Segment],$B11, Data_main[Scenario],$B$3)),SUMIFS(INDIRECT("Data_main"&amp;"["&amp;BF$8&amp;"]"),Data_main[Data],$A11, Data_main[Segment],$B11, Data_main[Scenario],$B$3)),SUMIFS(INDIRECT("Data_main"&amp;"["&amp;BF$8&amp;"]"),Data_main[Data],$A11, Data_main[Segment],$B11, Data_main[Scenario],$B$3))</f>
        <v>0</v>
      </c>
      <c r="BG11" s="531">
        <f ca="1">IF($B$6="ON", IF(BG10&gt;=covid_start, IF(BG10&lt;covid_recovery,NA(),SUMIFS(INDIRECT("Data_main"&amp;"["&amp;BG$8&amp;"]"),Data_main[Data],$A11, Data_main[Segment],$B11, Data_main[Scenario],$B$3)),SUMIFS(INDIRECT("Data_main"&amp;"["&amp;BG$8&amp;"]"),Data_main[Data],$A11, Data_main[Segment],$B11, Data_main[Scenario],$B$3)),SUMIFS(INDIRECT("Data_main"&amp;"["&amp;BG$8&amp;"]"),Data_main[Data],$A11, Data_main[Segment],$B11, Data_main[Scenario],$B$3))</f>
        <v>0</v>
      </c>
      <c r="BH11" s="531">
        <f ca="1">IF($B$6="ON", IF(BH10&gt;=covid_start, IF(BH10&lt;covid_recovery,NA(),SUMIFS(INDIRECT("Data_main"&amp;"["&amp;BH$8&amp;"]"),Data_main[Data],$A11, Data_main[Segment],$B11, Data_main[Scenario],$B$3)),SUMIFS(INDIRECT("Data_main"&amp;"["&amp;BH$8&amp;"]"),Data_main[Data],$A11, Data_main[Segment],$B11, Data_main[Scenario],$B$3)),SUMIFS(INDIRECT("Data_main"&amp;"["&amp;BH$8&amp;"]"),Data_main[Data],$A11, Data_main[Segment],$B11, Data_main[Scenario],$B$3))</f>
        <v>0</v>
      </c>
      <c r="BI11" s="531">
        <f ca="1">IF($B$6="ON", IF(BI10&gt;=covid_start, IF(BI10&lt;covid_recovery,NA(),SUMIFS(INDIRECT("Data_main"&amp;"["&amp;BI$8&amp;"]"),Data_main[Data],$A11, Data_main[Segment],$B11, Data_main[Scenario],$B$3)),SUMIFS(INDIRECT("Data_main"&amp;"["&amp;BI$8&amp;"]"),Data_main[Data],$A11, Data_main[Segment],$B11, Data_main[Scenario],$B$3)),SUMIFS(INDIRECT("Data_main"&amp;"["&amp;BI$8&amp;"]"),Data_main[Data],$A11, Data_main[Segment],$B11, Data_main[Scenario],$B$3))</f>
        <v>0</v>
      </c>
      <c r="BJ11" s="531">
        <f ca="1">IF($B$6="ON", IF(BJ10&gt;=covid_start, IF(BJ10&lt;covid_recovery,NA(),SUMIFS(INDIRECT("Data_main"&amp;"["&amp;BJ$8&amp;"]"),Data_main[Data],$A11, Data_main[Segment],$B11, Data_main[Scenario],$B$3)),SUMIFS(INDIRECT("Data_main"&amp;"["&amp;BJ$8&amp;"]"),Data_main[Data],$A11, Data_main[Segment],$B11, Data_main[Scenario],$B$3)),SUMIFS(INDIRECT("Data_main"&amp;"["&amp;BJ$8&amp;"]"),Data_main[Data],$A11, Data_main[Segment],$B11, Data_main[Scenario],$B$3))</f>
        <v>0</v>
      </c>
      <c r="BK11" s="531">
        <f ca="1">IF($B$6="ON", IF(BK10&gt;=covid_start, IF(BK10&lt;covid_recovery,NA(),SUMIFS(INDIRECT("Data_main"&amp;"["&amp;BK$8&amp;"]"),Data_main[Data],$A11, Data_main[Segment],$B11, Data_main[Scenario],$B$3)),SUMIFS(INDIRECT("Data_main"&amp;"["&amp;BK$8&amp;"]"),Data_main[Data],$A11, Data_main[Segment],$B11, Data_main[Scenario],$B$3)),SUMIFS(INDIRECT("Data_main"&amp;"["&amp;BK$8&amp;"]"),Data_main[Data],$A11, Data_main[Segment],$B11, Data_main[Scenario],$B$3))</f>
        <v>0</v>
      </c>
      <c r="BL11" s="531">
        <f ca="1">IF($B$6="ON", IF(BL10&gt;=covid_start, IF(BL10&lt;covid_recovery,NA(),SUMIFS(INDIRECT("Data_main"&amp;"["&amp;BL$8&amp;"]"),Data_main[Data],$A11, Data_main[Segment],$B11, Data_main[Scenario],$B$3)),SUMIFS(INDIRECT("Data_main"&amp;"["&amp;BL$8&amp;"]"),Data_main[Data],$A11, Data_main[Segment],$B11, Data_main[Scenario],$B$3)),SUMIFS(INDIRECT("Data_main"&amp;"["&amp;BL$8&amp;"]"),Data_main[Data],$A11, Data_main[Segment],$B11, Data_main[Scenario],$B$3))</f>
        <v>0</v>
      </c>
      <c r="BM11" s="531">
        <f ca="1">IF($B$6="ON", IF(BM10&gt;=covid_start, IF(BM10&lt;covid_recovery,NA(),SUMIFS(INDIRECT("Data_main"&amp;"["&amp;BM$8&amp;"]"),Data_main[Data],$A11, Data_main[Segment],$B11, Data_main[Scenario],$B$3)),SUMIFS(INDIRECT("Data_main"&amp;"["&amp;BM$8&amp;"]"),Data_main[Data],$A11, Data_main[Segment],$B11, Data_main[Scenario],$B$3)),SUMIFS(INDIRECT("Data_main"&amp;"["&amp;BM$8&amp;"]"),Data_main[Data],$A11, Data_main[Segment],$B11, Data_main[Scenario],$B$3))</f>
        <v>0</v>
      </c>
      <c r="BN11" s="531">
        <f ca="1">IF($B$6="ON", IF(BN10&gt;=covid_start, IF(BN10&lt;covid_recovery,NA(),SUMIFS(INDIRECT("Data_main"&amp;"["&amp;BN$8&amp;"]"),Data_main[Data],$A11, Data_main[Segment],$B11, Data_main[Scenario],$B$3)),SUMIFS(INDIRECT("Data_main"&amp;"["&amp;BN$8&amp;"]"),Data_main[Data],$A11, Data_main[Segment],$B11, Data_main[Scenario],$B$3)),SUMIFS(INDIRECT("Data_main"&amp;"["&amp;BN$8&amp;"]"),Data_main[Data],$A11, Data_main[Segment],$B11, Data_main[Scenario],$B$3))</f>
        <v>0</v>
      </c>
      <c r="BO11" s="531">
        <f ca="1">IF($B$6="ON", IF(BO10&gt;=covid_start, IF(BO10&lt;covid_recovery,NA(),SUMIFS(INDIRECT("Data_main"&amp;"["&amp;BO$8&amp;"]"),Data_main[Data],$A11, Data_main[Segment],$B11, Data_main[Scenario],$B$3)),SUMIFS(INDIRECT("Data_main"&amp;"["&amp;BO$8&amp;"]"),Data_main[Data],$A11, Data_main[Segment],$B11, Data_main[Scenario],$B$3)),SUMIFS(INDIRECT("Data_main"&amp;"["&amp;BO$8&amp;"]"),Data_main[Data],$A11, Data_main[Segment],$B11, Data_main[Scenario],$B$3))</f>
        <v>0</v>
      </c>
      <c r="BP11" s="531">
        <f ca="1">IF($B$6="ON", IF(BP10&gt;=covid_start, IF(BP10&lt;covid_recovery,NA(),SUMIFS(INDIRECT("Data_main"&amp;"["&amp;BP$8&amp;"]"),Data_main[Data],$A11, Data_main[Segment],$B11, Data_main[Scenario],$B$3)),SUMIFS(INDIRECT("Data_main"&amp;"["&amp;BP$8&amp;"]"),Data_main[Data],$A11, Data_main[Segment],$B11, Data_main[Scenario],$B$3)),SUMIFS(INDIRECT("Data_main"&amp;"["&amp;BP$8&amp;"]"),Data_main[Data],$A11, Data_main[Segment],$B11, Data_main[Scenario],$B$3))</f>
        <v>0</v>
      </c>
      <c r="BQ11" s="531">
        <f ca="1">IF($B$6="ON", IF(BQ10&gt;=covid_start, IF(BQ10&lt;covid_recovery,NA(),SUMIFS(INDIRECT("Data_main"&amp;"["&amp;BQ$8&amp;"]"),Data_main[Data],$A11, Data_main[Segment],$B11, Data_main[Scenario],$B$3)),SUMIFS(INDIRECT("Data_main"&amp;"["&amp;BQ$8&amp;"]"),Data_main[Data],$A11, Data_main[Segment],$B11, Data_main[Scenario],$B$3)),SUMIFS(INDIRECT("Data_main"&amp;"["&amp;BQ$8&amp;"]"),Data_main[Data],$A11, Data_main[Segment],$B11, Data_main[Scenario],$B$3))</f>
        <v>0</v>
      </c>
      <c r="BR11" s="531">
        <f ca="1">IF($B$6="ON", IF(BR10&gt;=covid_start, IF(BR10&lt;covid_recovery,NA(),SUMIFS(INDIRECT("Data_main"&amp;"["&amp;BR$8&amp;"]"),Data_main[Data],$A11, Data_main[Segment],$B11, Data_main[Scenario],$B$3)),SUMIFS(INDIRECT("Data_main"&amp;"["&amp;BR$8&amp;"]"),Data_main[Data],$A11, Data_main[Segment],$B11, Data_main[Scenario],$B$3)),SUMIFS(INDIRECT("Data_main"&amp;"["&amp;BR$8&amp;"]"),Data_main[Data],$A11, Data_main[Segment],$B11, Data_main[Scenario],$B$3))</f>
        <v>0</v>
      </c>
      <c r="BS11" s="531">
        <f ca="1">IF($B$6="ON", IF(BS10&gt;=covid_start, IF(BS10&lt;covid_recovery,NA(),SUMIFS(INDIRECT("Data_main"&amp;"["&amp;BS$8&amp;"]"),Data_main[Data],$A11, Data_main[Segment],$B11, Data_main[Scenario],$B$3)),SUMIFS(INDIRECT("Data_main"&amp;"["&amp;BS$8&amp;"]"),Data_main[Data],$A11, Data_main[Segment],$B11, Data_main[Scenario],$B$3)),SUMIFS(INDIRECT("Data_main"&amp;"["&amp;BS$8&amp;"]"),Data_main[Data],$A11, Data_main[Segment],$B11, Data_main[Scenario],$B$3))</f>
        <v>0</v>
      </c>
      <c r="BT11" s="531">
        <f ca="1">IF($B$6="ON", IF(BT10&gt;=covid_start, IF(BT10&lt;covid_recovery,NA(),SUMIFS(INDIRECT("Data_main"&amp;"["&amp;BT$8&amp;"]"),Data_main[Data],$A11, Data_main[Segment],$B11, Data_main[Scenario],$B$3)),SUMIFS(INDIRECT("Data_main"&amp;"["&amp;BT$8&amp;"]"),Data_main[Data],$A11, Data_main[Segment],$B11, Data_main[Scenario],$B$3)),SUMIFS(INDIRECT("Data_main"&amp;"["&amp;BT$8&amp;"]"),Data_main[Data],$A11, Data_main[Segment],$B11, Data_main[Scenario],$B$3))</f>
        <v>0</v>
      </c>
      <c r="BU11" s="531">
        <f ca="1">IF($B$6="ON", IF(BU10&gt;=covid_start, IF(BU10&lt;covid_recovery,NA(),SUMIFS(INDIRECT("Data_main"&amp;"["&amp;BU$8&amp;"]"),Data_main[Data],$A11, Data_main[Segment],$B11, Data_main[Scenario],$B$3)),SUMIFS(INDIRECT("Data_main"&amp;"["&amp;BU$8&amp;"]"),Data_main[Data],$A11, Data_main[Segment],$B11, Data_main[Scenario],$B$3)),SUMIFS(INDIRECT("Data_main"&amp;"["&amp;BU$8&amp;"]"),Data_main[Data],$A11, Data_main[Segment],$B11, Data_main[Scenario],$B$3))</f>
        <v>0</v>
      </c>
      <c r="BV11" s="531">
        <f ca="1">IF($B$6="ON", IF(BV10&gt;=covid_start, IF(BV10&lt;covid_recovery,NA(),SUMIFS(INDIRECT("Data_main"&amp;"["&amp;BV$8&amp;"]"),Data_main[Data],$A11, Data_main[Segment],$B11, Data_main[Scenario],$B$3)),SUMIFS(INDIRECT("Data_main"&amp;"["&amp;BV$8&amp;"]"),Data_main[Data],$A11, Data_main[Segment],$B11, Data_main[Scenario],$B$3)),SUMIFS(INDIRECT("Data_main"&amp;"["&amp;BV$8&amp;"]"),Data_main[Data],$A11, Data_main[Segment],$B11, Data_main[Scenario],$B$3))</f>
        <v>0</v>
      </c>
      <c r="BW11" s="531">
        <f ca="1">IF($B$6="ON", IF(BW10&gt;=covid_start, IF(BW10&lt;covid_recovery,NA(),SUMIFS(INDIRECT("Data_main"&amp;"["&amp;BW$8&amp;"]"),Data_main[Data],$A11, Data_main[Segment],$B11, Data_main[Scenario],$B$3)),SUMIFS(INDIRECT("Data_main"&amp;"["&amp;BW$8&amp;"]"),Data_main[Data],$A11, Data_main[Segment],$B11, Data_main[Scenario],$B$3)),SUMIFS(INDIRECT("Data_main"&amp;"["&amp;BW$8&amp;"]"),Data_main[Data],$A11, Data_main[Segment],$B11, Data_main[Scenario],$B$3))</f>
        <v>0</v>
      </c>
      <c r="BX11" s="531">
        <f ca="1">IF($B$6="ON", IF(BX10&gt;=covid_start, IF(BX10&lt;covid_recovery,NA(),SUMIFS(INDIRECT("Data_main"&amp;"["&amp;BX$8&amp;"]"),Data_main[Data],$A11, Data_main[Segment],$B11, Data_main[Scenario],$B$3)),SUMIFS(INDIRECT("Data_main"&amp;"["&amp;BX$8&amp;"]"),Data_main[Data],$A11, Data_main[Segment],$B11, Data_main[Scenario],$B$3)),SUMIFS(INDIRECT("Data_main"&amp;"["&amp;BX$8&amp;"]"),Data_main[Data],$A11, Data_main[Segment],$B11, Data_main[Scenario],$B$3))</f>
        <v>0</v>
      </c>
      <c r="BY11" s="531">
        <f ca="1">IF($B$6="ON", IF(BY10&gt;=covid_start, IF(BY10&lt;covid_recovery,NA(),SUMIFS(INDIRECT("Data_main"&amp;"["&amp;BY$8&amp;"]"),Data_main[Data],$A11, Data_main[Segment],$B11, Data_main[Scenario],$B$3)),SUMIFS(INDIRECT("Data_main"&amp;"["&amp;BY$8&amp;"]"),Data_main[Data],$A11, Data_main[Segment],$B11, Data_main[Scenario],$B$3)),SUMIFS(INDIRECT("Data_main"&amp;"["&amp;BY$8&amp;"]"),Data_main[Data],$A11, Data_main[Segment],$B11, Data_main[Scenario],$B$3))</f>
        <v>0</v>
      </c>
      <c r="BZ11" s="531">
        <f ca="1">IF($B$6="ON", IF(BZ10&gt;=covid_start, IF(BZ10&lt;covid_recovery,NA(),SUMIFS(INDIRECT("Data_main"&amp;"["&amp;BZ$8&amp;"]"),Data_main[Data],$A11, Data_main[Segment],$B11, Data_main[Scenario],$B$3)),SUMIFS(INDIRECT("Data_main"&amp;"["&amp;BZ$8&amp;"]"),Data_main[Data],$A11, Data_main[Segment],$B11, Data_main[Scenario],$B$3)),SUMIFS(INDIRECT("Data_main"&amp;"["&amp;BZ$8&amp;"]"),Data_main[Data],$A11, Data_main[Segment],$B11, Data_main[Scenario],$B$3))</f>
        <v>0</v>
      </c>
      <c r="CA11" s="531">
        <f ca="1">IF($B$6="ON", IF(CA10&gt;=covid_start, IF(CA10&lt;covid_recovery,NA(),SUMIFS(INDIRECT("Data_main"&amp;"["&amp;CA$8&amp;"]"),Data_main[Data],$A11, Data_main[Segment],$B11, Data_main[Scenario],$B$3)),SUMIFS(INDIRECT("Data_main"&amp;"["&amp;CA$8&amp;"]"),Data_main[Data],$A11, Data_main[Segment],$B11, Data_main[Scenario],$B$3)),SUMIFS(INDIRECT("Data_main"&amp;"["&amp;CA$8&amp;"]"),Data_main[Data],$A11, Data_main[Segment],$B11, Data_main[Scenario],$B$3))</f>
        <v>0</v>
      </c>
      <c r="CB11" s="531">
        <f ca="1">IF($B$6="ON", IF(CB10&gt;=covid_start, IF(CB10&lt;covid_recovery,NA(),SUMIFS(INDIRECT("Data_main"&amp;"["&amp;CB$8&amp;"]"),Data_main[Data],$A11, Data_main[Segment],$B11, Data_main[Scenario],$B$3)),SUMIFS(INDIRECT("Data_main"&amp;"["&amp;CB$8&amp;"]"),Data_main[Data],$A11, Data_main[Segment],$B11, Data_main[Scenario],$B$3)),SUMIFS(INDIRECT("Data_main"&amp;"["&amp;CB$8&amp;"]"),Data_main[Data],$A11, Data_main[Segment],$B11, Data_main[Scenario],$B$3))</f>
        <v>0</v>
      </c>
      <c r="CC11" s="531">
        <f ca="1">IF($B$6="ON", IF(CC10&gt;=covid_start, IF(CC10&lt;covid_recovery,NA(),SUMIFS(INDIRECT("Data_main"&amp;"["&amp;CC$8&amp;"]"),Data_main[Data],$A11, Data_main[Segment],$B11, Data_main[Scenario],$B$3)),SUMIFS(INDIRECT("Data_main"&amp;"["&amp;CC$8&amp;"]"),Data_main[Data],$A11, Data_main[Segment],$B11, Data_main[Scenario],$B$3)),SUMIFS(INDIRECT("Data_main"&amp;"["&amp;CC$8&amp;"]"),Data_main[Data],$A11, Data_main[Segment],$B11, Data_main[Scenario],$B$3))</f>
        <v>0</v>
      </c>
      <c r="CD11" s="531">
        <f ca="1">IF($B$6="ON", IF(CD10&gt;=covid_start, IF(CD10&lt;covid_recovery,NA(),SUMIFS(INDIRECT("Data_main"&amp;"["&amp;CD$8&amp;"]"),Data_main[Data],$A11, Data_main[Segment],$B11, Data_main[Scenario],$B$3)),SUMIFS(INDIRECT("Data_main"&amp;"["&amp;CD$8&amp;"]"),Data_main[Data],$A11, Data_main[Segment],$B11, Data_main[Scenario],$B$3)),SUMIFS(INDIRECT("Data_main"&amp;"["&amp;CD$8&amp;"]"),Data_main[Data],$A11, Data_main[Segment],$B11, Data_main[Scenario],$B$3))</f>
        <v>0</v>
      </c>
      <c r="CE11" s="531">
        <f ca="1">IF($B$6="ON", IF(CE10&gt;=covid_start, IF(CE10&lt;covid_recovery,NA(),SUMIFS(INDIRECT("Data_main"&amp;"["&amp;CE$8&amp;"]"),Data_main[Data],$A11, Data_main[Segment],$B11, Data_main[Scenario],$B$3)),SUMIFS(INDIRECT("Data_main"&amp;"["&amp;CE$8&amp;"]"),Data_main[Data],$A11, Data_main[Segment],$B11, Data_main[Scenario],$B$3)),SUMIFS(INDIRECT("Data_main"&amp;"["&amp;CE$8&amp;"]"),Data_main[Data],$A11, Data_main[Segment],$B11, Data_main[Scenario],$B$3))</f>
        <v>0</v>
      </c>
      <c r="CF11" s="531">
        <f ca="1">IF($B$6="ON", IF(CF10&gt;=covid_start, IF(CF10&lt;covid_recovery,NA(),SUMIFS(INDIRECT("Data_main"&amp;"["&amp;CF$8&amp;"]"),Data_main[Data],$A11, Data_main[Segment],$B11, Data_main[Scenario],$B$3)),SUMIFS(INDIRECT("Data_main"&amp;"["&amp;CF$8&amp;"]"),Data_main[Data],$A11, Data_main[Segment],$B11, Data_main[Scenario],$B$3)),SUMIFS(INDIRECT("Data_main"&amp;"["&amp;CF$8&amp;"]"),Data_main[Data],$A11, Data_main[Segment],$B11, Data_main[Scenario],$B$3))</f>
        <v>0</v>
      </c>
      <c r="CG11" s="531">
        <f ca="1">IF($B$6="ON", IF(CG10&gt;=covid_start, IF(CG10&lt;covid_recovery,NA(),SUMIFS(INDIRECT("Data_main"&amp;"["&amp;CG$8&amp;"]"),Data_main[Data],$A11, Data_main[Segment],$B11, Data_main[Scenario],$B$3)),SUMIFS(INDIRECT("Data_main"&amp;"["&amp;CG$8&amp;"]"),Data_main[Data],$A11, Data_main[Segment],$B11, Data_main[Scenario],$B$3)),SUMIFS(INDIRECT("Data_main"&amp;"["&amp;CG$8&amp;"]"),Data_main[Data],$A11, Data_main[Segment],$B11, Data_main[Scenario],$B$3))</f>
        <v>0</v>
      </c>
      <c r="CH11" s="531">
        <f ca="1">IF($B$6="ON", IF(CH10&gt;=covid_start, IF(CH10&lt;covid_recovery,NA(),SUMIFS(INDIRECT("Data_main"&amp;"["&amp;CH$8&amp;"]"),Data_main[Data],$A11, Data_main[Segment],$B11, Data_main[Scenario],$B$3)),SUMIFS(INDIRECT("Data_main"&amp;"["&amp;CH$8&amp;"]"),Data_main[Data],$A11, Data_main[Segment],$B11, Data_main[Scenario],$B$3)),SUMIFS(INDIRECT("Data_main"&amp;"["&amp;CH$8&amp;"]"),Data_main[Data],$A11, Data_main[Segment],$B11, Data_main[Scenario],$B$3))</f>
        <v>0</v>
      </c>
      <c r="CI11" s="531">
        <f ca="1">IF($B$6="ON", IF(CI10&gt;=covid_start, IF(CI10&lt;covid_recovery,NA(),SUMIFS(INDIRECT("Data_main"&amp;"["&amp;CI$8&amp;"]"),Data_main[Data],$A11, Data_main[Segment],$B11, Data_main[Scenario],$B$3)),SUMIFS(INDIRECT("Data_main"&amp;"["&amp;CI$8&amp;"]"),Data_main[Data],$A11, Data_main[Segment],$B11, Data_main[Scenario],$B$3)),SUMIFS(INDIRECT("Data_main"&amp;"["&amp;CI$8&amp;"]"),Data_main[Data],$A11, Data_main[Segment],$B11, Data_main[Scenario],$B$3))</f>
        <v>0</v>
      </c>
      <c r="CJ11" s="531">
        <f ca="1">IF($B$6="ON", IF(CJ10&gt;=covid_start, IF(CJ10&lt;covid_recovery,NA(),SUMIFS(INDIRECT("Data_main"&amp;"["&amp;CJ$8&amp;"]"),Data_main[Data],$A11, Data_main[Segment],$B11, Data_main[Scenario],$B$3)),SUMIFS(INDIRECT("Data_main"&amp;"["&amp;CJ$8&amp;"]"),Data_main[Data],$A11, Data_main[Segment],$B11, Data_main[Scenario],$B$3)),SUMIFS(INDIRECT("Data_main"&amp;"["&amp;CJ$8&amp;"]"),Data_main[Data],$A11, Data_main[Segment],$B11, Data_main[Scenario],$B$3))</f>
        <v>0</v>
      </c>
      <c r="CK11" s="531">
        <f ca="1">IF($B$6="ON", IF(CK10&gt;=covid_start, IF(CK10&lt;covid_recovery,NA(),SUMIFS(INDIRECT("Data_main"&amp;"["&amp;CK$8&amp;"]"),Data_main[Data],$A11, Data_main[Segment],$B11, Data_main[Scenario],$B$3)),SUMIFS(INDIRECT("Data_main"&amp;"["&amp;CK$8&amp;"]"),Data_main[Data],$A11, Data_main[Segment],$B11, Data_main[Scenario],$B$3)),SUMIFS(INDIRECT("Data_main"&amp;"["&amp;CK$8&amp;"]"),Data_main[Data],$A11, Data_main[Segment],$B11, Data_main[Scenario],$B$3))</f>
        <v>0</v>
      </c>
      <c r="CL11" s="531">
        <f ca="1">IF($B$6="ON", IF(CL10&gt;=covid_start, IF(CL10&lt;covid_recovery,NA(),SUMIFS(INDIRECT("Data_main"&amp;"["&amp;CL$8&amp;"]"),Data_main[Data],$A11, Data_main[Segment],$B11, Data_main[Scenario],$B$3)),SUMIFS(INDIRECT("Data_main"&amp;"["&amp;CL$8&amp;"]"),Data_main[Data],$A11, Data_main[Segment],$B11, Data_main[Scenario],$B$3)),SUMIFS(INDIRECT("Data_main"&amp;"["&amp;CL$8&amp;"]"),Data_main[Data],$A11, Data_main[Segment],$B11, Data_main[Scenario],$B$3))</f>
        <v>0</v>
      </c>
      <c r="CN11" s="613">
        <f ca="1">IFERROR((Y11/H11)^(1/17)-1,"")</f>
        <v>-8.8564932179258093E-3</v>
      </c>
      <c r="CO11" s="613">
        <f ca="1">IFERROR((AN11/Y11)^(1/15)-1,"")</f>
        <v>-6.9993037866263874E-3</v>
      </c>
      <c r="CP11" s="613">
        <f ca="1">IFERROR((AN11/H11)^(1/32)-1,"")</f>
        <v>-7.9863685554966146E-3</v>
      </c>
    </row>
    <row r="12" spans="1:94" outlineLevel="1">
      <c r="A12" s="532" t="s">
        <v>157</v>
      </c>
      <c r="B12" s="532" t="str">
        <f t="shared" ref="B12:B13" si="17">$A$10</f>
        <v>Ded-short</v>
      </c>
      <c r="C12" s="533" t="s">
        <v>290</v>
      </c>
      <c r="D12" s="530"/>
      <c r="E12" s="531">
        <f ca="1">IF($B$6="ON", IF(E10&gt;=covid_start, IF(E10&lt;covid_recovery,NA(),SUMIFS(INDIRECT("Data_main"&amp;"["&amp;E$8&amp;"]"),Data_main[Data],$A12, Data_main[Segment],$B12, Data_main[Scenario],$B$3)),SUMIFS(INDIRECT("Data_main"&amp;"["&amp;E$8&amp;"]"),Data_main[Data],$A12, Data_main[Segment],$B12, Data_main[Scenario],$B$3)),SUMIFS(INDIRECT("Data_main"&amp;"["&amp;E$8&amp;"]"),Data_main[Data],$A12, Data_main[Segment],$B12, Data_main[Scenario],$B$3))</f>
        <v>10.494758196395999</v>
      </c>
      <c r="F12" s="531">
        <f ca="1">IF($B$6="ON", IF(F10&gt;=covid_start, IF(F10&lt;covid_recovery,NA(),SUMIFS(INDIRECT("Data_main"&amp;"["&amp;F$8&amp;"]"),Data_main[Data],$A12, Data_main[Segment],$B12, Data_main[Scenario],$B$3)),SUMIFS(INDIRECT("Data_main"&amp;"["&amp;F$8&amp;"]"),Data_main[Data],$A12, Data_main[Segment],$B12, Data_main[Scenario],$B$3)),SUMIFS(INDIRECT("Data_main"&amp;"["&amp;F$8&amp;"]"),Data_main[Data],$A12, Data_main[Segment],$B12, Data_main[Scenario],$B$3))</f>
        <v>11.166156049643998</v>
      </c>
      <c r="G12" s="531">
        <f ca="1">IF($B$6="ON", IF(G10&gt;=covid_start, IF(G10&lt;covid_recovery,NA(),SUMIFS(INDIRECT("Data_main"&amp;"["&amp;G$8&amp;"]"),Data_main[Data],$A12, Data_main[Segment],$B12, Data_main[Scenario],$B$3)),SUMIFS(INDIRECT("Data_main"&amp;"["&amp;G$8&amp;"]"),Data_main[Data],$A12, Data_main[Segment],$B12, Data_main[Scenario],$B$3)),SUMIFS(INDIRECT("Data_main"&amp;"["&amp;G$8&amp;"]"),Data_main[Data],$A12, Data_main[Segment],$B12, Data_main[Scenario],$B$3))</f>
        <v>11.837553902891999</v>
      </c>
      <c r="H12" s="531">
        <f ca="1">IF($B$6="ON", IF(H10&gt;=covid_start, IF(H10&lt;covid_recovery,NA(),SUMIFS(INDIRECT("Data_main"&amp;"["&amp;H$8&amp;"]"),Data_main[Data],$A12, Data_main[Segment],$B12, Data_main[Scenario],$B$3)),SUMIFS(INDIRECT("Data_main"&amp;"["&amp;H$8&amp;"]"),Data_main[Data],$A12, Data_main[Segment],$B12, Data_main[Scenario],$B$3)),SUMIFS(INDIRECT("Data_main"&amp;"["&amp;H$8&amp;"]"),Data_main[Data],$A12, Data_main[Segment],$B12, Data_main[Scenario],$B$3))</f>
        <v>12.50895175614</v>
      </c>
      <c r="I12" s="531">
        <f ca="1">IF($B$6="ON", IF(I10&gt;=covid_start, IF(I10&lt;covid_recovery,NA(),SUMIFS(INDIRECT("Data_main"&amp;"["&amp;I$8&amp;"]"),Data_main[Data],$A12, Data_main[Segment],$B12, Data_main[Scenario],$B$3)),SUMIFS(INDIRECT("Data_main"&amp;"["&amp;I$8&amp;"]"),Data_main[Data],$A12, Data_main[Segment],$B12, Data_main[Scenario],$B$3)),SUMIFS(INDIRECT("Data_main"&amp;"["&amp;I$8&amp;"]"),Data_main[Data],$A12, Data_main[Segment],$B12, Data_main[Scenario],$B$3))</f>
        <v>11.35083326877</v>
      </c>
      <c r="J12" s="531" t="e">
        <f ca="1">IF($B$6="ON", IF(J10&gt;=covid_start, IF(J10&lt;covid_recovery,NA(),SUMIFS(INDIRECT("Data_main"&amp;"["&amp;J$8&amp;"]"),Data_main[Data],$A12, Data_main[Segment],$B12, Data_main[Scenario],$B$3)),SUMIFS(INDIRECT("Data_main"&amp;"["&amp;J$8&amp;"]"),Data_main[Data],$A12, Data_main[Segment],$B12, Data_main[Scenario],$B$3)),SUMIFS(INDIRECT("Data_main"&amp;"["&amp;J$8&amp;"]"),Data_main[Data],$A12, Data_main[Segment],$B12, Data_main[Scenario],$B$3))</f>
        <v>#N/A</v>
      </c>
      <c r="K12" s="531" t="e">
        <f ca="1">IF($B$6="ON", IF(K10&gt;=covid_start, IF(K10&lt;covid_recovery,NA(),SUMIFS(INDIRECT("Data_main"&amp;"["&amp;K$8&amp;"]"),Data_main[Data],$A12, Data_main[Segment],$B12, Data_main[Scenario],$B$3)),SUMIFS(INDIRECT("Data_main"&amp;"["&amp;K$8&amp;"]"),Data_main[Data],$A12, Data_main[Segment],$B12, Data_main[Scenario],$B$3)),SUMIFS(INDIRECT("Data_main"&amp;"["&amp;K$8&amp;"]"),Data_main[Data],$A12, Data_main[Segment],$B12, Data_main[Scenario],$B$3))</f>
        <v>#N/A</v>
      </c>
      <c r="L12" s="531" t="e">
        <f ca="1">IF($B$6="ON", IF(L10&gt;=covid_start, IF(L10&lt;covid_recovery,NA(),SUMIFS(INDIRECT("Data_main"&amp;"["&amp;L$8&amp;"]"),Data_main[Data],$A12, Data_main[Segment],$B12, Data_main[Scenario],$B$3)),SUMIFS(INDIRECT("Data_main"&amp;"["&amp;L$8&amp;"]"),Data_main[Data],$A12, Data_main[Segment],$B12, Data_main[Scenario],$B$3)),SUMIFS(INDIRECT("Data_main"&amp;"["&amp;L$8&amp;"]"),Data_main[Data],$A12, Data_main[Segment],$B12, Data_main[Scenario],$B$3))</f>
        <v>#N/A</v>
      </c>
      <c r="M12" s="531">
        <f ca="1">IF($B$6="ON", IF(M10&gt;=covid_start, IF(M10&lt;covid_recovery,NA(),SUMIFS(INDIRECT("Data_main"&amp;"["&amp;M$8&amp;"]"),Data_main[Data],$A12, Data_main[Segment],$B12, Data_main[Scenario],$B$3)),SUMIFS(INDIRECT("Data_main"&amp;"["&amp;M$8&amp;"]"),Data_main[Data],$A12, Data_main[Segment],$B12, Data_main[Scenario],$B$3)),SUMIFS(INDIRECT("Data_main"&amp;"["&amp;M$8&amp;"]"),Data_main[Data],$A12, Data_main[Segment],$B12, Data_main[Scenario],$B$3))</f>
        <v>12.826392207029572</v>
      </c>
      <c r="N12" s="531">
        <f ca="1">IF($B$6="ON", IF(N10&gt;=covid_start, IF(N10&lt;covid_recovery,NA(),SUMIFS(INDIRECT("Data_main"&amp;"["&amp;N$8&amp;"]"),Data_main[Data],$A12, Data_main[Segment],$B12, Data_main[Scenario],$B$3)),SUMIFS(INDIRECT("Data_main"&amp;"["&amp;N$8&amp;"]"),Data_main[Data],$A12, Data_main[Segment],$B12, Data_main[Scenario],$B$3)),SUMIFS(INDIRECT("Data_main"&amp;"["&amp;N$8&amp;"]"),Data_main[Data],$A12, Data_main[Segment],$B12, Data_main[Scenario],$B$3))</f>
        <v>13.195281941594471</v>
      </c>
      <c r="O12" s="531">
        <f ca="1">IF($B$6="ON", IF(O10&gt;=covid_start, IF(O10&lt;covid_recovery,NA(),SUMIFS(INDIRECT("Data_main"&amp;"["&amp;O$8&amp;"]"),Data_main[Data],$A12, Data_main[Segment],$B12, Data_main[Scenario],$B$3)),SUMIFS(INDIRECT("Data_main"&amp;"["&amp;O$8&amp;"]"),Data_main[Data],$A12, Data_main[Segment],$B12, Data_main[Scenario],$B$3)),SUMIFS(INDIRECT("Data_main"&amp;"["&amp;O$8&amp;"]"),Data_main[Data],$A12, Data_main[Segment],$B12, Data_main[Scenario],$B$3))</f>
        <v>13.564171676159368</v>
      </c>
      <c r="P12" s="531">
        <f ca="1">IF($B$6="ON", IF(P10&gt;=covid_start, IF(P10&lt;covid_recovery,NA(),SUMIFS(INDIRECT("Data_main"&amp;"["&amp;P$8&amp;"]"),Data_main[Data],$A12, Data_main[Segment],$B12, Data_main[Scenario],$B$3)),SUMIFS(INDIRECT("Data_main"&amp;"["&amp;P$8&amp;"]"),Data_main[Data],$A12, Data_main[Segment],$B12, Data_main[Scenario],$B$3)),SUMIFS(INDIRECT("Data_main"&amp;"["&amp;P$8&amp;"]"),Data_main[Data],$A12, Data_main[Segment],$B12, Data_main[Scenario],$B$3))</f>
        <v>13.933061410724248</v>
      </c>
      <c r="Q12" s="531">
        <f ca="1">IF($B$6="ON", IF(Q10&gt;=covid_start, IF(Q10&lt;covid_recovery,NA(),SUMIFS(INDIRECT("Data_main"&amp;"["&amp;Q$8&amp;"]"),Data_main[Data],$A12, Data_main[Segment],$B12, Data_main[Scenario],$B$3)),SUMIFS(INDIRECT("Data_main"&amp;"["&amp;Q$8&amp;"]"),Data_main[Data],$A12, Data_main[Segment],$B12, Data_main[Scenario],$B$3)),SUMIFS(INDIRECT("Data_main"&amp;"["&amp;Q$8&amp;"]"),Data_main[Data],$A12, Data_main[Segment],$B12, Data_main[Scenario],$B$3))</f>
        <v>14.301951145289147</v>
      </c>
      <c r="R12" s="531">
        <f ca="1">IF($B$6="ON", IF(R10&gt;=covid_start, IF(R10&lt;covid_recovery,NA(),SUMIFS(INDIRECT("Data_main"&amp;"["&amp;R$8&amp;"]"),Data_main[Data],$A12, Data_main[Segment],$B12, Data_main[Scenario],$B$3)),SUMIFS(INDIRECT("Data_main"&amp;"["&amp;R$8&amp;"]"),Data_main[Data],$A12, Data_main[Segment],$B12, Data_main[Scenario],$B$3)),SUMIFS(INDIRECT("Data_main"&amp;"["&amp;R$8&amp;"]"),Data_main[Data],$A12, Data_main[Segment],$B12, Data_main[Scenario],$B$3))</f>
        <v>14.670840879854044</v>
      </c>
      <c r="S12" s="531">
        <f ca="1">IF($B$6="ON", IF(S10&gt;=covid_start, IF(S10&lt;covid_recovery,NA(),SUMIFS(INDIRECT("Data_main"&amp;"["&amp;S$8&amp;"]"),Data_main[Data],$A12, Data_main[Segment],$B12, Data_main[Scenario],$B$3)),SUMIFS(INDIRECT("Data_main"&amp;"["&amp;S$8&amp;"]"),Data_main[Data],$A12, Data_main[Segment],$B12, Data_main[Scenario],$B$3)),SUMIFS(INDIRECT("Data_main"&amp;"["&amp;S$8&amp;"]"),Data_main[Data],$A12, Data_main[Segment],$B12, Data_main[Scenario],$B$3))</f>
        <v>15.039730614418939</v>
      </c>
      <c r="T12" s="531">
        <f ca="1">IF($B$6="ON", IF(T10&gt;=covid_start, IF(T10&lt;covid_recovery,NA(),SUMIFS(INDIRECT("Data_main"&amp;"["&amp;T$8&amp;"]"),Data_main[Data],$A12, Data_main[Segment],$B12, Data_main[Scenario],$B$3)),SUMIFS(INDIRECT("Data_main"&amp;"["&amp;T$8&amp;"]"),Data_main[Data],$A12, Data_main[Segment],$B12, Data_main[Scenario],$B$3)),SUMIFS(INDIRECT("Data_main"&amp;"["&amp;T$8&amp;"]"),Data_main[Data],$A12, Data_main[Segment],$B12, Data_main[Scenario],$B$3))</f>
        <v>15.408620348983838</v>
      </c>
      <c r="U12" s="531">
        <f ca="1">IF($B$6="ON", IF(U10&gt;=covid_start, IF(U10&lt;covid_recovery,NA(),SUMIFS(INDIRECT("Data_main"&amp;"["&amp;U$8&amp;"]"),Data_main[Data],$A12, Data_main[Segment],$B12, Data_main[Scenario],$B$3)),SUMIFS(INDIRECT("Data_main"&amp;"["&amp;U$8&amp;"]"),Data_main[Data],$A12, Data_main[Segment],$B12, Data_main[Scenario],$B$3)),SUMIFS(INDIRECT("Data_main"&amp;"["&amp;U$8&amp;"]"),Data_main[Data],$A12, Data_main[Segment],$B12, Data_main[Scenario],$B$3))</f>
        <v>15.876398520354687</v>
      </c>
      <c r="V12" s="531">
        <f ca="1">IF($B$6="ON", IF(V10&gt;=covid_start, IF(V10&lt;covid_recovery,NA(),SUMIFS(INDIRECT("Data_main"&amp;"["&amp;V$8&amp;"]"),Data_main[Data],$A12, Data_main[Segment],$B12, Data_main[Scenario],$B$3)),SUMIFS(INDIRECT("Data_main"&amp;"["&amp;V$8&amp;"]"),Data_main[Data],$A12, Data_main[Segment],$B12, Data_main[Scenario],$B$3)),SUMIFS(INDIRECT("Data_main"&amp;"["&amp;V$8&amp;"]"),Data_main[Data],$A12, Data_main[Segment],$B12, Data_main[Scenario],$B$3))</f>
        <v>16.344176691725551</v>
      </c>
      <c r="W12" s="531">
        <f ca="1">IF($B$6="ON", IF(W10&gt;=covid_start, IF(W10&lt;covid_recovery,NA(),SUMIFS(INDIRECT("Data_main"&amp;"["&amp;W$8&amp;"]"),Data_main[Data],$A12, Data_main[Segment],$B12, Data_main[Scenario],$B$3)),SUMIFS(INDIRECT("Data_main"&amp;"["&amp;W$8&amp;"]"),Data_main[Data],$A12, Data_main[Segment],$B12, Data_main[Scenario],$B$3)),SUMIFS(INDIRECT("Data_main"&amp;"["&amp;W$8&amp;"]"),Data_main[Data],$A12, Data_main[Segment],$B12, Data_main[Scenario],$B$3))</f>
        <v>16.8119548630964</v>
      </c>
      <c r="X12" s="531">
        <f ca="1">IF($B$6="ON", IF(X10&gt;=covid_start, IF(X10&lt;covid_recovery,NA(),SUMIFS(INDIRECT("Data_main"&amp;"["&amp;X$8&amp;"]"),Data_main[Data],$A12, Data_main[Segment],$B12, Data_main[Scenario],$B$3)),SUMIFS(INDIRECT("Data_main"&amp;"["&amp;X$8&amp;"]"),Data_main[Data],$A12, Data_main[Segment],$B12, Data_main[Scenario],$B$3)),SUMIFS(INDIRECT("Data_main"&amp;"["&amp;X$8&amp;"]"),Data_main[Data],$A12, Data_main[Segment],$B12, Data_main[Scenario],$B$3))</f>
        <v>17.279733034467249</v>
      </c>
      <c r="Y12" s="531">
        <f ca="1">IF($B$6="ON", IF(Y10&gt;=covid_start, IF(Y10&lt;covid_recovery,NA(),SUMIFS(INDIRECT("Data_main"&amp;"["&amp;Y$8&amp;"]"),Data_main[Data],$A12, Data_main[Segment],$B12, Data_main[Scenario],$B$3)),SUMIFS(INDIRECT("Data_main"&amp;"["&amp;Y$8&amp;"]"),Data_main[Data],$A12, Data_main[Segment],$B12, Data_main[Scenario],$B$3)),SUMIFS(INDIRECT("Data_main"&amp;"["&amp;Y$8&amp;"]"),Data_main[Data],$A12, Data_main[Segment],$B12, Data_main[Scenario],$B$3))</f>
        <v>17.747511205838098</v>
      </c>
      <c r="Z12" s="531">
        <f ca="1">IF($B$6="ON", IF(Z10&gt;=covid_start, IF(Z10&lt;covid_recovery,NA(),SUMIFS(INDIRECT("Data_main"&amp;"["&amp;Z$8&amp;"]"),Data_main[Data],$A12, Data_main[Segment],$B12, Data_main[Scenario],$B$3)),SUMIFS(INDIRECT("Data_main"&amp;"["&amp;Z$8&amp;"]"),Data_main[Data],$A12, Data_main[Segment],$B12, Data_main[Scenario],$B$3)),SUMIFS(INDIRECT("Data_main"&amp;"["&amp;Z$8&amp;"]"),Data_main[Data],$A12, Data_main[Segment],$B12, Data_main[Scenario],$B$3))</f>
        <v>18.215289377208947</v>
      </c>
      <c r="AA12" s="531">
        <f ca="1">IF($B$6="ON", IF(AA10&gt;=covid_start, IF(AA10&lt;covid_recovery,NA(),SUMIFS(INDIRECT("Data_main"&amp;"["&amp;AA$8&amp;"]"),Data_main[Data],$A12, Data_main[Segment],$B12, Data_main[Scenario],$B$3)),SUMIFS(INDIRECT("Data_main"&amp;"["&amp;AA$8&amp;"]"),Data_main[Data],$A12, Data_main[Segment],$B12, Data_main[Scenario],$B$3)),SUMIFS(INDIRECT("Data_main"&amp;"["&amp;AA$8&amp;"]"),Data_main[Data],$A12, Data_main[Segment],$B12, Data_main[Scenario],$B$3))</f>
        <v>18.68306754857981</v>
      </c>
      <c r="AB12" s="531">
        <f ca="1">IF($B$6="ON", IF(AB10&gt;=covid_start, IF(AB10&lt;covid_recovery,NA(),SUMIFS(INDIRECT("Data_main"&amp;"["&amp;AB$8&amp;"]"),Data_main[Data],$A12, Data_main[Segment],$B12, Data_main[Scenario],$B$3)),SUMIFS(INDIRECT("Data_main"&amp;"["&amp;AB$8&amp;"]"),Data_main[Data],$A12, Data_main[Segment],$B12, Data_main[Scenario],$B$3)),SUMIFS(INDIRECT("Data_main"&amp;"["&amp;AB$8&amp;"]"),Data_main[Data],$A12, Data_main[Segment],$B12, Data_main[Scenario],$B$3))</f>
        <v>19.150845719950659</v>
      </c>
      <c r="AC12" s="531">
        <f ca="1">IF($B$6="ON", IF(AC10&gt;=covid_start, IF(AC10&lt;covid_recovery,NA(),SUMIFS(INDIRECT("Data_main"&amp;"["&amp;AC$8&amp;"]"),Data_main[Data],$A12, Data_main[Segment],$B12, Data_main[Scenario],$B$3)),SUMIFS(INDIRECT("Data_main"&amp;"["&amp;AC$8&amp;"]"),Data_main[Data],$A12, Data_main[Segment],$B12, Data_main[Scenario],$B$3)),SUMIFS(INDIRECT("Data_main"&amp;"["&amp;AC$8&amp;"]"),Data_main[Data],$A12, Data_main[Segment],$B12, Data_main[Scenario],$B$3))</f>
        <v>19.618623891321512</v>
      </c>
      <c r="AD12" s="531">
        <f ca="1">IF($B$6="ON", IF(AD10&gt;=covid_start, IF(AD10&lt;covid_recovery,NA(),SUMIFS(INDIRECT("Data_main"&amp;"["&amp;AD$8&amp;"]"),Data_main[Data],$A12, Data_main[Segment],$B12, Data_main[Scenario],$B$3)),SUMIFS(INDIRECT("Data_main"&amp;"["&amp;AD$8&amp;"]"),Data_main[Data],$A12, Data_main[Segment],$B12, Data_main[Scenario],$B$3)),SUMIFS(INDIRECT("Data_main"&amp;"["&amp;AD$8&amp;"]"),Data_main[Data],$A12, Data_main[Segment],$B12, Data_main[Scenario],$B$3))</f>
        <v>20.086402062692361</v>
      </c>
      <c r="AE12" s="531">
        <f ca="1">IF($B$6="ON", IF(AE10&gt;=covid_start, IF(AE10&lt;covid_recovery,NA(),SUMIFS(INDIRECT("Data_main"&amp;"["&amp;AE$8&amp;"]"),Data_main[Data],$A12, Data_main[Segment],$B12, Data_main[Scenario],$B$3)),SUMIFS(INDIRECT("Data_main"&amp;"["&amp;AE$8&amp;"]"),Data_main[Data],$A12, Data_main[Segment],$B12, Data_main[Scenario],$B$3)),SUMIFS(INDIRECT("Data_main"&amp;"["&amp;AE$8&amp;"]"),Data_main[Data],$A12, Data_main[Segment],$B12, Data_main[Scenario],$B$3))</f>
        <v>20.736025108383203</v>
      </c>
      <c r="AF12" s="531">
        <f ca="1">IF($B$6="ON", IF(AF10&gt;=covid_start, IF(AF10&lt;covid_recovery,NA(),SUMIFS(INDIRECT("Data_main"&amp;"["&amp;AF$8&amp;"]"),Data_main[Data],$A12, Data_main[Segment],$B12, Data_main[Scenario],$B$3)),SUMIFS(INDIRECT("Data_main"&amp;"["&amp;AF$8&amp;"]"),Data_main[Data],$A12, Data_main[Segment],$B12, Data_main[Scenario],$B$3)),SUMIFS(INDIRECT("Data_main"&amp;"["&amp;AF$8&amp;"]"),Data_main[Data],$A12, Data_main[Segment],$B12, Data_main[Scenario],$B$3))</f>
        <v>21.385648154074026</v>
      </c>
      <c r="AG12" s="531">
        <f ca="1">IF($B$6="ON", IF(AG10&gt;=covid_start, IF(AG10&lt;covid_recovery,NA(),SUMIFS(INDIRECT("Data_main"&amp;"["&amp;AG$8&amp;"]"),Data_main[Data],$A12, Data_main[Segment],$B12, Data_main[Scenario],$B$3)),SUMIFS(INDIRECT("Data_main"&amp;"["&amp;AG$8&amp;"]"),Data_main[Data],$A12, Data_main[Segment],$B12, Data_main[Scenario],$B$3)),SUMIFS(INDIRECT("Data_main"&amp;"["&amp;AG$8&amp;"]"),Data_main[Data],$A12, Data_main[Segment],$B12, Data_main[Scenario],$B$3))</f>
        <v>22.035271199764839</v>
      </c>
      <c r="AH12" s="531">
        <f ca="1">IF($B$6="ON", IF(AH10&gt;=covid_start, IF(AH10&lt;covid_recovery,NA(),SUMIFS(INDIRECT("Data_main"&amp;"["&amp;AH$8&amp;"]"),Data_main[Data],$A12, Data_main[Segment],$B12, Data_main[Scenario],$B$3)),SUMIFS(INDIRECT("Data_main"&amp;"["&amp;AH$8&amp;"]"),Data_main[Data],$A12, Data_main[Segment],$B12, Data_main[Scenario],$B$3)),SUMIFS(INDIRECT("Data_main"&amp;"["&amp;AH$8&amp;"]"),Data_main[Data],$A12, Data_main[Segment],$B12, Data_main[Scenario],$B$3))</f>
        <v>22.684894245455663</v>
      </c>
      <c r="AI12" s="531">
        <f ca="1">IF($B$6="ON", IF(AI10&gt;=covid_start, IF(AI10&lt;covid_recovery,NA(),SUMIFS(INDIRECT("Data_main"&amp;"["&amp;AI$8&amp;"]"),Data_main[Data],$A12, Data_main[Segment],$B12, Data_main[Scenario],$B$3)),SUMIFS(INDIRECT("Data_main"&amp;"["&amp;AI$8&amp;"]"),Data_main[Data],$A12, Data_main[Segment],$B12, Data_main[Scenario],$B$3)),SUMIFS(INDIRECT("Data_main"&amp;"["&amp;AI$8&amp;"]"),Data_main[Data],$A12, Data_main[Segment],$B12, Data_main[Scenario],$B$3))</f>
        <v>23.334517291146476</v>
      </c>
      <c r="AJ12" s="531">
        <f ca="1">IF($B$6="ON", IF(AJ10&gt;=covid_start, IF(AJ10&lt;covid_recovery,NA(),SUMIFS(INDIRECT("Data_main"&amp;"["&amp;AJ$8&amp;"]"),Data_main[Data],$A12, Data_main[Segment],$B12, Data_main[Scenario],$B$3)),SUMIFS(INDIRECT("Data_main"&amp;"["&amp;AJ$8&amp;"]"),Data_main[Data],$A12, Data_main[Segment],$B12, Data_main[Scenario],$B$3)),SUMIFS(INDIRECT("Data_main"&amp;"["&amp;AJ$8&amp;"]"),Data_main[Data],$A12, Data_main[Segment],$B12, Data_main[Scenario],$B$3))</f>
        <v>23.984140336837317</v>
      </c>
      <c r="AK12" s="531">
        <f ca="1">IF($B$6="ON", IF(AK10&gt;=covid_start, IF(AK10&lt;covid_recovery,NA(),SUMIFS(INDIRECT("Data_main"&amp;"["&amp;AK$8&amp;"]"),Data_main[Data],$A12, Data_main[Segment],$B12, Data_main[Scenario],$B$3)),SUMIFS(INDIRECT("Data_main"&amp;"["&amp;AK$8&amp;"]"),Data_main[Data],$A12, Data_main[Segment],$B12, Data_main[Scenario],$B$3)),SUMIFS(INDIRECT("Data_main"&amp;"["&amp;AK$8&amp;"]"),Data_main[Data],$A12, Data_main[Segment],$B12, Data_main[Scenario],$B$3))</f>
        <v>24.633763382528159</v>
      </c>
      <c r="AL12" s="531">
        <f ca="1">IF($B$6="ON", IF(AL10&gt;=covid_start, IF(AL10&lt;covid_recovery,NA(),SUMIFS(INDIRECT("Data_main"&amp;"["&amp;AL$8&amp;"]"),Data_main[Data],$A12, Data_main[Segment],$B12, Data_main[Scenario],$B$3)),SUMIFS(INDIRECT("Data_main"&amp;"["&amp;AL$8&amp;"]"),Data_main[Data],$A12, Data_main[Segment],$B12, Data_main[Scenario],$B$3)),SUMIFS(INDIRECT("Data_main"&amp;"["&amp;AL$8&amp;"]"),Data_main[Data],$A12, Data_main[Segment],$B12, Data_main[Scenario],$B$3))</f>
        <v>25.283386428218968</v>
      </c>
      <c r="AM12" s="531">
        <f ca="1">IF($B$6="ON", IF(AM10&gt;=covid_start, IF(AM10&lt;covid_recovery,NA(),SUMIFS(INDIRECT("Data_main"&amp;"["&amp;AM$8&amp;"]"),Data_main[Data],$A12, Data_main[Segment],$B12, Data_main[Scenario],$B$3)),SUMIFS(INDIRECT("Data_main"&amp;"["&amp;AM$8&amp;"]"),Data_main[Data],$A12, Data_main[Segment],$B12, Data_main[Scenario],$B$3)),SUMIFS(INDIRECT("Data_main"&amp;"["&amp;AM$8&amp;"]"),Data_main[Data],$A12, Data_main[Segment],$B12, Data_main[Scenario],$B$3))</f>
        <v>25.933009473909777</v>
      </c>
      <c r="AN12" s="531">
        <f ca="1">IF($B$6="ON", IF(AN10&gt;=covid_start, IF(AN10&lt;covid_recovery,NA(),SUMIFS(INDIRECT("Data_main"&amp;"["&amp;AN$8&amp;"]"),Data_main[Data],$A12, Data_main[Segment],$B12, Data_main[Scenario],$B$3)),SUMIFS(INDIRECT("Data_main"&amp;"["&amp;AN$8&amp;"]"),Data_main[Data],$A12, Data_main[Segment],$B12, Data_main[Scenario],$B$3)),SUMIFS(INDIRECT("Data_main"&amp;"["&amp;AN$8&amp;"]"),Data_main[Data],$A12, Data_main[Segment],$B12, Data_main[Scenario],$B$3))</f>
        <v>26.582632519600619</v>
      </c>
      <c r="AO12" s="531">
        <f ca="1">IF($B$6="ON", IF(AO10&gt;=covid_start, IF(AO10&lt;covid_recovery,NA(),SUMIFS(INDIRECT("Data_main"&amp;"["&amp;AO$8&amp;"]"),Data_main[Data],$A12, Data_main[Segment],$B12, Data_main[Scenario],$B$3)),SUMIFS(INDIRECT("Data_main"&amp;"["&amp;AO$8&amp;"]"),Data_main[Data],$A12, Data_main[Segment],$B12, Data_main[Scenario],$B$3)),SUMIFS(INDIRECT("Data_main"&amp;"["&amp;AO$8&amp;"]"),Data_main[Data],$A12, Data_main[Segment],$B12, Data_main[Scenario],$B$3))</f>
        <v>0</v>
      </c>
      <c r="AP12" s="531">
        <f ca="1">IF($B$6="ON", IF(AP10&gt;=covid_start, IF(AP10&lt;covid_recovery,NA(),SUMIFS(INDIRECT("Data_main"&amp;"["&amp;AP$8&amp;"]"),Data_main[Data],$A12, Data_main[Segment],$B12, Data_main[Scenario],$B$3)),SUMIFS(INDIRECT("Data_main"&amp;"["&amp;AP$8&amp;"]"),Data_main[Data],$A12, Data_main[Segment],$B12, Data_main[Scenario],$B$3)),SUMIFS(INDIRECT("Data_main"&amp;"["&amp;AP$8&amp;"]"),Data_main[Data],$A12, Data_main[Segment],$B12, Data_main[Scenario],$B$3))</f>
        <v>0</v>
      </c>
      <c r="AQ12" s="531">
        <f ca="1">IF($B$6="ON", IF(AQ10&gt;=covid_start, IF(AQ10&lt;covid_recovery,NA(),SUMIFS(INDIRECT("Data_main"&amp;"["&amp;AQ$8&amp;"]"),Data_main[Data],$A12, Data_main[Segment],$B12, Data_main[Scenario],$B$3)),SUMIFS(INDIRECT("Data_main"&amp;"["&amp;AQ$8&amp;"]"),Data_main[Data],$A12, Data_main[Segment],$B12, Data_main[Scenario],$B$3)),SUMIFS(INDIRECT("Data_main"&amp;"["&amp;AQ$8&amp;"]"),Data_main[Data],$A12, Data_main[Segment],$B12, Data_main[Scenario],$B$3))</f>
        <v>0</v>
      </c>
      <c r="AR12" s="531">
        <f ca="1">IF($B$6="ON", IF(AR10&gt;=covid_start, IF(AR10&lt;covid_recovery,NA(),SUMIFS(INDIRECT("Data_main"&amp;"["&amp;AR$8&amp;"]"),Data_main[Data],$A12, Data_main[Segment],$B12, Data_main[Scenario],$B$3)),SUMIFS(INDIRECT("Data_main"&amp;"["&amp;AR$8&amp;"]"),Data_main[Data],$A12, Data_main[Segment],$B12, Data_main[Scenario],$B$3)),SUMIFS(INDIRECT("Data_main"&amp;"["&amp;AR$8&amp;"]"),Data_main[Data],$A12, Data_main[Segment],$B12, Data_main[Scenario],$B$3))</f>
        <v>0</v>
      </c>
      <c r="AS12" s="531">
        <f ca="1">IF($B$6="ON", IF(AS10&gt;=covid_start, IF(AS10&lt;covid_recovery,NA(),SUMIFS(INDIRECT("Data_main"&amp;"["&amp;AS$8&amp;"]"),Data_main[Data],$A12, Data_main[Segment],$B12, Data_main[Scenario],$B$3)),SUMIFS(INDIRECT("Data_main"&amp;"["&amp;AS$8&amp;"]"),Data_main[Data],$A12, Data_main[Segment],$B12, Data_main[Scenario],$B$3)),SUMIFS(INDIRECT("Data_main"&amp;"["&amp;AS$8&amp;"]"),Data_main[Data],$A12, Data_main[Segment],$B12, Data_main[Scenario],$B$3))</f>
        <v>0</v>
      </c>
      <c r="AT12" s="531">
        <f ca="1">IF($B$6="ON", IF(AT10&gt;=covid_start, IF(AT10&lt;covid_recovery,NA(),SUMIFS(INDIRECT("Data_main"&amp;"["&amp;AT$8&amp;"]"),Data_main[Data],$A12, Data_main[Segment],$B12, Data_main[Scenario],$B$3)),SUMIFS(INDIRECT("Data_main"&amp;"["&amp;AT$8&amp;"]"),Data_main[Data],$A12, Data_main[Segment],$B12, Data_main[Scenario],$B$3)),SUMIFS(INDIRECT("Data_main"&amp;"["&amp;AT$8&amp;"]"),Data_main[Data],$A12, Data_main[Segment],$B12, Data_main[Scenario],$B$3))</f>
        <v>0</v>
      </c>
      <c r="AU12" s="531">
        <f ca="1">IF($B$6="ON", IF(AU10&gt;=covid_start, IF(AU10&lt;covid_recovery,NA(),SUMIFS(INDIRECT("Data_main"&amp;"["&amp;AU$8&amp;"]"),Data_main[Data],$A12, Data_main[Segment],$B12, Data_main[Scenario],$B$3)),SUMIFS(INDIRECT("Data_main"&amp;"["&amp;AU$8&amp;"]"),Data_main[Data],$A12, Data_main[Segment],$B12, Data_main[Scenario],$B$3)),SUMIFS(INDIRECT("Data_main"&amp;"["&amp;AU$8&amp;"]"),Data_main[Data],$A12, Data_main[Segment],$B12, Data_main[Scenario],$B$3))</f>
        <v>0</v>
      </c>
      <c r="AV12" s="531">
        <f ca="1">IF($B$6="ON", IF(AV10&gt;=covid_start, IF(AV10&lt;covid_recovery,NA(),SUMIFS(INDIRECT("Data_main"&amp;"["&amp;AV$8&amp;"]"),Data_main[Data],$A12, Data_main[Segment],$B12, Data_main[Scenario],$B$3)),SUMIFS(INDIRECT("Data_main"&amp;"["&amp;AV$8&amp;"]"),Data_main[Data],$A12, Data_main[Segment],$B12, Data_main[Scenario],$B$3)),SUMIFS(INDIRECT("Data_main"&amp;"["&amp;AV$8&amp;"]"),Data_main[Data],$A12, Data_main[Segment],$B12, Data_main[Scenario],$B$3))</f>
        <v>0</v>
      </c>
      <c r="AW12" s="531">
        <f ca="1">IF($B$6="ON", IF(AW10&gt;=covid_start, IF(AW10&lt;covid_recovery,NA(),SUMIFS(INDIRECT("Data_main"&amp;"["&amp;AW$8&amp;"]"),Data_main[Data],$A12, Data_main[Segment],$B12, Data_main[Scenario],$B$3)),SUMIFS(INDIRECT("Data_main"&amp;"["&amp;AW$8&amp;"]"),Data_main[Data],$A12, Data_main[Segment],$B12, Data_main[Scenario],$B$3)),SUMIFS(INDIRECT("Data_main"&amp;"["&amp;AW$8&amp;"]"),Data_main[Data],$A12, Data_main[Segment],$B12, Data_main[Scenario],$B$3))</f>
        <v>0</v>
      </c>
      <c r="AX12" s="531">
        <f ca="1">IF($B$6="ON", IF(AX10&gt;=covid_start, IF(AX10&lt;covid_recovery,NA(),SUMIFS(INDIRECT("Data_main"&amp;"["&amp;AX$8&amp;"]"),Data_main[Data],$A12, Data_main[Segment],$B12, Data_main[Scenario],$B$3)),SUMIFS(INDIRECT("Data_main"&amp;"["&amp;AX$8&amp;"]"),Data_main[Data],$A12, Data_main[Segment],$B12, Data_main[Scenario],$B$3)),SUMIFS(INDIRECT("Data_main"&amp;"["&amp;AX$8&amp;"]"),Data_main[Data],$A12, Data_main[Segment],$B12, Data_main[Scenario],$B$3))</f>
        <v>0</v>
      </c>
      <c r="AY12" s="531">
        <f ca="1">IF($B$6="ON", IF(AY10&gt;=covid_start, IF(AY10&lt;covid_recovery,NA(),SUMIFS(INDIRECT("Data_main"&amp;"["&amp;AY$8&amp;"]"),Data_main[Data],$A12, Data_main[Segment],$B12, Data_main[Scenario],$B$3)),SUMIFS(INDIRECT("Data_main"&amp;"["&amp;AY$8&amp;"]"),Data_main[Data],$A12, Data_main[Segment],$B12, Data_main[Scenario],$B$3)),SUMIFS(INDIRECT("Data_main"&amp;"["&amp;AY$8&amp;"]"),Data_main[Data],$A12, Data_main[Segment],$B12, Data_main[Scenario],$B$3))</f>
        <v>0</v>
      </c>
      <c r="AZ12" s="531">
        <f ca="1">IF($B$6="ON", IF(AZ10&gt;=covid_start, IF(AZ10&lt;covid_recovery,NA(),SUMIFS(INDIRECT("Data_main"&amp;"["&amp;AZ$8&amp;"]"),Data_main[Data],$A12, Data_main[Segment],$B12, Data_main[Scenario],$B$3)),SUMIFS(INDIRECT("Data_main"&amp;"["&amp;AZ$8&amp;"]"),Data_main[Data],$A12, Data_main[Segment],$B12, Data_main[Scenario],$B$3)),SUMIFS(INDIRECT("Data_main"&amp;"["&amp;AZ$8&amp;"]"),Data_main[Data],$A12, Data_main[Segment],$B12, Data_main[Scenario],$B$3))</f>
        <v>0</v>
      </c>
      <c r="BA12" s="531">
        <f ca="1">IF($B$6="ON", IF(BA10&gt;=covid_start, IF(BA10&lt;covid_recovery,NA(),SUMIFS(INDIRECT("Data_main"&amp;"["&amp;BA$8&amp;"]"),Data_main[Data],$A12, Data_main[Segment],$B12, Data_main[Scenario],$B$3)),SUMIFS(INDIRECT("Data_main"&amp;"["&amp;BA$8&amp;"]"),Data_main[Data],$A12, Data_main[Segment],$B12, Data_main[Scenario],$B$3)),SUMIFS(INDIRECT("Data_main"&amp;"["&amp;BA$8&amp;"]"),Data_main[Data],$A12, Data_main[Segment],$B12, Data_main[Scenario],$B$3))</f>
        <v>0</v>
      </c>
      <c r="BB12" s="531">
        <f ca="1">IF($B$6="ON", IF(BB10&gt;=covid_start, IF(BB10&lt;covid_recovery,NA(),SUMIFS(INDIRECT("Data_main"&amp;"["&amp;BB$8&amp;"]"),Data_main[Data],$A12, Data_main[Segment],$B12, Data_main[Scenario],$B$3)),SUMIFS(INDIRECT("Data_main"&amp;"["&amp;BB$8&amp;"]"),Data_main[Data],$A12, Data_main[Segment],$B12, Data_main[Scenario],$B$3)),SUMIFS(INDIRECT("Data_main"&amp;"["&amp;BB$8&amp;"]"),Data_main[Data],$A12, Data_main[Segment],$B12, Data_main[Scenario],$B$3))</f>
        <v>0</v>
      </c>
      <c r="BC12" s="531">
        <f ca="1">IF($B$6="ON", IF(BC10&gt;=covid_start, IF(BC10&lt;covid_recovery,NA(),SUMIFS(INDIRECT("Data_main"&amp;"["&amp;BC$8&amp;"]"),Data_main[Data],$A12, Data_main[Segment],$B12, Data_main[Scenario],$B$3)),SUMIFS(INDIRECT("Data_main"&amp;"["&amp;BC$8&amp;"]"),Data_main[Data],$A12, Data_main[Segment],$B12, Data_main[Scenario],$B$3)),SUMIFS(INDIRECT("Data_main"&amp;"["&amp;BC$8&amp;"]"),Data_main[Data],$A12, Data_main[Segment],$B12, Data_main[Scenario],$B$3))</f>
        <v>0</v>
      </c>
      <c r="BD12" s="531">
        <f ca="1">IF($B$6="ON", IF(BD10&gt;=covid_start, IF(BD10&lt;covid_recovery,NA(),SUMIFS(INDIRECT("Data_main"&amp;"["&amp;BD$8&amp;"]"),Data_main[Data],$A12, Data_main[Segment],$B12, Data_main[Scenario],$B$3)),SUMIFS(INDIRECT("Data_main"&amp;"["&amp;BD$8&amp;"]"),Data_main[Data],$A12, Data_main[Segment],$B12, Data_main[Scenario],$B$3)),SUMIFS(INDIRECT("Data_main"&amp;"["&amp;BD$8&amp;"]"),Data_main[Data],$A12, Data_main[Segment],$B12, Data_main[Scenario],$B$3))</f>
        <v>0</v>
      </c>
      <c r="BE12" s="531">
        <f ca="1">IF($B$6="ON", IF(BE10&gt;=covid_start, IF(BE10&lt;covid_recovery,NA(),SUMIFS(INDIRECT("Data_main"&amp;"["&amp;BE$8&amp;"]"),Data_main[Data],$A12, Data_main[Segment],$B12, Data_main[Scenario],$B$3)),SUMIFS(INDIRECT("Data_main"&amp;"["&amp;BE$8&amp;"]"),Data_main[Data],$A12, Data_main[Segment],$B12, Data_main[Scenario],$B$3)),SUMIFS(INDIRECT("Data_main"&amp;"["&amp;BE$8&amp;"]"),Data_main[Data],$A12, Data_main[Segment],$B12, Data_main[Scenario],$B$3))</f>
        <v>0</v>
      </c>
      <c r="BF12" s="531">
        <f ca="1">IF($B$6="ON", IF(BF10&gt;=covid_start, IF(BF10&lt;covid_recovery,NA(),SUMIFS(INDIRECT("Data_main"&amp;"["&amp;BF$8&amp;"]"),Data_main[Data],$A12, Data_main[Segment],$B12, Data_main[Scenario],$B$3)),SUMIFS(INDIRECT("Data_main"&amp;"["&amp;BF$8&amp;"]"),Data_main[Data],$A12, Data_main[Segment],$B12, Data_main[Scenario],$B$3)),SUMIFS(INDIRECT("Data_main"&amp;"["&amp;BF$8&amp;"]"),Data_main[Data],$A12, Data_main[Segment],$B12, Data_main[Scenario],$B$3))</f>
        <v>0</v>
      </c>
      <c r="BG12" s="531">
        <f ca="1">IF($B$6="ON", IF(BG10&gt;=covid_start, IF(BG10&lt;covid_recovery,NA(),SUMIFS(INDIRECT("Data_main"&amp;"["&amp;BG$8&amp;"]"),Data_main[Data],$A12, Data_main[Segment],$B12, Data_main[Scenario],$B$3)),SUMIFS(INDIRECT("Data_main"&amp;"["&amp;BG$8&amp;"]"),Data_main[Data],$A12, Data_main[Segment],$B12, Data_main[Scenario],$B$3)),SUMIFS(INDIRECT("Data_main"&amp;"["&amp;BG$8&amp;"]"),Data_main[Data],$A12, Data_main[Segment],$B12, Data_main[Scenario],$B$3))</f>
        <v>0</v>
      </c>
      <c r="BH12" s="531">
        <f ca="1">IF($B$6="ON", IF(BH10&gt;=covid_start, IF(BH10&lt;covid_recovery,NA(),SUMIFS(INDIRECT("Data_main"&amp;"["&amp;BH$8&amp;"]"),Data_main[Data],$A12, Data_main[Segment],$B12, Data_main[Scenario],$B$3)),SUMIFS(INDIRECT("Data_main"&amp;"["&amp;BH$8&amp;"]"),Data_main[Data],$A12, Data_main[Segment],$B12, Data_main[Scenario],$B$3)),SUMIFS(INDIRECT("Data_main"&amp;"["&amp;BH$8&amp;"]"),Data_main[Data],$A12, Data_main[Segment],$B12, Data_main[Scenario],$B$3))</f>
        <v>0</v>
      </c>
      <c r="BI12" s="531">
        <f ca="1">IF($B$6="ON", IF(BI10&gt;=covid_start, IF(BI10&lt;covid_recovery,NA(),SUMIFS(INDIRECT("Data_main"&amp;"["&amp;BI$8&amp;"]"),Data_main[Data],$A12, Data_main[Segment],$B12, Data_main[Scenario],$B$3)),SUMIFS(INDIRECT("Data_main"&amp;"["&amp;BI$8&amp;"]"),Data_main[Data],$A12, Data_main[Segment],$B12, Data_main[Scenario],$B$3)),SUMIFS(INDIRECT("Data_main"&amp;"["&amp;BI$8&amp;"]"),Data_main[Data],$A12, Data_main[Segment],$B12, Data_main[Scenario],$B$3))</f>
        <v>0</v>
      </c>
      <c r="BJ12" s="531">
        <f ca="1">IF($B$6="ON", IF(BJ10&gt;=covid_start, IF(BJ10&lt;covid_recovery,NA(),SUMIFS(INDIRECT("Data_main"&amp;"["&amp;BJ$8&amp;"]"),Data_main[Data],$A12, Data_main[Segment],$B12, Data_main[Scenario],$B$3)),SUMIFS(INDIRECT("Data_main"&amp;"["&amp;BJ$8&amp;"]"),Data_main[Data],$A12, Data_main[Segment],$B12, Data_main[Scenario],$B$3)),SUMIFS(INDIRECT("Data_main"&amp;"["&amp;BJ$8&amp;"]"),Data_main[Data],$A12, Data_main[Segment],$B12, Data_main[Scenario],$B$3))</f>
        <v>0</v>
      </c>
      <c r="BK12" s="531">
        <f ca="1">IF($B$6="ON", IF(BK10&gt;=covid_start, IF(BK10&lt;covid_recovery,NA(),SUMIFS(INDIRECT("Data_main"&amp;"["&amp;BK$8&amp;"]"),Data_main[Data],$A12, Data_main[Segment],$B12, Data_main[Scenario],$B$3)),SUMIFS(INDIRECT("Data_main"&amp;"["&amp;BK$8&amp;"]"),Data_main[Data],$A12, Data_main[Segment],$B12, Data_main[Scenario],$B$3)),SUMIFS(INDIRECT("Data_main"&amp;"["&amp;BK$8&amp;"]"),Data_main[Data],$A12, Data_main[Segment],$B12, Data_main[Scenario],$B$3))</f>
        <v>0</v>
      </c>
      <c r="BL12" s="531">
        <f ca="1">IF($B$6="ON", IF(BL10&gt;=covid_start, IF(BL10&lt;covid_recovery,NA(),SUMIFS(INDIRECT("Data_main"&amp;"["&amp;BL$8&amp;"]"),Data_main[Data],$A12, Data_main[Segment],$B12, Data_main[Scenario],$B$3)),SUMIFS(INDIRECT("Data_main"&amp;"["&amp;BL$8&amp;"]"),Data_main[Data],$A12, Data_main[Segment],$B12, Data_main[Scenario],$B$3)),SUMIFS(INDIRECT("Data_main"&amp;"["&amp;BL$8&amp;"]"),Data_main[Data],$A12, Data_main[Segment],$B12, Data_main[Scenario],$B$3))</f>
        <v>0</v>
      </c>
      <c r="BM12" s="531">
        <f ca="1">IF($B$6="ON", IF(BM10&gt;=covid_start, IF(BM10&lt;covid_recovery,NA(),SUMIFS(INDIRECT("Data_main"&amp;"["&amp;BM$8&amp;"]"),Data_main[Data],$A12, Data_main[Segment],$B12, Data_main[Scenario],$B$3)),SUMIFS(INDIRECT("Data_main"&amp;"["&amp;BM$8&amp;"]"),Data_main[Data],$A12, Data_main[Segment],$B12, Data_main[Scenario],$B$3)),SUMIFS(INDIRECT("Data_main"&amp;"["&amp;BM$8&amp;"]"),Data_main[Data],$A12, Data_main[Segment],$B12, Data_main[Scenario],$B$3))</f>
        <v>0</v>
      </c>
      <c r="BN12" s="531">
        <f ca="1">IF($B$6="ON", IF(BN10&gt;=covid_start, IF(BN10&lt;covid_recovery,NA(),SUMIFS(INDIRECT("Data_main"&amp;"["&amp;BN$8&amp;"]"),Data_main[Data],$A12, Data_main[Segment],$B12, Data_main[Scenario],$B$3)),SUMIFS(INDIRECT("Data_main"&amp;"["&amp;BN$8&amp;"]"),Data_main[Data],$A12, Data_main[Segment],$B12, Data_main[Scenario],$B$3)),SUMIFS(INDIRECT("Data_main"&amp;"["&amp;BN$8&amp;"]"),Data_main[Data],$A12, Data_main[Segment],$B12, Data_main[Scenario],$B$3))</f>
        <v>0</v>
      </c>
      <c r="BO12" s="531">
        <f ca="1">IF($B$6="ON", IF(BO10&gt;=covid_start, IF(BO10&lt;covid_recovery,NA(),SUMIFS(INDIRECT("Data_main"&amp;"["&amp;BO$8&amp;"]"),Data_main[Data],$A12, Data_main[Segment],$B12, Data_main[Scenario],$B$3)),SUMIFS(INDIRECT("Data_main"&amp;"["&amp;BO$8&amp;"]"),Data_main[Data],$A12, Data_main[Segment],$B12, Data_main[Scenario],$B$3)),SUMIFS(INDIRECT("Data_main"&amp;"["&amp;BO$8&amp;"]"),Data_main[Data],$A12, Data_main[Segment],$B12, Data_main[Scenario],$B$3))</f>
        <v>0</v>
      </c>
      <c r="BP12" s="531">
        <f ca="1">IF($B$6="ON", IF(BP10&gt;=covid_start, IF(BP10&lt;covid_recovery,NA(),SUMIFS(INDIRECT("Data_main"&amp;"["&amp;BP$8&amp;"]"),Data_main[Data],$A12, Data_main[Segment],$B12, Data_main[Scenario],$B$3)),SUMIFS(INDIRECT("Data_main"&amp;"["&amp;BP$8&amp;"]"),Data_main[Data],$A12, Data_main[Segment],$B12, Data_main[Scenario],$B$3)),SUMIFS(INDIRECT("Data_main"&amp;"["&amp;BP$8&amp;"]"),Data_main[Data],$A12, Data_main[Segment],$B12, Data_main[Scenario],$B$3))</f>
        <v>0</v>
      </c>
      <c r="BQ12" s="531">
        <f ca="1">IF($B$6="ON", IF(BQ10&gt;=covid_start, IF(BQ10&lt;covid_recovery,NA(),SUMIFS(INDIRECT("Data_main"&amp;"["&amp;BQ$8&amp;"]"),Data_main[Data],$A12, Data_main[Segment],$B12, Data_main[Scenario],$B$3)),SUMIFS(INDIRECT("Data_main"&amp;"["&amp;BQ$8&amp;"]"),Data_main[Data],$A12, Data_main[Segment],$B12, Data_main[Scenario],$B$3)),SUMIFS(INDIRECT("Data_main"&amp;"["&amp;BQ$8&amp;"]"),Data_main[Data],$A12, Data_main[Segment],$B12, Data_main[Scenario],$B$3))</f>
        <v>0</v>
      </c>
      <c r="BR12" s="531">
        <f ca="1">IF($B$6="ON", IF(BR10&gt;=covid_start, IF(BR10&lt;covid_recovery,NA(),SUMIFS(INDIRECT("Data_main"&amp;"["&amp;BR$8&amp;"]"),Data_main[Data],$A12, Data_main[Segment],$B12, Data_main[Scenario],$B$3)),SUMIFS(INDIRECT("Data_main"&amp;"["&amp;BR$8&amp;"]"),Data_main[Data],$A12, Data_main[Segment],$B12, Data_main[Scenario],$B$3)),SUMIFS(INDIRECT("Data_main"&amp;"["&amp;BR$8&amp;"]"),Data_main[Data],$A12, Data_main[Segment],$B12, Data_main[Scenario],$B$3))</f>
        <v>0</v>
      </c>
      <c r="BS12" s="531">
        <f ca="1">IF($B$6="ON", IF(BS10&gt;=covid_start, IF(BS10&lt;covid_recovery,NA(),SUMIFS(INDIRECT("Data_main"&amp;"["&amp;BS$8&amp;"]"),Data_main[Data],$A12, Data_main[Segment],$B12, Data_main[Scenario],$B$3)),SUMIFS(INDIRECT("Data_main"&amp;"["&amp;BS$8&amp;"]"),Data_main[Data],$A12, Data_main[Segment],$B12, Data_main[Scenario],$B$3)),SUMIFS(INDIRECT("Data_main"&amp;"["&amp;BS$8&amp;"]"),Data_main[Data],$A12, Data_main[Segment],$B12, Data_main[Scenario],$B$3))</f>
        <v>0</v>
      </c>
      <c r="BT12" s="531">
        <f ca="1">IF($B$6="ON", IF(BT10&gt;=covid_start, IF(BT10&lt;covid_recovery,NA(),SUMIFS(INDIRECT("Data_main"&amp;"["&amp;BT$8&amp;"]"),Data_main[Data],$A12, Data_main[Segment],$B12, Data_main[Scenario],$B$3)),SUMIFS(INDIRECT("Data_main"&amp;"["&amp;BT$8&amp;"]"),Data_main[Data],$A12, Data_main[Segment],$B12, Data_main[Scenario],$B$3)),SUMIFS(INDIRECT("Data_main"&amp;"["&amp;BT$8&amp;"]"),Data_main[Data],$A12, Data_main[Segment],$B12, Data_main[Scenario],$B$3))</f>
        <v>0</v>
      </c>
      <c r="BU12" s="531">
        <f ca="1">IF($B$6="ON", IF(BU10&gt;=covid_start, IF(BU10&lt;covid_recovery,NA(),SUMIFS(INDIRECT("Data_main"&amp;"["&amp;BU$8&amp;"]"),Data_main[Data],$A12, Data_main[Segment],$B12, Data_main[Scenario],$B$3)),SUMIFS(INDIRECT("Data_main"&amp;"["&amp;BU$8&amp;"]"),Data_main[Data],$A12, Data_main[Segment],$B12, Data_main[Scenario],$B$3)),SUMIFS(INDIRECT("Data_main"&amp;"["&amp;BU$8&amp;"]"),Data_main[Data],$A12, Data_main[Segment],$B12, Data_main[Scenario],$B$3))</f>
        <v>0</v>
      </c>
      <c r="BV12" s="531">
        <f ca="1">IF($B$6="ON", IF(BV10&gt;=covid_start, IF(BV10&lt;covid_recovery,NA(),SUMIFS(INDIRECT("Data_main"&amp;"["&amp;BV$8&amp;"]"),Data_main[Data],$A12, Data_main[Segment],$B12, Data_main[Scenario],$B$3)),SUMIFS(INDIRECT("Data_main"&amp;"["&amp;BV$8&amp;"]"),Data_main[Data],$A12, Data_main[Segment],$B12, Data_main[Scenario],$B$3)),SUMIFS(INDIRECT("Data_main"&amp;"["&amp;BV$8&amp;"]"),Data_main[Data],$A12, Data_main[Segment],$B12, Data_main[Scenario],$B$3))</f>
        <v>0</v>
      </c>
      <c r="BW12" s="531">
        <f ca="1">IF($B$6="ON", IF(BW10&gt;=covid_start, IF(BW10&lt;covid_recovery,NA(),SUMIFS(INDIRECT("Data_main"&amp;"["&amp;BW$8&amp;"]"),Data_main[Data],$A12, Data_main[Segment],$B12, Data_main[Scenario],$B$3)),SUMIFS(INDIRECT("Data_main"&amp;"["&amp;BW$8&amp;"]"),Data_main[Data],$A12, Data_main[Segment],$B12, Data_main[Scenario],$B$3)),SUMIFS(INDIRECT("Data_main"&amp;"["&amp;BW$8&amp;"]"),Data_main[Data],$A12, Data_main[Segment],$B12, Data_main[Scenario],$B$3))</f>
        <v>0</v>
      </c>
      <c r="BX12" s="531">
        <f ca="1">IF($B$6="ON", IF(BX10&gt;=covid_start, IF(BX10&lt;covid_recovery,NA(),SUMIFS(INDIRECT("Data_main"&amp;"["&amp;BX$8&amp;"]"),Data_main[Data],$A12, Data_main[Segment],$B12, Data_main[Scenario],$B$3)),SUMIFS(INDIRECT("Data_main"&amp;"["&amp;BX$8&amp;"]"),Data_main[Data],$A12, Data_main[Segment],$B12, Data_main[Scenario],$B$3)),SUMIFS(INDIRECT("Data_main"&amp;"["&amp;BX$8&amp;"]"),Data_main[Data],$A12, Data_main[Segment],$B12, Data_main[Scenario],$B$3))</f>
        <v>0</v>
      </c>
      <c r="BY12" s="531">
        <f ca="1">IF($B$6="ON", IF(BY10&gt;=covid_start, IF(BY10&lt;covid_recovery,NA(),SUMIFS(INDIRECT("Data_main"&amp;"["&amp;BY$8&amp;"]"),Data_main[Data],$A12, Data_main[Segment],$B12, Data_main[Scenario],$B$3)),SUMIFS(INDIRECT("Data_main"&amp;"["&amp;BY$8&amp;"]"),Data_main[Data],$A12, Data_main[Segment],$B12, Data_main[Scenario],$B$3)),SUMIFS(INDIRECT("Data_main"&amp;"["&amp;BY$8&amp;"]"),Data_main[Data],$A12, Data_main[Segment],$B12, Data_main[Scenario],$B$3))</f>
        <v>0</v>
      </c>
      <c r="BZ12" s="531">
        <f ca="1">IF($B$6="ON", IF(BZ10&gt;=covid_start, IF(BZ10&lt;covid_recovery,NA(),SUMIFS(INDIRECT("Data_main"&amp;"["&amp;BZ$8&amp;"]"),Data_main[Data],$A12, Data_main[Segment],$B12, Data_main[Scenario],$B$3)),SUMIFS(INDIRECT("Data_main"&amp;"["&amp;BZ$8&amp;"]"),Data_main[Data],$A12, Data_main[Segment],$B12, Data_main[Scenario],$B$3)),SUMIFS(INDIRECT("Data_main"&amp;"["&amp;BZ$8&amp;"]"),Data_main[Data],$A12, Data_main[Segment],$B12, Data_main[Scenario],$B$3))</f>
        <v>0</v>
      </c>
      <c r="CA12" s="531">
        <f ca="1">IF($B$6="ON", IF(CA10&gt;=covid_start, IF(CA10&lt;covid_recovery,NA(),SUMIFS(INDIRECT("Data_main"&amp;"["&amp;CA$8&amp;"]"),Data_main[Data],$A12, Data_main[Segment],$B12, Data_main[Scenario],$B$3)),SUMIFS(INDIRECT("Data_main"&amp;"["&amp;CA$8&amp;"]"),Data_main[Data],$A12, Data_main[Segment],$B12, Data_main[Scenario],$B$3)),SUMIFS(INDIRECT("Data_main"&amp;"["&amp;CA$8&amp;"]"),Data_main[Data],$A12, Data_main[Segment],$B12, Data_main[Scenario],$B$3))</f>
        <v>0</v>
      </c>
      <c r="CB12" s="531">
        <f ca="1">IF($B$6="ON", IF(CB10&gt;=covid_start, IF(CB10&lt;covid_recovery,NA(),SUMIFS(INDIRECT("Data_main"&amp;"["&amp;CB$8&amp;"]"),Data_main[Data],$A12, Data_main[Segment],$B12, Data_main[Scenario],$B$3)),SUMIFS(INDIRECT("Data_main"&amp;"["&amp;CB$8&amp;"]"),Data_main[Data],$A12, Data_main[Segment],$B12, Data_main[Scenario],$B$3)),SUMIFS(INDIRECT("Data_main"&amp;"["&amp;CB$8&amp;"]"),Data_main[Data],$A12, Data_main[Segment],$B12, Data_main[Scenario],$B$3))</f>
        <v>0</v>
      </c>
      <c r="CC12" s="531">
        <f ca="1">IF($B$6="ON", IF(CC10&gt;=covid_start, IF(CC10&lt;covid_recovery,NA(),SUMIFS(INDIRECT("Data_main"&amp;"["&amp;CC$8&amp;"]"),Data_main[Data],$A12, Data_main[Segment],$B12, Data_main[Scenario],$B$3)),SUMIFS(INDIRECT("Data_main"&amp;"["&amp;CC$8&amp;"]"),Data_main[Data],$A12, Data_main[Segment],$B12, Data_main[Scenario],$B$3)),SUMIFS(INDIRECT("Data_main"&amp;"["&amp;CC$8&amp;"]"),Data_main[Data],$A12, Data_main[Segment],$B12, Data_main[Scenario],$B$3))</f>
        <v>0</v>
      </c>
      <c r="CD12" s="531">
        <f ca="1">IF($B$6="ON", IF(CD10&gt;=covid_start, IF(CD10&lt;covid_recovery,NA(),SUMIFS(INDIRECT("Data_main"&amp;"["&amp;CD$8&amp;"]"),Data_main[Data],$A12, Data_main[Segment],$B12, Data_main[Scenario],$B$3)),SUMIFS(INDIRECT("Data_main"&amp;"["&amp;CD$8&amp;"]"),Data_main[Data],$A12, Data_main[Segment],$B12, Data_main[Scenario],$B$3)),SUMIFS(INDIRECT("Data_main"&amp;"["&amp;CD$8&amp;"]"),Data_main[Data],$A12, Data_main[Segment],$B12, Data_main[Scenario],$B$3))</f>
        <v>0</v>
      </c>
      <c r="CE12" s="531">
        <f ca="1">IF($B$6="ON", IF(CE10&gt;=covid_start, IF(CE10&lt;covid_recovery,NA(),SUMIFS(INDIRECT("Data_main"&amp;"["&amp;CE$8&amp;"]"),Data_main[Data],$A12, Data_main[Segment],$B12, Data_main[Scenario],$B$3)),SUMIFS(INDIRECT("Data_main"&amp;"["&amp;CE$8&amp;"]"),Data_main[Data],$A12, Data_main[Segment],$B12, Data_main[Scenario],$B$3)),SUMIFS(INDIRECT("Data_main"&amp;"["&amp;CE$8&amp;"]"),Data_main[Data],$A12, Data_main[Segment],$B12, Data_main[Scenario],$B$3))</f>
        <v>0</v>
      </c>
      <c r="CF12" s="531">
        <f ca="1">IF($B$6="ON", IF(CF10&gt;=covid_start, IF(CF10&lt;covid_recovery,NA(),SUMIFS(INDIRECT("Data_main"&amp;"["&amp;CF$8&amp;"]"),Data_main[Data],$A12, Data_main[Segment],$B12, Data_main[Scenario],$B$3)),SUMIFS(INDIRECT("Data_main"&amp;"["&amp;CF$8&amp;"]"),Data_main[Data],$A12, Data_main[Segment],$B12, Data_main[Scenario],$B$3)),SUMIFS(INDIRECT("Data_main"&amp;"["&amp;CF$8&amp;"]"),Data_main[Data],$A12, Data_main[Segment],$B12, Data_main[Scenario],$B$3))</f>
        <v>0</v>
      </c>
      <c r="CG12" s="531">
        <f ca="1">IF($B$6="ON", IF(CG10&gt;=covid_start, IF(CG10&lt;covid_recovery,NA(),SUMIFS(INDIRECT("Data_main"&amp;"["&amp;CG$8&amp;"]"),Data_main[Data],$A12, Data_main[Segment],$B12, Data_main[Scenario],$B$3)),SUMIFS(INDIRECT("Data_main"&amp;"["&amp;CG$8&amp;"]"),Data_main[Data],$A12, Data_main[Segment],$B12, Data_main[Scenario],$B$3)),SUMIFS(INDIRECT("Data_main"&amp;"["&amp;CG$8&amp;"]"),Data_main[Data],$A12, Data_main[Segment],$B12, Data_main[Scenario],$B$3))</f>
        <v>0</v>
      </c>
      <c r="CH12" s="531">
        <f ca="1">IF($B$6="ON", IF(CH10&gt;=covid_start, IF(CH10&lt;covid_recovery,NA(),SUMIFS(INDIRECT("Data_main"&amp;"["&amp;CH$8&amp;"]"),Data_main[Data],$A12, Data_main[Segment],$B12, Data_main[Scenario],$B$3)),SUMIFS(INDIRECT("Data_main"&amp;"["&amp;CH$8&amp;"]"),Data_main[Data],$A12, Data_main[Segment],$B12, Data_main[Scenario],$B$3)),SUMIFS(INDIRECT("Data_main"&amp;"["&amp;CH$8&amp;"]"),Data_main[Data],$A12, Data_main[Segment],$B12, Data_main[Scenario],$B$3))</f>
        <v>0</v>
      </c>
      <c r="CI12" s="531">
        <f ca="1">IF($B$6="ON", IF(CI10&gt;=covid_start, IF(CI10&lt;covid_recovery,NA(),SUMIFS(INDIRECT("Data_main"&amp;"["&amp;CI$8&amp;"]"),Data_main[Data],$A12, Data_main[Segment],$B12, Data_main[Scenario],$B$3)),SUMIFS(INDIRECT("Data_main"&amp;"["&amp;CI$8&amp;"]"),Data_main[Data],$A12, Data_main[Segment],$B12, Data_main[Scenario],$B$3)),SUMIFS(INDIRECT("Data_main"&amp;"["&amp;CI$8&amp;"]"),Data_main[Data],$A12, Data_main[Segment],$B12, Data_main[Scenario],$B$3))</f>
        <v>0</v>
      </c>
      <c r="CJ12" s="531">
        <f ca="1">IF($B$6="ON", IF(CJ10&gt;=covid_start, IF(CJ10&lt;covid_recovery,NA(),SUMIFS(INDIRECT("Data_main"&amp;"["&amp;CJ$8&amp;"]"),Data_main[Data],$A12, Data_main[Segment],$B12, Data_main[Scenario],$B$3)),SUMIFS(INDIRECT("Data_main"&amp;"["&amp;CJ$8&amp;"]"),Data_main[Data],$A12, Data_main[Segment],$B12, Data_main[Scenario],$B$3)),SUMIFS(INDIRECT("Data_main"&amp;"["&amp;CJ$8&amp;"]"),Data_main[Data],$A12, Data_main[Segment],$B12, Data_main[Scenario],$B$3))</f>
        <v>0</v>
      </c>
      <c r="CK12" s="531">
        <f ca="1">IF($B$6="ON", IF(CK10&gt;=covid_start, IF(CK10&lt;covid_recovery,NA(),SUMIFS(INDIRECT("Data_main"&amp;"["&amp;CK$8&amp;"]"),Data_main[Data],$A12, Data_main[Segment],$B12, Data_main[Scenario],$B$3)),SUMIFS(INDIRECT("Data_main"&amp;"["&amp;CK$8&amp;"]"),Data_main[Data],$A12, Data_main[Segment],$B12, Data_main[Scenario],$B$3)),SUMIFS(INDIRECT("Data_main"&amp;"["&amp;CK$8&amp;"]"),Data_main[Data],$A12, Data_main[Segment],$B12, Data_main[Scenario],$B$3))</f>
        <v>0</v>
      </c>
      <c r="CL12" s="531">
        <f ca="1">IF($B$6="ON", IF(CL10&gt;=covid_start, IF(CL10&lt;covid_recovery,NA(),SUMIFS(INDIRECT("Data_main"&amp;"["&amp;CL$8&amp;"]"),Data_main[Data],$A12, Data_main[Segment],$B12, Data_main[Scenario],$B$3)),SUMIFS(INDIRECT("Data_main"&amp;"["&amp;CL$8&amp;"]"),Data_main[Data],$A12, Data_main[Segment],$B12, Data_main[Scenario],$B$3)),SUMIFS(INDIRECT("Data_main"&amp;"["&amp;CL$8&amp;"]"),Data_main[Data],$A12, Data_main[Segment],$B12, Data_main[Scenario],$B$3))</f>
        <v>0</v>
      </c>
      <c r="CN12" s="613">
        <f ca="1">IFERROR((Y12/H12)^(1/17)-1,"")</f>
        <v>2.0789671507730256E-2</v>
      </c>
      <c r="CO12" s="613">
        <f ca="1">IFERROR((AN12/Y12)^(1/15)-1,"")</f>
        <v>2.7300190311734696E-2</v>
      </c>
      <c r="CP12" s="613">
        <f ca="1">IFERROR((AN12/H12)^(1/32)-1,"")</f>
        <v>2.3836323786496472E-2</v>
      </c>
    </row>
    <row r="13" spans="1:94" outlineLevel="1">
      <c r="A13" s="532" t="s">
        <v>158</v>
      </c>
      <c r="B13" s="532" t="str">
        <f t="shared" si="17"/>
        <v>Ded-short</v>
      </c>
      <c r="C13" s="533" t="s">
        <v>291</v>
      </c>
      <c r="D13" s="530" t="s">
        <v>292</v>
      </c>
      <c r="E13" s="531">
        <f ca="1">IF($B$6="ON", IF(E10&gt;=covid_start, IF(E10&lt;covid_recovery,NA(),SUMIFS(INDIRECT("Data_main"&amp;"["&amp;E$8&amp;"]"),Data_main[Data],$A13, Data_main[Segment],$B13, Data_main[Scenario],$B$3)),SUMIFS(INDIRECT("Data_main"&amp;"["&amp;E$8&amp;"]"),Data_main[Data],$A13, Data_main[Segment],$B13, Data_main[Scenario],$B$3)),SUMIFS(INDIRECT("Data_main"&amp;"["&amp;E$8&amp;"]"),Data_main[Data],$A13, Data_main[Segment],$B13, Data_main[Scenario],$B$3))</f>
        <v>1189.7236448298318</v>
      </c>
      <c r="F13" s="531">
        <f ca="1">IF($B$6="ON", IF(F10&gt;=covid_start, IF(F10&lt;covid_recovery,NA(),SUMIFS(INDIRECT("Data_main"&amp;"["&amp;F$8&amp;"]"),Data_main[Data],$A13, Data_main[Segment],$B13, Data_main[Scenario],$B$3)),SUMIFS(INDIRECT("Data_main"&amp;"["&amp;F$8&amp;"]"),Data_main[Data],$A13, Data_main[Segment],$B13, Data_main[Scenario],$B$3)),SUMIFS(INDIRECT("Data_main"&amp;"["&amp;F$8&amp;"]"),Data_main[Data],$A13, Data_main[Segment],$B13, Data_main[Scenario],$B$3))</f>
        <v>1147.7539072100469</v>
      </c>
      <c r="G13" s="531">
        <f ca="1">IF($B$6="ON", IF(G10&gt;=covid_start, IF(G10&lt;covid_recovery,NA(),SUMIFS(INDIRECT("Data_main"&amp;"["&amp;G$8&amp;"]"),Data_main[Data],$A13, Data_main[Segment],$B13, Data_main[Scenario],$B$3)),SUMIFS(INDIRECT("Data_main"&amp;"["&amp;G$8&amp;"]"),Data_main[Data],$A13, Data_main[Segment],$B13, Data_main[Scenario],$B$3)),SUMIFS(INDIRECT("Data_main"&amp;"["&amp;G$8&amp;"]"),Data_main[Data],$A13, Data_main[Segment],$B13, Data_main[Scenario],$B$3))</f>
        <v>1110.5450166318824</v>
      </c>
      <c r="H13" s="531">
        <f ca="1">IF($B$6="ON", IF(H10&gt;=covid_start, IF(H10&lt;covid_recovery,NA(),SUMIFS(INDIRECT("Data_main"&amp;"["&amp;H$8&amp;"]"),Data_main[Data],$A13, Data_main[Segment],$B13, Data_main[Scenario],$B$3)),SUMIFS(INDIRECT("Data_main"&amp;"["&amp;H$8&amp;"]"),Data_main[Data],$A13, Data_main[Segment],$B13, Data_main[Scenario],$B$3)),SUMIFS(INDIRECT("Data_main"&amp;"["&amp;H$8&amp;"]"),Data_main[Data],$A13, Data_main[Segment],$B13, Data_main[Scenario],$B$3))</f>
        <v>1077.33038068719</v>
      </c>
      <c r="I13" s="531">
        <f ca="1">IF($B$6="ON", IF(I10&gt;=covid_start, IF(I10&lt;covid_recovery,NA(),SUMIFS(INDIRECT("Data_main"&amp;"["&amp;I$8&amp;"]"),Data_main[Data],$A13, Data_main[Segment],$B13, Data_main[Scenario],$B$3)),SUMIFS(INDIRECT("Data_main"&amp;"["&amp;I$8&amp;"]"),Data_main[Data],$A13, Data_main[Segment],$B13, Data_main[Scenario],$B$3)),SUMIFS(INDIRECT("Data_main"&amp;"["&amp;I$8&amp;"]"),Data_main[Data],$A13, Data_main[Segment],$B13, Data_main[Scenario],$B$3))</f>
        <v>1126.5819082910111</v>
      </c>
      <c r="J13" s="531" t="e">
        <f ca="1">IF($B$6="ON", IF(J10&gt;=covid_start, IF(J10&lt;covid_recovery,NA(),SUMIFS(INDIRECT("Data_main"&amp;"["&amp;J$8&amp;"]"),Data_main[Data],$A13, Data_main[Segment],$B13, Data_main[Scenario],$B$3)),SUMIFS(INDIRECT("Data_main"&amp;"["&amp;J$8&amp;"]"),Data_main[Data],$A13, Data_main[Segment],$B13, Data_main[Scenario],$B$3)),SUMIFS(INDIRECT("Data_main"&amp;"["&amp;J$8&amp;"]"),Data_main[Data],$A13, Data_main[Segment],$B13, Data_main[Scenario],$B$3))</f>
        <v>#N/A</v>
      </c>
      <c r="K13" s="531" t="e">
        <f ca="1">IF($B$6="ON", IF(K10&gt;=covid_start, IF(K10&lt;covid_recovery,NA(),SUMIFS(INDIRECT("Data_main"&amp;"["&amp;K$8&amp;"]"),Data_main[Data],$A13, Data_main[Segment],$B13, Data_main[Scenario],$B$3)),SUMIFS(INDIRECT("Data_main"&amp;"["&amp;K$8&amp;"]"),Data_main[Data],$A13, Data_main[Segment],$B13, Data_main[Scenario],$B$3)),SUMIFS(INDIRECT("Data_main"&amp;"["&amp;K$8&amp;"]"),Data_main[Data],$A13, Data_main[Segment],$B13, Data_main[Scenario],$B$3))</f>
        <v>#N/A</v>
      </c>
      <c r="L13" s="531" t="e">
        <f ca="1">IF($B$6="ON", IF(L10&gt;=covid_start, IF(L10&lt;covid_recovery,NA(),SUMIFS(INDIRECT("Data_main"&amp;"["&amp;L$8&amp;"]"),Data_main[Data],$A13, Data_main[Segment],$B13, Data_main[Scenario],$B$3)),SUMIFS(INDIRECT("Data_main"&amp;"["&amp;L$8&amp;"]"),Data_main[Data],$A13, Data_main[Segment],$B13, Data_main[Scenario],$B$3)),SUMIFS(INDIRECT("Data_main"&amp;"["&amp;L$8&amp;"]"),Data_main[Data],$A13, Data_main[Segment],$B13, Data_main[Scenario],$B$3))</f>
        <v>#N/A</v>
      </c>
      <c r="M13" s="531">
        <f ca="1">IF($B$6="ON", IF(M10&gt;=covid_start, IF(M10&lt;covid_recovery,NA(),SUMIFS(INDIRECT("Data_main"&amp;"["&amp;M$8&amp;"]"),Data_main[Data],$A13, Data_main[Segment],$B13, Data_main[Scenario],$B$3)),SUMIFS(INDIRECT("Data_main"&amp;"["&amp;M$8&amp;"]"),Data_main[Data],$A13, Data_main[Segment],$B13, Data_main[Scenario],$B$3)),SUMIFS(INDIRECT("Data_main"&amp;"["&amp;M$8&amp;"]"),Data_main[Data],$A13, Data_main[Segment],$B13, Data_main[Scenario],$B$3))</f>
        <v>981.09188987648861</v>
      </c>
      <c r="N13" s="531">
        <f ca="1">IF($B$6="ON", IF(N10&gt;=covid_start, IF(N10&lt;covid_recovery,NA(),SUMIFS(INDIRECT("Data_main"&amp;"["&amp;N$8&amp;"]"),Data_main[Data],$A13, Data_main[Segment],$B13, Data_main[Scenario],$B$3)),SUMIFS(INDIRECT("Data_main"&amp;"["&amp;N$8&amp;"]"),Data_main[Data],$A13, Data_main[Segment],$B13, Data_main[Scenario],$B$3)),SUMIFS(INDIRECT("Data_main"&amp;"["&amp;N$8&amp;"]"),Data_main[Data],$A13, Data_main[Segment],$B13, Data_main[Scenario],$B$3))</f>
        <v>949.80356749347379</v>
      </c>
      <c r="O13" s="531">
        <f ca="1">IF($B$6="ON", IF(O10&gt;=covid_start, IF(O10&lt;covid_recovery,NA(),SUMIFS(INDIRECT("Data_main"&amp;"["&amp;O$8&amp;"]"),Data_main[Data],$A13, Data_main[Segment],$B13, Data_main[Scenario],$B$3)),SUMIFS(INDIRECT("Data_main"&amp;"["&amp;O$8&amp;"]"),Data_main[Data],$A13, Data_main[Segment],$B13, Data_main[Scenario],$B$3)),SUMIFS(INDIRECT("Data_main"&amp;"["&amp;O$8&amp;"]"),Data_main[Data],$A13, Data_main[Segment],$B13, Data_main[Scenario],$B$3))</f>
        <v>920.21707272137542</v>
      </c>
      <c r="P13" s="531">
        <f ca="1">IF($B$6="ON", IF(P10&gt;=covid_start, IF(P10&lt;covid_recovery,NA(),SUMIFS(INDIRECT("Data_main"&amp;"["&amp;P$8&amp;"]"),Data_main[Data],$A13, Data_main[Segment],$B13, Data_main[Scenario],$B$3)),SUMIFS(INDIRECT("Data_main"&amp;"["&amp;P$8&amp;"]"),Data_main[Data],$A13, Data_main[Segment],$B13, Data_main[Scenario],$B$3)),SUMIFS(INDIRECT("Data_main"&amp;"["&amp;P$8&amp;"]"),Data_main[Data],$A13, Data_main[Segment],$B13, Data_main[Scenario],$B$3))</f>
        <v>892.19723352933408</v>
      </c>
      <c r="Q13" s="531">
        <f ca="1">IF($B$6="ON", IF(Q10&gt;=covid_start, IF(Q10&lt;covid_recovery,NA(),SUMIFS(INDIRECT("Data_main"&amp;"["&amp;Q$8&amp;"]"),Data_main[Data],$A13, Data_main[Segment],$B13, Data_main[Scenario],$B$3)),SUMIFS(INDIRECT("Data_main"&amp;"["&amp;Q$8&amp;"]"),Data_main[Data],$A13, Data_main[Segment],$B13, Data_main[Scenario],$B$3)),SUMIFS(INDIRECT("Data_main"&amp;"["&amp;Q$8&amp;"]"),Data_main[Data],$A13, Data_main[Segment],$B13, Data_main[Scenario],$B$3))</f>
        <v>865.62282383667934</v>
      </c>
      <c r="R13" s="531">
        <f ca="1">IF($B$6="ON", IF(R10&gt;=covid_start, IF(R10&lt;covid_recovery,NA(),SUMIFS(INDIRECT("Data_main"&amp;"["&amp;R$8&amp;"]"),Data_main[Data],$A13, Data_main[Segment],$B13, Data_main[Scenario],$B$3)),SUMIFS(INDIRECT("Data_main"&amp;"["&amp;R$8&amp;"]"),Data_main[Data],$A13, Data_main[Segment],$B13, Data_main[Scenario],$B$3)),SUMIFS(INDIRECT("Data_main"&amp;"["&amp;R$8&amp;"]"),Data_main[Data],$A13, Data_main[Segment],$B13, Data_main[Scenario],$B$3))</f>
        <v>840.38481019903247</v>
      </c>
      <c r="S13" s="531">
        <f ca="1">IF($B$6="ON", IF(S10&gt;=covid_start, IF(S10&lt;covid_recovery,NA(),SUMIFS(INDIRECT("Data_main"&amp;"["&amp;S$8&amp;"]"),Data_main[Data],$A13, Data_main[Segment],$B13, Data_main[Scenario],$B$3)),SUMIFS(INDIRECT("Data_main"&amp;"["&amp;S$8&amp;"]"),Data_main[Data],$A13, Data_main[Segment],$B13, Data_main[Scenario],$B$3)),SUMIFS(INDIRECT("Data_main"&amp;"["&amp;S$8&amp;"]"),Data_main[Data],$A13, Data_main[Segment],$B13, Data_main[Scenario],$B$3))</f>
        <v>816.38485652275381</v>
      </c>
      <c r="T13" s="531">
        <f ca="1">IF($B$6="ON", IF(T10&gt;=covid_start, IF(T10&lt;covid_recovery,NA(),SUMIFS(INDIRECT("Data_main"&amp;"["&amp;T$8&amp;"]"),Data_main[Data],$A13, Data_main[Segment],$B13, Data_main[Scenario],$B$3)),SUMIFS(INDIRECT("Data_main"&amp;"["&amp;T$8&amp;"]"),Data_main[Data],$A13, Data_main[Segment],$B13, Data_main[Scenario],$B$3)),SUMIFS(INDIRECT("Data_main"&amp;"["&amp;T$8&amp;"]"),Data_main[Data],$A13, Data_main[Segment],$B13, Data_main[Scenario],$B$3))</f>
        <v>793.53404356649946</v>
      </c>
      <c r="U13" s="531">
        <f ca="1">IF($B$6="ON", IF(U10&gt;=covid_start, IF(U10&lt;covid_recovery,NA(),SUMIFS(INDIRECT("Data_main"&amp;"["&amp;U$8&amp;"]"),Data_main[Data],$A13, Data_main[Segment],$B13, Data_main[Scenario],$B$3)),SUMIFS(INDIRECT("Data_main"&amp;"["&amp;U$8&amp;"]"),Data_main[Data],$A13, Data_main[Segment],$B13, Data_main[Scenario],$B$3)),SUMIFS(INDIRECT("Data_main"&amp;"["&amp;U$8&amp;"]"),Data_main[Data],$A13, Data_main[Segment],$B13, Data_main[Scenario],$B$3))</f>
        <v>762.06105516600064</v>
      </c>
      <c r="V13" s="531">
        <f ca="1">IF($B$6="ON", IF(V10&gt;=covid_start, IF(V10&lt;covid_recovery,NA(),SUMIFS(INDIRECT("Data_main"&amp;"["&amp;V$8&amp;"]"),Data_main[Data],$A13, Data_main[Segment],$B13, Data_main[Scenario],$B$3)),SUMIFS(INDIRECT("Data_main"&amp;"["&amp;V$8&amp;"]"),Data_main[Data],$A13, Data_main[Segment],$B13, Data_main[Scenario],$B$3)),SUMIFS(INDIRECT("Data_main"&amp;"["&amp;V$8&amp;"]"),Data_main[Data],$A13, Data_main[Segment],$B13, Data_main[Scenario],$B$3))</f>
        <v>732.38961079420869</v>
      </c>
      <c r="W13" s="531">
        <f ca="1">IF($B$6="ON", IF(W10&gt;=covid_start, IF(W10&lt;covid_recovery,NA(),SUMIFS(INDIRECT("Data_main"&amp;"["&amp;W$8&amp;"]"),Data_main[Data],$A13, Data_main[Segment],$B13, Data_main[Scenario],$B$3)),SUMIFS(INDIRECT("Data_main"&amp;"["&amp;W$8&amp;"]"),Data_main[Data],$A13, Data_main[Segment],$B13, Data_main[Scenario],$B$3)),SUMIFS(INDIRECT("Data_main"&amp;"["&amp;W$8&amp;"]"),Data_main[Data],$A13, Data_main[Segment],$B13, Data_main[Scenario],$B$3))</f>
        <v>704.36933121594609</v>
      </c>
      <c r="X13" s="531">
        <f ca="1">IF($B$6="ON", IF(X10&gt;=covid_start, IF(X10&lt;covid_recovery,NA(),SUMIFS(INDIRECT("Data_main"&amp;"["&amp;X$8&amp;"]"),Data_main[Data],$A13, Data_main[Segment],$B13, Data_main[Scenario],$B$3)),SUMIFS(INDIRECT("Data_main"&amp;"["&amp;X$8&amp;"]"),Data_main[Data],$A13, Data_main[Segment],$B13, Data_main[Scenario],$B$3)),SUMIFS(INDIRECT("Data_main"&amp;"["&amp;X$8&amp;"]"),Data_main[Data],$A13, Data_main[Segment],$B13, Data_main[Scenario],$B$3))</f>
        <v>677.86612080955945</v>
      </c>
      <c r="Y13" s="531">
        <f ca="1">IF($B$6="ON", IF(Y10&gt;=covid_start, IF(Y10&lt;covid_recovery,NA(),SUMIFS(INDIRECT("Data_main"&amp;"["&amp;Y$8&amp;"]"),Data_main[Data],$A13, Data_main[Segment],$B13, Data_main[Scenario],$B$3)),SUMIFS(INDIRECT("Data_main"&amp;"["&amp;Y$8&amp;"]"),Data_main[Data],$A13, Data_main[Segment],$B13, Data_main[Scenario],$B$3)),SUMIFS(INDIRECT("Data_main"&amp;"["&amp;Y$8&amp;"]"),Data_main[Data],$A13, Data_main[Segment],$B13, Data_main[Scenario],$B$3))</f>
        <v>652.76002159871678</v>
      </c>
      <c r="Z13" s="531">
        <f ca="1">IF($B$6="ON", IF(Z10&gt;=covid_start, IF(Z10&lt;covid_recovery,NA(),SUMIFS(INDIRECT("Data_main"&amp;"["&amp;Z$8&amp;"]"),Data_main[Data],$A13, Data_main[Segment],$B13, Data_main[Scenario],$B$3)),SUMIFS(INDIRECT("Data_main"&amp;"["&amp;Z$8&amp;"]"),Data_main[Data],$A13, Data_main[Segment],$B13, Data_main[Scenario],$B$3)),SUMIFS(INDIRECT("Data_main"&amp;"["&amp;Z$8&amp;"]"),Data_main[Data],$A13, Data_main[Segment],$B13, Data_main[Scenario],$B$3))</f>
        <v>628.94339794172356</v>
      </c>
      <c r="AA13" s="531">
        <f ca="1">IF($B$6="ON", IF(AA10&gt;=covid_start, IF(AA10&lt;covid_recovery,NA(),SUMIFS(INDIRECT("Data_main"&amp;"["&amp;AA$8&amp;"]"),Data_main[Data],$A13, Data_main[Segment],$B13, Data_main[Scenario],$B$3)),SUMIFS(INDIRECT("Data_main"&amp;"["&amp;AA$8&amp;"]"),Data_main[Data],$A13, Data_main[Segment],$B13, Data_main[Scenario],$B$3)),SUMIFS(INDIRECT("Data_main"&amp;"["&amp;AA$8&amp;"]"),Data_main[Data],$A13, Data_main[Segment],$B13, Data_main[Scenario],$B$3))</f>
        <v>606.31939392639492</v>
      </c>
      <c r="AB13" s="531">
        <f ca="1">IF($B$6="ON", IF(AB10&gt;=covid_start, IF(AB10&lt;covid_recovery,NA(),SUMIFS(INDIRECT("Data_main"&amp;"["&amp;AB$8&amp;"]"),Data_main[Data],$A13, Data_main[Segment],$B13, Data_main[Scenario],$B$3)),SUMIFS(INDIRECT("Data_main"&amp;"["&amp;AB$8&amp;"]"),Data_main[Data],$A13, Data_main[Segment],$B13, Data_main[Scenario],$B$3)),SUMIFS(INDIRECT("Data_main"&amp;"["&amp;AB$8&amp;"]"),Data_main[Data],$A13, Data_main[Segment],$B13, Data_main[Scenario],$B$3))</f>
        <v>584.80061684277905</v>
      </c>
      <c r="AC13" s="531">
        <f ca="1">IF($B$6="ON", IF(AC10&gt;=covid_start, IF(AC10&lt;covid_recovery,NA(),SUMIFS(INDIRECT("Data_main"&amp;"["&amp;AC$8&amp;"]"),Data_main[Data],$A13, Data_main[Segment],$B13, Data_main[Scenario],$B$3)),SUMIFS(INDIRECT("Data_main"&amp;"["&amp;AC$8&amp;"]"),Data_main[Data],$A13, Data_main[Segment],$B13, Data_main[Scenario],$B$3)),SUMIFS(INDIRECT("Data_main"&amp;"["&amp;AC$8&amp;"]"),Data_main[Data],$A13, Data_main[Segment],$B13, Data_main[Scenario],$B$3))</f>
        <v>564.30800900019346</v>
      </c>
      <c r="AD13" s="531">
        <f ca="1">IF($B$6="ON", IF(AD10&gt;=covid_start, IF(AD10&lt;covid_recovery,NA(),SUMIFS(INDIRECT("Data_main"&amp;"["&amp;AD$8&amp;"]"),Data_main[Data],$A13, Data_main[Segment],$B13, Data_main[Scenario],$B$3)),SUMIFS(INDIRECT("Data_main"&amp;"["&amp;AD$8&amp;"]"),Data_main[Data],$A13, Data_main[Segment],$B13, Data_main[Scenario],$B$3)),SUMIFS(INDIRECT("Data_main"&amp;"["&amp;AD$8&amp;"]"),Data_main[Data],$A13, Data_main[Segment],$B13, Data_main[Scenario],$B$3))</f>
        <v>544.76987718505256</v>
      </c>
      <c r="AE13" s="531">
        <f ca="1">IF($B$6="ON", IF(AE10&gt;=covid_start, IF(AE10&lt;covid_recovery,NA(),SUMIFS(INDIRECT("Data_main"&amp;"["&amp;AE$8&amp;"]"),Data_main[Data],$A13, Data_main[Segment],$B13, Data_main[Scenario],$B$3)),SUMIFS(INDIRECT("Data_main"&amp;"["&amp;AE$8&amp;"]"),Data_main[Data],$A13, Data_main[Segment],$B13, Data_main[Scenario],$B$3)),SUMIFS(INDIRECT("Data_main"&amp;"["&amp;AE$8&amp;"]"),Data_main[Data],$A13, Data_main[Segment],$B13, Data_main[Scenario],$B$3))</f>
        <v>525.21444475162878</v>
      </c>
      <c r="AF13" s="531">
        <f ca="1">IF($B$6="ON", IF(AF10&gt;=covid_start, IF(AF10&lt;covid_recovery,NA(),SUMIFS(INDIRECT("Data_main"&amp;"["&amp;AF$8&amp;"]"),Data_main[Data],$A13, Data_main[Segment],$B13, Data_main[Scenario],$B$3)),SUMIFS(INDIRECT("Data_main"&amp;"["&amp;AF$8&amp;"]"),Data_main[Data],$A13, Data_main[Segment],$B13, Data_main[Scenario],$B$3)),SUMIFS(INDIRECT("Data_main"&amp;"["&amp;AF$8&amp;"]"),Data_main[Data],$A13, Data_main[Segment],$B13, Data_main[Scenario],$B$3))</f>
        <v>506.84706698792417</v>
      </c>
      <c r="AG13" s="531">
        <f ca="1">IF($B$6="ON", IF(AG10&gt;=covid_start, IF(AG10&lt;covid_recovery,NA(),SUMIFS(INDIRECT("Data_main"&amp;"["&amp;AG$8&amp;"]"),Data_main[Data],$A13, Data_main[Segment],$B13, Data_main[Scenario],$B$3)),SUMIFS(INDIRECT("Data_main"&amp;"["&amp;AG$8&amp;"]"),Data_main[Data],$A13, Data_main[Segment],$B13, Data_main[Scenario],$B$3)),SUMIFS(INDIRECT("Data_main"&amp;"["&amp;AG$8&amp;"]"),Data_main[Data],$A13, Data_main[Segment],$B13, Data_main[Scenario],$B$3))</f>
        <v>489.56266857818724</v>
      </c>
      <c r="AH13" s="531">
        <f ca="1">IF($B$6="ON", IF(AH10&gt;=covid_start, IF(AH10&lt;covid_recovery,NA(),SUMIFS(INDIRECT("Data_main"&amp;"["&amp;AH$8&amp;"]"),Data_main[Data],$A13, Data_main[Segment],$B13, Data_main[Scenario],$B$3)),SUMIFS(INDIRECT("Data_main"&amp;"["&amp;AH$8&amp;"]"),Data_main[Data],$A13, Data_main[Segment],$B13, Data_main[Scenario],$B$3)),SUMIFS(INDIRECT("Data_main"&amp;"["&amp;AH$8&amp;"]"),Data_main[Data],$A13, Data_main[Segment],$B13, Data_main[Scenario],$B$3))</f>
        <v>473.26821029480686</v>
      </c>
      <c r="AI13" s="531">
        <f ca="1">IF($B$6="ON", IF(AI10&gt;=covid_start, IF(AI10&lt;covid_recovery,NA(),SUMIFS(INDIRECT("Data_main"&amp;"["&amp;AI$8&amp;"]"),Data_main[Data],$A13, Data_main[Segment],$B13, Data_main[Scenario],$B$3)),SUMIFS(INDIRECT("Data_main"&amp;"["&amp;AI$8&amp;"]"),Data_main[Data],$A13, Data_main[Segment],$B13, Data_main[Scenario],$B$3)),SUMIFS(INDIRECT("Data_main"&amp;"["&amp;AI$8&amp;"]"),Data_main[Data],$A13, Data_main[Segment],$B13, Data_main[Scenario],$B$3))</f>
        <v>457.88101360041605</v>
      </c>
      <c r="AJ13" s="531">
        <f ca="1">IF($B$6="ON", IF(AJ10&gt;=covid_start, IF(AJ10&lt;covid_recovery,NA(),SUMIFS(INDIRECT("Data_main"&amp;"["&amp;AJ$8&amp;"]"),Data_main[Data],$A13, Data_main[Segment],$B13, Data_main[Scenario],$B$3)),SUMIFS(INDIRECT("Data_main"&amp;"["&amp;AJ$8&amp;"]"),Data_main[Data],$A13, Data_main[Segment],$B13, Data_main[Scenario],$B$3)),SUMIFS(INDIRECT("Data_main"&amp;"["&amp;AJ$8&amp;"]"),Data_main[Data],$A13, Data_main[Segment],$B13, Data_main[Scenario],$B$3))</f>
        <v>443.32735752418881</v>
      </c>
      <c r="AK13" s="531">
        <f ca="1">IF($B$6="ON", IF(AK10&gt;=covid_start, IF(AK10&lt;covid_recovery,NA(),SUMIFS(INDIRECT("Data_main"&amp;"["&amp;AK$8&amp;"]"),Data_main[Data],$A13, Data_main[Segment],$B13, Data_main[Scenario],$B$3)),SUMIFS(INDIRECT("Data_main"&amp;"["&amp;AK$8&amp;"]"),Data_main[Data],$A13, Data_main[Segment],$B13, Data_main[Scenario],$B$3)),SUMIFS(INDIRECT("Data_main"&amp;"["&amp;AK$8&amp;"]"),Data_main[Data],$A13, Data_main[Segment],$B13, Data_main[Scenario],$B$3))</f>
        <v>429.54129755086836</v>
      </c>
      <c r="AL13" s="531">
        <f ca="1">IF($B$6="ON", IF(AL10&gt;=covid_start, IF(AL10&lt;covid_recovery,NA(),SUMIFS(INDIRECT("Data_main"&amp;"["&amp;AL$8&amp;"]"),Data_main[Data],$A13, Data_main[Segment],$B13, Data_main[Scenario],$B$3)),SUMIFS(INDIRECT("Data_main"&amp;"["&amp;AL$8&amp;"]"),Data_main[Data],$A13, Data_main[Segment],$B13, Data_main[Scenario],$B$3)),SUMIFS(INDIRECT("Data_main"&amp;"["&amp;AL$8&amp;"]"),Data_main[Data],$A13, Data_main[Segment],$B13, Data_main[Scenario],$B$3))</f>
        <v>416.46366659225902</v>
      </c>
      <c r="AM13" s="531">
        <f ca="1">IF($B$6="ON", IF(AM10&gt;=covid_start, IF(AM10&lt;covid_recovery,NA(),SUMIFS(INDIRECT("Data_main"&amp;"["&amp;AM$8&amp;"]"),Data_main[Data],$A13, Data_main[Segment],$B13, Data_main[Scenario],$B$3)),SUMIFS(INDIRECT("Data_main"&amp;"["&amp;AM$8&amp;"]"),Data_main[Data],$A13, Data_main[Segment],$B13, Data_main[Scenario],$B$3)),SUMIFS(INDIRECT("Data_main"&amp;"["&amp;AM$8&amp;"]"),Data_main[Data],$A13, Data_main[Segment],$B13, Data_main[Scenario],$B$3))</f>
        <v>404.04122611297277</v>
      </c>
      <c r="AN13" s="531">
        <f ca="1">IF($B$6="ON", IF(AN10&gt;=covid_start, IF(AN10&lt;covid_recovery,NA(),SUMIFS(INDIRECT("Data_main"&amp;"["&amp;AN$8&amp;"]"),Data_main[Data],$A13, Data_main[Segment],$B13, Data_main[Scenario],$B$3)),SUMIFS(INDIRECT("Data_main"&amp;"["&amp;AN$8&amp;"]"),Data_main[Data],$A13, Data_main[Segment],$B13, Data_main[Scenario],$B$3)),SUMIFS(INDIRECT("Data_main"&amp;"["&amp;AN$8&amp;"]"),Data_main[Data],$A13, Data_main[Segment],$B13, Data_main[Scenario],$B$3))</f>
        <v>392.22594172427398</v>
      </c>
      <c r="AO13" s="531">
        <f ca="1">IF($B$6="ON", IF(AO10&gt;=covid_start, IF(AO10&lt;covid_recovery,NA(),SUMIFS(INDIRECT("Data_main"&amp;"["&amp;AO$8&amp;"]"),Data_main[Data],$A13, Data_main[Segment],$B13, Data_main[Scenario],$B$3)),SUMIFS(INDIRECT("Data_main"&amp;"["&amp;AO$8&amp;"]"),Data_main[Data],$A13, Data_main[Segment],$B13, Data_main[Scenario],$B$3)),SUMIFS(INDIRECT("Data_main"&amp;"["&amp;AO$8&amp;"]"),Data_main[Data],$A13, Data_main[Segment],$B13, Data_main[Scenario],$B$3))</f>
        <v>0</v>
      </c>
      <c r="AP13" s="531">
        <f ca="1">IF($B$6="ON", IF(AP10&gt;=covid_start, IF(AP10&lt;covid_recovery,NA(),SUMIFS(INDIRECT("Data_main"&amp;"["&amp;AP$8&amp;"]"),Data_main[Data],$A13, Data_main[Segment],$B13, Data_main[Scenario],$B$3)),SUMIFS(INDIRECT("Data_main"&amp;"["&amp;AP$8&amp;"]"),Data_main[Data],$A13, Data_main[Segment],$B13, Data_main[Scenario],$B$3)),SUMIFS(INDIRECT("Data_main"&amp;"["&amp;AP$8&amp;"]"),Data_main[Data],$A13, Data_main[Segment],$B13, Data_main[Scenario],$B$3))</f>
        <v>0</v>
      </c>
      <c r="AQ13" s="531">
        <f ca="1">IF($B$6="ON", IF(AQ10&gt;=covid_start, IF(AQ10&lt;covid_recovery,NA(),SUMIFS(INDIRECT("Data_main"&amp;"["&amp;AQ$8&amp;"]"),Data_main[Data],$A13, Data_main[Segment],$B13, Data_main[Scenario],$B$3)),SUMIFS(INDIRECT("Data_main"&amp;"["&amp;AQ$8&amp;"]"),Data_main[Data],$A13, Data_main[Segment],$B13, Data_main[Scenario],$B$3)),SUMIFS(INDIRECT("Data_main"&amp;"["&amp;AQ$8&amp;"]"),Data_main[Data],$A13, Data_main[Segment],$B13, Data_main[Scenario],$B$3))</f>
        <v>0</v>
      </c>
      <c r="AR13" s="531">
        <f ca="1">IF($B$6="ON", IF(AR10&gt;=covid_start, IF(AR10&lt;covid_recovery,NA(),SUMIFS(INDIRECT("Data_main"&amp;"["&amp;AR$8&amp;"]"),Data_main[Data],$A13, Data_main[Segment],$B13, Data_main[Scenario],$B$3)),SUMIFS(INDIRECT("Data_main"&amp;"["&amp;AR$8&amp;"]"),Data_main[Data],$A13, Data_main[Segment],$B13, Data_main[Scenario],$B$3)),SUMIFS(INDIRECT("Data_main"&amp;"["&amp;AR$8&amp;"]"),Data_main[Data],$A13, Data_main[Segment],$B13, Data_main[Scenario],$B$3))</f>
        <v>0</v>
      </c>
      <c r="AS13" s="531">
        <f ca="1">IF($B$6="ON", IF(AS10&gt;=covid_start, IF(AS10&lt;covid_recovery,NA(),SUMIFS(INDIRECT("Data_main"&amp;"["&amp;AS$8&amp;"]"),Data_main[Data],$A13, Data_main[Segment],$B13, Data_main[Scenario],$B$3)),SUMIFS(INDIRECT("Data_main"&amp;"["&amp;AS$8&amp;"]"),Data_main[Data],$A13, Data_main[Segment],$B13, Data_main[Scenario],$B$3)),SUMIFS(INDIRECT("Data_main"&amp;"["&amp;AS$8&amp;"]"),Data_main[Data],$A13, Data_main[Segment],$B13, Data_main[Scenario],$B$3))</f>
        <v>0</v>
      </c>
      <c r="AT13" s="531">
        <f ca="1">IF($B$6="ON", IF(AT10&gt;=covid_start, IF(AT10&lt;covid_recovery,NA(),SUMIFS(INDIRECT("Data_main"&amp;"["&amp;AT$8&amp;"]"),Data_main[Data],$A13, Data_main[Segment],$B13, Data_main[Scenario],$B$3)),SUMIFS(INDIRECT("Data_main"&amp;"["&amp;AT$8&amp;"]"),Data_main[Data],$A13, Data_main[Segment],$B13, Data_main[Scenario],$B$3)),SUMIFS(INDIRECT("Data_main"&amp;"["&amp;AT$8&amp;"]"),Data_main[Data],$A13, Data_main[Segment],$B13, Data_main[Scenario],$B$3))</f>
        <v>0</v>
      </c>
      <c r="AU13" s="531">
        <f ca="1">IF($B$6="ON", IF(AU10&gt;=covid_start, IF(AU10&lt;covid_recovery,NA(),SUMIFS(INDIRECT("Data_main"&amp;"["&amp;AU$8&amp;"]"),Data_main[Data],$A13, Data_main[Segment],$B13, Data_main[Scenario],$B$3)),SUMIFS(INDIRECT("Data_main"&amp;"["&amp;AU$8&amp;"]"),Data_main[Data],$A13, Data_main[Segment],$B13, Data_main[Scenario],$B$3)),SUMIFS(INDIRECT("Data_main"&amp;"["&amp;AU$8&amp;"]"),Data_main[Data],$A13, Data_main[Segment],$B13, Data_main[Scenario],$B$3))</f>
        <v>0</v>
      </c>
      <c r="AV13" s="531">
        <f ca="1">IF($B$6="ON", IF(AV10&gt;=covid_start, IF(AV10&lt;covid_recovery,NA(),SUMIFS(INDIRECT("Data_main"&amp;"["&amp;AV$8&amp;"]"),Data_main[Data],$A13, Data_main[Segment],$B13, Data_main[Scenario],$B$3)),SUMIFS(INDIRECT("Data_main"&amp;"["&amp;AV$8&amp;"]"),Data_main[Data],$A13, Data_main[Segment],$B13, Data_main[Scenario],$B$3)),SUMIFS(INDIRECT("Data_main"&amp;"["&amp;AV$8&amp;"]"),Data_main[Data],$A13, Data_main[Segment],$B13, Data_main[Scenario],$B$3))</f>
        <v>0</v>
      </c>
      <c r="AW13" s="531">
        <f ca="1">IF($B$6="ON", IF(AW10&gt;=covid_start, IF(AW10&lt;covid_recovery,NA(),SUMIFS(INDIRECT("Data_main"&amp;"["&amp;AW$8&amp;"]"),Data_main[Data],$A13, Data_main[Segment],$B13, Data_main[Scenario],$B$3)),SUMIFS(INDIRECT("Data_main"&amp;"["&amp;AW$8&amp;"]"),Data_main[Data],$A13, Data_main[Segment],$B13, Data_main[Scenario],$B$3)),SUMIFS(INDIRECT("Data_main"&amp;"["&amp;AW$8&amp;"]"),Data_main[Data],$A13, Data_main[Segment],$B13, Data_main[Scenario],$B$3))</f>
        <v>0</v>
      </c>
      <c r="AX13" s="531">
        <f ca="1">IF($B$6="ON", IF(AX10&gt;=covid_start, IF(AX10&lt;covid_recovery,NA(),SUMIFS(INDIRECT("Data_main"&amp;"["&amp;AX$8&amp;"]"),Data_main[Data],$A13, Data_main[Segment],$B13, Data_main[Scenario],$B$3)),SUMIFS(INDIRECT("Data_main"&amp;"["&amp;AX$8&amp;"]"),Data_main[Data],$A13, Data_main[Segment],$B13, Data_main[Scenario],$B$3)),SUMIFS(INDIRECT("Data_main"&amp;"["&amp;AX$8&amp;"]"),Data_main[Data],$A13, Data_main[Segment],$B13, Data_main[Scenario],$B$3))</f>
        <v>0</v>
      </c>
      <c r="AY13" s="531">
        <f ca="1">IF($B$6="ON", IF(AY10&gt;=covid_start, IF(AY10&lt;covid_recovery,NA(),SUMIFS(INDIRECT("Data_main"&amp;"["&amp;AY$8&amp;"]"),Data_main[Data],$A13, Data_main[Segment],$B13, Data_main[Scenario],$B$3)),SUMIFS(INDIRECT("Data_main"&amp;"["&amp;AY$8&amp;"]"),Data_main[Data],$A13, Data_main[Segment],$B13, Data_main[Scenario],$B$3)),SUMIFS(INDIRECT("Data_main"&amp;"["&amp;AY$8&amp;"]"),Data_main[Data],$A13, Data_main[Segment],$B13, Data_main[Scenario],$B$3))</f>
        <v>0</v>
      </c>
      <c r="AZ13" s="531">
        <f ca="1">IF($B$6="ON", IF(AZ10&gt;=covid_start, IF(AZ10&lt;covid_recovery,NA(),SUMIFS(INDIRECT("Data_main"&amp;"["&amp;AZ$8&amp;"]"),Data_main[Data],$A13, Data_main[Segment],$B13, Data_main[Scenario],$B$3)),SUMIFS(INDIRECT("Data_main"&amp;"["&amp;AZ$8&amp;"]"),Data_main[Data],$A13, Data_main[Segment],$B13, Data_main[Scenario],$B$3)),SUMIFS(INDIRECT("Data_main"&amp;"["&amp;AZ$8&amp;"]"),Data_main[Data],$A13, Data_main[Segment],$B13, Data_main[Scenario],$B$3))</f>
        <v>0</v>
      </c>
      <c r="BA13" s="531">
        <f ca="1">IF($B$6="ON", IF(BA10&gt;=covid_start, IF(BA10&lt;covid_recovery,NA(),SUMIFS(INDIRECT("Data_main"&amp;"["&amp;BA$8&amp;"]"),Data_main[Data],$A13, Data_main[Segment],$B13, Data_main[Scenario],$B$3)),SUMIFS(INDIRECT("Data_main"&amp;"["&amp;BA$8&amp;"]"),Data_main[Data],$A13, Data_main[Segment],$B13, Data_main[Scenario],$B$3)),SUMIFS(INDIRECT("Data_main"&amp;"["&amp;BA$8&amp;"]"),Data_main[Data],$A13, Data_main[Segment],$B13, Data_main[Scenario],$B$3))</f>
        <v>0</v>
      </c>
      <c r="BB13" s="531">
        <f ca="1">IF($B$6="ON", IF(BB10&gt;=covid_start, IF(BB10&lt;covid_recovery,NA(),SUMIFS(INDIRECT("Data_main"&amp;"["&amp;BB$8&amp;"]"),Data_main[Data],$A13, Data_main[Segment],$B13, Data_main[Scenario],$B$3)),SUMIFS(INDIRECT("Data_main"&amp;"["&amp;BB$8&amp;"]"),Data_main[Data],$A13, Data_main[Segment],$B13, Data_main[Scenario],$B$3)),SUMIFS(INDIRECT("Data_main"&amp;"["&amp;BB$8&amp;"]"),Data_main[Data],$A13, Data_main[Segment],$B13, Data_main[Scenario],$B$3))</f>
        <v>0</v>
      </c>
      <c r="BC13" s="531">
        <f ca="1">IF($B$6="ON", IF(BC10&gt;=covid_start, IF(BC10&lt;covid_recovery,NA(),SUMIFS(INDIRECT("Data_main"&amp;"["&amp;BC$8&amp;"]"),Data_main[Data],$A13, Data_main[Segment],$B13, Data_main[Scenario],$B$3)),SUMIFS(INDIRECT("Data_main"&amp;"["&amp;BC$8&amp;"]"),Data_main[Data],$A13, Data_main[Segment],$B13, Data_main[Scenario],$B$3)),SUMIFS(INDIRECT("Data_main"&amp;"["&amp;BC$8&amp;"]"),Data_main[Data],$A13, Data_main[Segment],$B13, Data_main[Scenario],$B$3))</f>
        <v>0</v>
      </c>
      <c r="BD13" s="531">
        <f ca="1">IF($B$6="ON", IF(BD10&gt;=covid_start, IF(BD10&lt;covid_recovery,NA(),SUMIFS(INDIRECT("Data_main"&amp;"["&amp;BD$8&amp;"]"),Data_main[Data],$A13, Data_main[Segment],$B13, Data_main[Scenario],$B$3)),SUMIFS(INDIRECT("Data_main"&amp;"["&amp;BD$8&amp;"]"),Data_main[Data],$A13, Data_main[Segment],$B13, Data_main[Scenario],$B$3)),SUMIFS(INDIRECT("Data_main"&amp;"["&amp;BD$8&amp;"]"),Data_main[Data],$A13, Data_main[Segment],$B13, Data_main[Scenario],$B$3))</f>
        <v>0</v>
      </c>
      <c r="BE13" s="531">
        <f ca="1">IF($B$6="ON", IF(BE10&gt;=covid_start, IF(BE10&lt;covid_recovery,NA(),SUMIFS(INDIRECT("Data_main"&amp;"["&amp;BE$8&amp;"]"),Data_main[Data],$A13, Data_main[Segment],$B13, Data_main[Scenario],$B$3)),SUMIFS(INDIRECT("Data_main"&amp;"["&amp;BE$8&amp;"]"),Data_main[Data],$A13, Data_main[Segment],$B13, Data_main[Scenario],$B$3)),SUMIFS(INDIRECT("Data_main"&amp;"["&amp;BE$8&amp;"]"),Data_main[Data],$A13, Data_main[Segment],$B13, Data_main[Scenario],$B$3))</f>
        <v>0</v>
      </c>
      <c r="BF13" s="531">
        <f ca="1">IF($B$6="ON", IF(BF10&gt;=covid_start, IF(BF10&lt;covid_recovery,NA(),SUMIFS(INDIRECT("Data_main"&amp;"["&amp;BF$8&amp;"]"),Data_main[Data],$A13, Data_main[Segment],$B13, Data_main[Scenario],$B$3)),SUMIFS(INDIRECT("Data_main"&amp;"["&amp;BF$8&amp;"]"),Data_main[Data],$A13, Data_main[Segment],$B13, Data_main[Scenario],$B$3)),SUMIFS(INDIRECT("Data_main"&amp;"["&amp;BF$8&amp;"]"),Data_main[Data],$A13, Data_main[Segment],$B13, Data_main[Scenario],$B$3))</f>
        <v>0</v>
      </c>
      <c r="BG13" s="531">
        <f ca="1">IF($B$6="ON", IF(BG10&gt;=covid_start, IF(BG10&lt;covid_recovery,NA(),SUMIFS(INDIRECT("Data_main"&amp;"["&amp;BG$8&amp;"]"),Data_main[Data],$A13, Data_main[Segment],$B13, Data_main[Scenario],$B$3)),SUMIFS(INDIRECT("Data_main"&amp;"["&amp;BG$8&amp;"]"),Data_main[Data],$A13, Data_main[Segment],$B13, Data_main[Scenario],$B$3)),SUMIFS(INDIRECT("Data_main"&amp;"["&amp;BG$8&amp;"]"),Data_main[Data],$A13, Data_main[Segment],$B13, Data_main[Scenario],$B$3))</f>
        <v>0</v>
      </c>
      <c r="BH13" s="531">
        <f ca="1">IF($B$6="ON", IF(BH10&gt;=covid_start, IF(BH10&lt;covid_recovery,NA(),SUMIFS(INDIRECT("Data_main"&amp;"["&amp;BH$8&amp;"]"),Data_main[Data],$A13, Data_main[Segment],$B13, Data_main[Scenario],$B$3)),SUMIFS(INDIRECT("Data_main"&amp;"["&amp;BH$8&amp;"]"),Data_main[Data],$A13, Data_main[Segment],$B13, Data_main[Scenario],$B$3)),SUMIFS(INDIRECT("Data_main"&amp;"["&amp;BH$8&amp;"]"),Data_main[Data],$A13, Data_main[Segment],$B13, Data_main[Scenario],$B$3))</f>
        <v>0</v>
      </c>
      <c r="BI13" s="531">
        <f ca="1">IF($B$6="ON", IF(BI10&gt;=covid_start, IF(BI10&lt;covid_recovery,NA(),SUMIFS(INDIRECT("Data_main"&amp;"["&amp;BI$8&amp;"]"),Data_main[Data],$A13, Data_main[Segment],$B13, Data_main[Scenario],$B$3)),SUMIFS(INDIRECT("Data_main"&amp;"["&amp;BI$8&amp;"]"),Data_main[Data],$A13, Data_main[Segment],$B13, Data_main[Scenario],$B$3)),SUMIFS(INDIRECT("Data_main"&amp;"["&amp;BI$8&amp;"]"),Data_main[Data],$A13, Data_main[Segment],$B13, Data_main[Scenario],$B$3))</f>
        <v>0</v>
      </c>
      <c r="BJ13" s="531">
        <f ca="1">IF($B$6="ON", IF(BJ10&gt;=covid_start, IF(BJ10&lt;covid_recovery,NA(),SUMIFS(INDIRECT("Data_main"&amp;"["&amp;BJ$8&amp;"]"),Data_main[Data],$A13, Data_main[Segment],$B13, Data_main[Scenario],$B$3)),SUMIFS(INDIRECT("Data_main"&amp;"["&amp;BJ$8&amp;"]"),Data_main[Data],$A13, Data_main[Segment],$B13, Data_main[Scenario],$B$3)),SUMIFS(INDIRECT("Data_main"&amp;"["&amp;BJ$8&amp;"]"),Data_main[Data],$A13, Data_main[Segment],$B13, Data_main[Scenario],$B$3))</f>
        <v>0</v>
      </c>
      <c r="BK13" s="531">
        <f ca="1">IF($B$6="ON", IF(BK10&gt;=covid_start, IF(BK10&lt;covid_recovery,NA(),SUMIFS(INDIRECT("Data_main"&amp;"["&amp;BK$8&amp;"]"),Data_main[Data],$A13, Data_main[Segment],$B13, Data_main[Scenario],$B$3)),SUMIFS(INDIRECT("Data_main"&amp;"["&amp;BK$8&amp;"]"),Data_main[Data],$A13, Data_main[Segment],$B13, Data_main[Scenario],$B$3)),SUMIFS(INDIRECT("Data_main"&amp;"["&amp;BK$8&amp;"]"),Data_main[Data],$A13, Data_main[Segment],$B13, Data_main[Scenario],$B$3))</f>
        <v>0</v>
      </c>
      <c r="BL13" s="531">
        <f ca="1">IF($B$6="ON", IF(BL10&gt;=covid_start, IF(BL10&lt;covid_recovery,NA(),SUMIFS(INDIRECT("Data_main"&amp;"["&amp;BL$8&amp;"]"),Data_main[Data],$A13, Data_main[Segment],$B13, Data_main[Scenario],$B$3)),SUMIFS(INDIRECT("Data_main"&amp;"["&amp;BL$8&amp;"]"),Data_main[Data],$A13, Data_main[Segment],$B13, Data_main[Scenario],$B$3)),SUMIFS(INDIRECT("Data_main"&amp;"["&amp;BL$8&amp;"]"),Data_main[Data],$A13, Data_main[Segment],$B13, Data_main[Scenario],$B$3))</f>
        <v>0</v>
      </c>
      <c r="BM13" s="531">
        <f ca="1">IF($B$6="ON", IF(BM10&gt;=covid_start, IF(BM10&lt;covid_recovery,NA(),SUMIFS(INDIRECT("Data_main"&amp;"["&amp;BM$8&amp;"]"),Data_main[Data],$A13, Data_main[Segment],$B13, Data_main[Scenario],$B$3)),SUMIFS(INDIRECT("Data_main"&amp;"["&amp;BM$8&amp;"]"),Data_main[Data],$A13, Data_main[Segment],$B13, Data_main[Scenario],$B$3)),SUMIFS(INDIRECT("Data_main"&amp;"["&amp;BM$8&amp;"]"),Data_main[Data],$A13, Data_main[Segment],$B13, Data_main[Scenario],$B$3))</f>
        <v>0</v>
      </c>
      <c r="BN13" s="531">
        <f ca="1">IF($B$6="ON", IF(BN10&gt;=covid_start, IF(BN10&lt;covid_recovery,NA(),SUMIFS(INDIRECT("Data_main"&amp;"["&amp;BN$8&amp;"]"),Data_main[Data],$A13, Data_main[Segment],$B13, Data_main[Scenario],$B$3)),SUMIFS(INDIRECT("Data_main"&amp;"["&amp;BN$8&amp;"]"),Data_main[Data],$A13, Data_main[Segment],$B13, Data_main[Scenario],$B$3)),SUMIFS(INDIRECT("Data_main"&amp;"["&amp;BN$8&amp;"]"),Data_main[Data],$A13, Data_main[Segment],$B13, Data_main[Scenario],$B$3))</f>
        <v>0</v>
      </c>
      <c r="BO13" s="531">
        <f ca="1">IF($B$6="ON", IF(BO10&gt;=covid_start, IF(BO10&lt;covid_recovery,NA(),SUMIFS(INDIRECT("Data_main"&amp;"["&amp;BO$8&amp;"]"),Data_main[Data],$A13, Data_main[Segment],$B13, Data_main[Scenario],$B$3)),SUMIFS(INDIRECT("Data_main"&amp;"["&amp;BO$8&amp;"]"),Data_main[Data],$A13, Data_main[Segment],$B13, Data_main[Scenario],$B$3)),SUMIFS(INDIRECT("Data_main"&amp;"["&amp;BO$8&amp;"]"),Data_main[Data],$A13, Data_main[Segment],$B13, Data_main[Scenario],$B$3))</f>
        <v>0</v>
      </c>
      <c r="BP13" s="531">
        <f ca="1">IF($B$6="ON", IF(BP10&gt;=covid_start, IF(BP10&lt;covid_recovery,NA(),SUMIFS(INDIRECT("Data_main"&amp;"["&amp;BP$8&amp;"]"),Data_main[Data],$A13, Data_main[Segment],$B13, Data_main[Scenario],$B$3)),SUMIFS(INDIRECT("Data_main"&amp;"["&amp;BP$8&amp;"]"),Data_main[Data],$A13, Data_main[Segment],$B13, Data_main[Scenario],$B$3)),SUMIFS(INDIRECT("Data_main"&amp;"["&amp;BP$8&amp;"]"),Data_main[Data],$A13, Data_main[Segment],$B13, Data_main[Scenario],$B$3))</f>
        <v>0</v>
      </c>
      <c r="BQ13" s="531">
        <f ca="1">IF($B$6="ON", IF(BQ10&gt;=covid_start, IF(BQ10&lt;covid_recovery,NA(),SUMIFS(INDIRECT("Data_main"&amp;"["&amp;BQ$8&amp;"]"),Data_main[Data],$A13, Data_main[Segment],$B13, Data_main[Scenario],$B$3)),SUMIFS(INDIRECT("Data_main"&amp;"["&amp;BQ$8&amp;"]"),Data_main[Data],$A13, Data_main[Segment],$B13, Data_main[Scenario],$B$3)),SUMIFS(INDIRECT("Data_main"&amp;"["&amp;BQ$8&amp;"]"),Data_main[Data],$A13, Data_main[Segment],$B13, Data_main[Scenario],$B$3))</f>
        <v>0</v>
      </c>
      <c r="BR13" s="531">
        <f ca="1">IF($B$6="ON", IF(BR10&gt;=covid_start, IF(BR10&lt;covid_recovery,NA(),SUMIFS(INDIRECT("Data_main"&amp;"["&amp;BR$8&amp;"]"),Data_main[Data],$A13, Data_main[Segment],$B13, Data_main[Scenario],$B$3)),SUMIFS(INDIRECT("Data_main"&amp;"["&amp;BR$8&amp;"]"),Data_main[Data],$A13, Data_main[Segment],$B13, Data_main[Scenario],$B$3)),SUMIFS(INDIRECT("Data_main"&amp;"["&amp;BR$8&amp;"]"),Data_main[Data],$A13, Data_main[Segment],$B13, Data_main[Scenario],$B$3))</f>
        <v>0</v>
      </c>
      <c r="BS13" s="531">
        <f ca="1">IF($B$6="ON", IF(BS10&gt;=covid_start, IF(BS10&lt;covid_recovery,NA(),SUMIFS(INDIRECT("Data_main"&amp;"["&amp;BS$8&amp;"]"),Data_main[Data],$A13, Data_main[Segment],$B13, Data_main[Scenario],$B$3)),SUMIFS(INDIRECT("Data_main"&amp;"["&amp;BS$8&amp;"]"),Data_main[Data],$A13, Data_main[Segment],$B13, Data_main[Scenario],$B$3)),SUMIFS(INDIRECT("Data_main"&amp;"["&amp;BS$8&amp;"]"),Data_main[Data],$A13, Data_main[Segment],$B13, Data_main[Scenario],$B$3))</f>
        <v>0</v>
      </c>
      <c r="BT13" s="531">
        <f ca="1">IF($B$6="ON", IF(BT10&gt;=covid_start, IF(BT10&lt;covid_recovery,NA(),SUMIFS(INDIRECT("Data_main"&amp;"["&amp;BT$8&amp;"]"),Data_main[Data],$A13, Data_main[Segment],$B13, Data_main[Scenario],$B$3)),SUMIFS(INDIRECT("Data_main"&amp;"["&amp;BT$8&amp;"]"),Data_main[Data],$A13, Data_main[Segment],$B13, Data_main[Scenario],$B$3)),SUMIFS(INDIRECT("Data_main"&amp;"["&amp;BT$8&amp;"]"),Data_main[Data],$A13, Data_main[Segment],$B13, Data_main[Scenario],$B$3))</f>
        <v>0</v>
      </c>
      <c r="BU13" s="531">
        <f ca="1">IF($B$6="ON", IF(BU10&gt;=covid_start, IF(BU10&lt;covid_recovery,NA(),SUMIFS(INDIRECT("Data_main"&amp;"["&amp;BU$8&amp;"]"),Data_main[Data],$A13, Data_main[Segment],$B13, Data_main[Scenario],$B$3)),SUMIFS(INDIRECT("Data_main"&amp;"["&amp;BU$8&amp;"]"),Data_main[Data],$A13, Data_main[Segment],$B13, Data_main[Scenario],$B$3)),SUMIFS(INDIRECT("Data_main"&amp;"["&amp;BU$8&amp;"]"),Data_main[Data],$A13, Data_main[Segment],$B13, Data_main[Scenario],$B$3))</f>
        <v>0</v>
      </c>
      <c r="BV13" s="531">
        <f ca="1">IF($B$6="ON", IF(BV10&gt;=covid_start, IF(BV10&lt;covid_recovery,NA(),SUMIFS(INDIRECT("Data_main"&amp;"["&amp;BV$8&amp;"]"),Data_main[Data],$A13, Data_main[Segment],$B13, Data_main[Scenario],$B$3)),SUMIFS(INDIRECT("Data_main"&amp;"["&amp;BV$8&amp;"]"),Data_main[Data],$A13, Data_main[Segment],$B13, Data_main[Scenario],$B$3)),SUMIFS(INDIRECT("Data_main"&amp;"["&amp;BV$8&amp;"]"),Data_main[Data],$A13, Data_main[Segment],$B13, Data_main[Scenario],$B$3))</f>
        <v>0</v>
      </c>
      <c r="BW13" s="531">
        <f ca="1">IF($B$6="ON", IF(BW10&gt;=covid_start, IF(BW10&lt;covid_recovery,NA(),SUMIFS(INDIRECT("Data_main"&amp;"["&amp;BW$8&amp;"]"),Data_main[Data],$A13, Data_main[Segment],$B13, Data_main[Scenario],$B$3)),SUMIFS(INDIRECT("Data_main"&amp;"["&amp;BW$8&amp;"]"),Data_main[Data],$A13, Data_main[Segment],$B13, Data_main[Scenario],$B$3)),SUMIFS(INDIRECT("Data_main"&amp;"["&amp;BW$8&amp;"]"),Data_main[Data],$A13, Data_main[Segment],$B13, Data_main[Scenario],$B$3))</f>
        <v>0</v>
      </c>
      <c r="BX13" s="531">
        <f ca="1">IF($B$6="ON", IF(BX10&gt;=covid_start, IF(BX10&lt;covid_recovery,NA(),SUMIFS(INDIRECT("Data_main"&amp;"["&amp;BX$8&amp;"]"),Data_main[Data],$A13, Data_main[Segment],$B13, Data_main[Scenario],$B$3)),SUMIFS(INDIRECT("Data_main"&amp;"["&amp;BX$8&amp;"]"),Data_main[Data],$A13, Data_main[Segment],$B13, Data_main[Scenario],$B$3)),SUMIFS(INDIRECT("Data_main"&amp;"["&amp;BX$8&amp;"]"),Data_main[Data],$A13, Data_main[Segment],$B13, Data_main[Scenario],$B$3))</f>
        <v>0</v>
      </c>
      <c r="BY13" s="531">
        <f ca="1">IF($B$6="ON", IF(BY10&gt;=covid_start, IF(BY10&lt;covid_recovery,NA(),SUMIFS(INDIRECT("Data_main"&amp;"["&amp;BY$8&amp;"]"),Data_main[Data],$A13, Data_main[Segment],$B13, Data_main[Scenario],$B$3)),SUMIFS(INDIRECT("Data_main"&amp;"["&amp;BY$8&amp;"]"),Data_main[Data],$A13, Data_main[Segment],$B13, Data_main[Scenario],$B$3)),SUMIFS(INDIRECT("Data_main"&amp;"["&amp;BY$8&amp;"]"),Data_main[Data],$A13, Data_main[Segment],$B13, Data_main[Scenario],$B$3))</f>
        <v>0</v>
      </c>
      <c r="BZ13" s="531">
        <f ca="1">IF($B$6="ON", IF(BZ10&gt;=covid_start, IF(BZ10&lt;covid_recovery,NA(),SUMIFS(INDIRECT("Data_main"&amp;"["&amp;BZ$8&amp;"]"),Data_main[Data],$A13, Data_main[Segment],$B13, Data_main[Scenario],$B$3)),SUMIFS(INDIRECT("Data_main"&amp;"["&amp;BZ$8&amp;"]"),Data_main[Data],$A13, Data_main[Segment],$B13, Data_main[Scenario],$B$3)),SUMIFS(INDIRECT("Data_main"&amp;"["&amp;BZ$8&amp;"]"),Data_main[Data],$A13, Data_main[Segment],$B13, Data_main[Scenario],$B$3))</f>
        <v>0</v>
      </c>
      <c r="CA13" s="531">
        <f ca="1">IF($B$6="ON", IF(CA10&gt;=covid_start, IF(CA10&lt;covid_recovery,NA(),SUMIFS(INDIRECT("Data_main"&amp;"["&amp;CA$8&amp;"]"),Data_main[Data],$A13, Data_main[Segment],$B13, Data_main[Scenario],$B$3)),SUMIFS(INDIRECT("Data_main"&amp;"["&amp;CA$8&amp;"]"),Data_main[Data],$A13, Data_main[Segment],$B13, Data_main[Scenario],$B$3)),SUMIFS(INDIRECT("Data_main"&amp;"["&amp;CA$8&amp;"]"),Data_main[Data],$A13, Data_main[Segment],$B13, Data_main[Scenario],$B$3))</f>
        <v>0</v>
      </c>
      <c r="CB13" s="531">
        <f ca="1">IF($B$6="ON", IF(CB10&gt;=covid_start, IF(CB10&lt;covid_recovery,NA(),SUMIFS(INDIRECT("Data_main"&amp;"["&amp;CB$8&amp;"]"),Data_main[Data],$A13, Data_main[Segment],$B13, Data_main[Scenario],$B$3)),SUMIFS(INDIRECT("Data_main"&amp;"["&amp;CB$8&amp;"]"),Data_main[Data],$A13, Data_main[Segment],$B13, Data_main[Scenario],$B$3)),SUMIFS(INDIRECT("Data_main"&amp;"["&amp;CB$8&amp;"]"),Data_main[Data],$A13, Data_main[Segment],$B13, Data_main[Scenario],$B$3))</f>
        <v>0</v>
      </c>
      <c r="CC13" s="531">
        <f ca="1">IF($B$6="ON", IF(CC10&gt;=covid_start, IF(CC10&lt;covid_recovery,NA(),SUMIFS(INDIRECT("Data_main"&amp;"["&amp;CC$8&amp;"]"),Data_main[Data],$A13, Data_main[Segment],$B13, Data_main[Scenario],$B$3)),SUMIFS(INDIRECT("Data_main"&amp;"["&amp;CC$8&amp;"]"),Data_main[Data],$A13, Data_main[Segment],$B13, Data_main[Scenario],$B$3)),SUMIFS(INDIRECT("Data_main"&amp;"["&amp;CC$8&amp;"]"),Data_main[Data],$A13, Data_main[Segment],$B13, Data_main[Scenario],$B$3))</f>
        <v>0</v>
      </c>
      <c r="CD13" s="531">
        <f ca="1">IF($B$6="ON", IF(CD10&gt;=covid_start, IF(CD10&lt;covid_recovery,NA(),SUMIFS(INDIRECT("Data_main"&amp;"["&amp;CD$8&amp;"]"),Data_main[Data],$A13, Data_main[Segment],$B13, Data_main[Scenario],$B$3)),SUMIFS(INDIRECT("Data_main"&amp;"["&amp;CD$8&amp;"]"),Data_main[Data],$A13, Data_main[Segment],$B13, Data_main[Scenario],$B$3)),SUMIFS(INDIRECT("Data_main"&amp;"["&amp;CD$8&amp;"]"),Data_main[Data],$A13, Data_main[Segment],$B13, Data_main[Scenario],$B$3))</f>
        <v>0</v>
      </c>
      <c r="CE13" s="531">
        <f ca="1">IF($B$6="ON", IF(CE10&gt;=covid_start, IF(CE10&lt;covid_recovery,NA(),SUMIFS(INDIRECT("Data_main"&amp;"["&amp;CE$8&amp;"]"),Data_main[Data],$A13, Data_main[Segment],$B13, Data_main[Scenario],$B$3)),SUMIFS(INDIRECT("Data_main"&amp;"["&amp;CE$8&amp;"]"),Data_main[Data],$A13, Data_main[Segment],$B13, Data_main[Scenario],$B$3)),SUMIFS(INDIRECT("Data_main"&amp;"["&amp;CE$8&amp;"]"),Data_main[Data],$A13, Data_main[Segment],$B13, Data_main[Scenario],$B$3))</f>
        <v>0</v>
      </c>
      <c r="CF13" s="531">
        <f ca="1">IF($B$6="ON", IF(CF10&gt;=covid_start, IF(CF10&lt;covid_recovery,NA(),SUMIFS(INDIRECT("Data_main"&amp;"["&amp;CF$8&amp;"]"),Data_main[Data],$A13, Data_main[Segment],$B13, Data_main[Scenario],$B$3)),SUMIFS(INDIRECT("Data_main"&amp;"["&amp;CF$8&amp;"]"),Data_main[Data],$A13, Data_main[Segment],$B13, Data_main[Scenario],$B$3)),SUMIFS(INDIRECT("Data_main"&amp;"["&amp;CF$8&amp;"]"),Data_main[Data],$A13, Data_main[Segment],$B13, Data_main[Scenario],$B$3))</f>
        <v>0</v>
      </c>
      <c r="CG13" s="531">
        <f ca="1">IF($B$6="ON", IF(CG10&gt;=covid_start, IF(CG10&lt;covid_recovery,NA(),SUMIFS(INDIRECT("Data_main"&amp;"["&amp;CG$8&amp;"]"),Data_main[Data],$A13, Data_main[Segment],$B13, Data_main[Scenario],$B$3)),SUMIFS(INDIRECT("Data_main"&amp;"["&amp;CG$8&amp;"]"),Data_main[Data],$A13, Data_main[Segment],$B13, Data_main[Scenario],$B$3)),SUMIFS(INDIRECT("Data_main"&amp;"["&amp;CG$8&amp;"]"),Data_main[Data],$A13, Data_main[Segment],$B13, Data_main[Scenario],$B$3))</f>
        <v>0</v>
      </c>
      <c r="CH13" s="531">
        <f ca="1">IF($B$6="ON", IF(CH10&gt;=covid_start, IF(CH10&lt;covid_recovery,NA(),SUMIFS(INDIRECT("Data_main"&amp;"["&amp;CH$8&amp;"]"),Data_main[Data],$A13, Data_main[Segment],$B13, Data_main[Scenario],$B$3)),SUMIFS(INDIRECT("Data_main"&amp;"["&amp;CH$8&amp;"]"),Data_main[Data],$A13, Data_main[Segment],$B13, Data_main[Scenario],$B$3)),SUMIFS(INDIRECT("Data_main"&amp;"["&amp;CH$8&amp;"]"),Data_main[Data],$A13, Data_main[Segment],$B13, Data_main[Scenario],$B$3))</f>
        <v>0</v>
      </c>
      <c r="CI13" s="531">
        <f ca="1">IF($B$6="ON", IF(CI10&gt;=covid_start, IF(CI10&lt;covid_recovery,NA(),SUMIFS(INDIRECT("Data_main"&amp;"["&amp;CI$8&amp;"]"),Data_main[Data],$A13, Data_main[Segment],$B13, Data_main[Scenario],$B$3)),SUMIFS(INDIRECT("Data_main"&amp;"["&amp;CI$8&amp;"]"),Data_main[Data],$A13, Data_main[Segment],$B13, Data_main[Scenario],$B$3)),SUMIFS(INDIRECT("Data_main"&amp;"["&amp;CI$8&amp;"]"),Data_main[Data],$A13, Data_main[Segment],$B13, Data_main[Scenario],$B$3))</f>
        <v>0</v>
      </c>
      <c r="CJ13" s="531">
        <f ca="1">IF($B$6="ON", IF(CJ10&gt;=covid_start, IF(CJ10&lt;covid_recovery,NA(),SUMIFS(INDIRECT("Data_main"&amp;"["&amp;CJ$8&amp;"]"),Data_main[Data],$A13, Data_main[Segment],$B13, Data_main[Scenario],$B$3)),SUMIFS(INDIRECT("Data_main"&amp;"["&amp;CJ$8&amp;"]"),Data_main[Data],$A13, Data_main[Segment],$B13, Data_main[Scenario],$B$3)),SUMIFS(INDIRECT("Data_main"&amp;"["&amp;CJ$8&amp;"]"),Data_main[Data],$A13, Data_main[Segment],$B13, Data_main[Scenario],$B$3))</f>
        <v>0</v>
      </c>
      <c r="CK13" s="531">
        <f ca="1">IF($B$6="ON", IF(CK10&gt;=covid_start, IF(CK10&lt;covid_recovery,NA(),SUMIFS(INDIRECT("Data_main"&amp;"["&amp;CK$8&amp;"]"),Data_main[Data],$A13, Data_main[Segment],$B13, Data_main[Scenario],$B$3)),SUMIFS(INDIRECT("Data_main"&amp;"["&amp;CK$8&amp;"]"),Data_main[Data],$A13, Data_main[Segment],$B13, Data_main[Scenario],$B$3)),SUMIFS(INDIRECT("Data_main"&amp;"["&amp;CK$8&amp;"]"),Data_main[Data],$A13, Data_main[Segment],$B13, Data_main[Scenario],$B$3))</f>
        <v>0</v>
      </c>
      <c r="CL13" s="531">
        <f ca="1">IF($B$6="ON", IF(CL10&gt;=covid_start, IF(CL10&lt;covid_recovery,NA(),SUMIFS(INDIRECT("Data_main"&amp;"["&amp;CL$8&amp;"]"),Data_main[Data],$A13, Data_main[Segment],$B13, Data_main[Scenario],$B$3)),SUMIFS(INDIRECT("Data_main"&amp;"["&amp;CL$8&amp;"]"),Data_main[Data],$A13, Data_main[Segment],$B13, Data_main[Scenario],$B$3)),SUMIFS(INDIRECT("Data_main"&amp;"["&amp;CL$8&amp;"]"),Data_main[Data],$A13, Data_main[Segment],$B13, Data_main[Scenario],$B$3))</f>
        <v>0</v>
      </c>
      <c r="CN13" s="613">
        <f ca="1">IFERROR((Y13/H13)^(1/17)-1,"")</f>
        <v>-2.9042383120773452E-2</v>
      </c>
      <c r="CO13" s="613">
        <f ca="1">IFERROR((AN13/Y13)^(1/15)-1,"")</f>
        <v>-3.3387995467958453E-2</v>
      </c>
      <c r="CP13" s="613">
        <f ca="1">IFERROR((AN13/H13)^(1/32)-1,"")</f>
        <v>-3.1081816109338578E-2</v>
      </c>
    </row>
    <row r="14" spans="1:94" outlineLevel="1">
      <c r="A14" s="614"/>
      <c r="B14" s="614" t="s">
        <v>26</v>
      </c>
      <c r="C14" s="615" t="s">
        <v>293</v>
      </c>
      <c r="D14" s="615" t="s">
        <v>294</v>
      </c>
      <c r="E14" s="616">
        <f t="shared" ref="E14:BP14" ca="1" si="18">(E13-INDEX($E10:$CL13,4,MATCH($B$5,$E10:$CL10,0)))/(INDEX($E10:$CL13,4,MATCH($B$4,$E10:$CL10,0))-INDEX($E10:$CL13,4,MATCH($B$5,$E10:$CL10,0)))</f>
        <v>1.0859824654710999</v>
      </c>
      <c r="F14" s="617">
        <f t="shared" ca="1" si="18"/>
        <v>1.028830703205176</v>
      </c>
      <c r="G14" s="617">
        <f t="shared" ca="1" si="18"/>
        <v>0.97816196451142834</v>
      </c>
      <c r="H14" s="617">
        <f t="shared" ca="1" si="18"/>
        <v>0.93293235182103573</v>
      </c>
      <c r="I14" s="617">
        <f t="shared" ca="1" si="18"/>
        <v>1</v>
      </c>
      <c r="J14" s="617" t="e">
        <f t="shared" ca="1" si="18"/>
        <v>#N/A</v>
      </c>
      <c r="K14" s="617" t="e">
        <f t="shared" ca="1" si="18"/>
        <v>#N/A</v>
      </c>
      <c r="L14" s="617" t="e">
        <f t="shared" ca="1" si="18"/>
        <v>#N/A</v>
      </c>
      <c r="M14" s="617">
        <f t="shared" ca="1" si="18"/>
        <v>0.80188079754465968</v>
      </c>
      <c r="N14" s="617">
        <f t="shared" ca="1" si="18"/>
        <v>0.75927431811576085</v>
      </c>
      <c r="O14" s="617">
        <f t="shared" ca="1" si="18"/>
        <v>0.71898528102871817</v>
      </c>
      <c r="P14" s="617">
        <f t="shared" ca="1" si="18"/>
        <v>0.68082961747083925</v>
      </c>
      <c r="Q14" s="617">
        <f t="shared" ca="1" si="18"/>
        <v>0.64464224935167569</v>
      </c>
      <c r="R14" s="617">
        <f t="shared" ca="1" si="18"/>
        <v>0.61027470174987741</v>
      </c>
      <c r="S14" s="617">
        <f t="shared" ca="1" si="18"/>
        <v>0.57759306672690169</v>
      </c>
      <c r="T14" s="617">
        <f t="shared" ca="1" si="18"/>
        <v>0.54647625962436464</v>
      </c>
      <c r="U14" s="617">
        <f t="shared" ca="1" si="18"/>
        <v>0.50361831356907294</v>
      </c>
      <c r="V14" s="617">
        <f t="shared" ca="1" si="18"/>
        <v>0.46321359743322948</v>
      </c>
      <c r="W14" s="617">
        <f t="shared" ca="1" si="18"/>
        <v>0.42505733418495345</v>
      </c>
      <c r="X14" s="617">
        <f t="shared" ca="1" si="18"/>
        <v>0.38896692079824874</v>
      </c>
      <c r="Y14" s="617">
        <f t="shared" ca="1" si="18"/>
        <v>0.35477900600779805</v>
      </c>
      <c r="Z14" s="617">
        <f t="shared" ca="1" si="18"/>
        <v>0.32234701833247387</v>
      </c>
      <c r="AA14" s="617">
        <f t="shared" ca="1" si="18"/>
        <v>0.29153906545221003</v>
      </c>
      <c r="AB14" s="617">
        <f t="shared" ca="1" si="18"/>
        <v>0.26223614144354362</v>
      </c>
      <c r="AC14" s="617">
        <f t="shared" ca="1" si="18"/>
        <v>0.23433059049065535</v>
      </c>
      <c r="AD14" s="617">
        <f t="shared" ca="1" si="18"/>
        <v>0.20772478526177485</v>
      </c>
      <c r="AE14" s="617">
        <f t="shared" ca="1" si="18"/>
        <v>0.1810954211335723</v>
      </c>
      <c r="AF14" s="617">
        <f t="shared" ca="1" si="18"/>
        <v>0.15608387550730629</v>
      </c>
      <c r="AG14" s="617">
        <f t="shared" ca="1" si="18"/>
        <v>0.1325470633934959</v>
      </c>
      <c r="AH14" s="617">
        <f t="shared" ca="1" si="18"/>
        <v>0.11035828979428315</v>
      </c>
      <c r="AI14" s="617">
        <f t="shared" ca="1" si="18"/>
        <v>8.9404968251422842E-2</v>
      </c>
      <c r="AJ14" s="617">
        <f t="shared" ca="1" si="18"/>
        <v>6.9586710160229645E-2</v>
      </c>
      <c r="AK14" s="617">
        <f t="shared" ca="1" si="18"/>
        <v>5.081371640656946E-2</v>
      </c>
      <c r="AL14" s="617">
        <f t="shared" ca="1" si="18"/>
        <v>3.3005416952355288E-2</v>
      </c>
      <c r="AM14" s="617">
        <f t="shared" ca="1" si="18"/>
        <v>1.6089314891710668E-2</v>
      </c>
      <c r="AN14" s="617">
        <f t="shared" ca="1" si="18"/>
        <v>0</v>
      </c>
      <c r="AO14" s="617">
        <f t="shared" ca="1" si="18"/>
        <v>-0.53410874232834205</v>
      </c>
      <c r="AP14" s="617">
        <f t="shared" ca="1" si="18"/>
        <v>-0.53410874232834205</v>
      </c>
      <c r="AQ14" s="617">
        <f t="shared" ca="1" si="18"/>
        <v>-0.53410874232834205</v>
      </c>
      <c r="AR14" s="617">
        <f t="shared" ca="1" si="18"/>
        <v>-0.53410874232834205</v>
      </c>
      <c r="AS14" s="617">
        <f t="shared" ca="1" si="18"/>
        <v>-0.53410874232834205</v>
      </c>
      <c r="AT14" s="617">
        <f t="shared" ca="1" si="18"/>
        <v>-0.53410874232834205</v>
      </c>
      <c r="AU14" s="617">
        <f t="shared" ca="1" si="18"/>
        <v>-0.53410874232834205</v>
      </c>
      <c r="AV14" s="617">
        <f t="shared" ca="1" si="18"/>
        <v>-0.53410874232834205</v>
      </c>
      <c r="AW14" s="617">
        <f t="shared" ca="1" si="18"/>
        <v>-0.53410874232834205</v>
      </c>
      <c r="AX14" s="617">
        <f t="shared" ca="1" si="18"/>
        <v>-0.53410874232834205</v>
      </c>
      <c r="AY14" s="617">
        <f t="shared" ca="1" si="18"/>
        <v>-0.53410874232834205</v>
      </c>
      <c r="AZ14" s="617">
        <f t="shared" ca="1" si="18"/>
        <v>-0.53410874232834205</v>
      </c>
      <c r="BA14" s="617">
        <f t="shared" ca="1" si="18"/>
        <v>-0.53410874232834205</v>
      </c>
      <c r="BB14" s="617">
        <f t="shared" ca="1" si="18"/>
        <v>-0.53410874232834205</v>
      </c>
      <c r="BC14" s="617">
        <f t="shared" ca="1" si="18"/>
        <v>-0.53410874232834205</v>
      </c>
      <c r="BD14" s="617">
        <f t="shared" ca="1" si="18"/>
        <v>-0.53410874232834205</v>
      </c>
      <c r="BE14" s="617">
        <f t="shared" ca="1" si="18"/>
        <v>-0.53410874232834205</v>
      </c>
      <c r="BF14" s="617">
        <f t="shared" ca="1" si="18"/>
        <v>-0.53410874232834205</v>
      </c>
      <c r="BG14" s="617">
        <f t="shared" ca="1" si="18"/>
        <v>-0.53410874232834205</v>
      </c>
      <c r="BH14" s="617">
        <f t="shared" ca="1" si="18"/>
        <v>-0.53410874232834205</v>
      </c>
      <c r="BI14" s="617">
        <f t="shared" ca="1" si="18"/>
        <v>-0.53410874232834205</v>
      </c>
      <c r="BJ14" s="617">
        <f t="shared" ca="1" si="18"/>
        <v>-0.53410874232834205</v>
      </c>
      <c r="BK14" s="617">
        <f t="shared" ca="1" si="18"/>
        <v>-0.53410874232834205</v>
      </c>
      <c r="BL14" s="617">
        <f t="shared" ca="1" si="18"/>
        <v>-0.53410874232834205</v>
      </c>
      <c r="BM14" s="617">
        <f t="shared" ca="1" si="18"/>
        <v>-0.53410874232834205</v>
      </c>
      <c r="BN14" s="617">
        <f t="shared" ca="1" si="18"/>
        <v>-0.53410874232834205</v>
      </c>
      <c r="BO14" s="617">
        <f t="shared" ca="1" si="18"/>
        <v>-0.53410874232834205</v>
      </c>
      <c r="BP14" s="617">
        <f t="shared" ca="1" si="18"/>
        <v>-0.53410874232834205</v>
      </c>
      <c r="BQ14" s="617">
        <f t="shared" ref="BQ14:CL14" ca="1" si="19">(BQ13-INDEX($E10:$CL13,4,MATCH($B$5,$E10:$CL10,0)))/(INDEX($E10:$CL13,4,MATCH($B$4,$E10:$CL10,0))-INDEX($E10:$CL13,4,MATCH($B$5,$E10:$CL10,0)))</f>
        <v>-0.53410874232834205</v>
      </c>
      <c r="BR14" s="617">
        <f t="shared" ca="1" si="19"/>
        <v>-0.53410874232834205</v>
      </c>
      <c r="BS14" s="617">
        <f t="shared" ca="1" si="19"/>
        <v>-0.53410874232834205</v>
      </c>
      <c r="BT14" s="617">
        <f t="shared" ca="1" si="19"/>
        <v>-0.53410874232834205</v>
      </c>
      <c r="BU14" s="617">
        <f t="shared" ca="1" si="19"/>
        <v>-0.53410874232834205</v>
      </c>
      <c r="BV14" s="617">
        <f t="shared" ca="1" si="19"/>
        <v>-0.53410874232834205</v>
      </c>
      <c r="BW14" s="617">
        <f t="shared" ca="1" si="19"/>
        <v>-0.53410874232834205</v>
      </c>
      <c r="BX14" s="617">
        <f t="shared" ca="1" si="19"/>
        <v>-0.53410874232834205</v>
      </c>
      <c r="BY14" s="617">
        <f t="shared" ca="1" si="19"/>
        <v>-0.53410874232834205</v>
      </c>
      <c r="BZ14" s="617">
        <f t="shared" ca="1" si="19"/>
        <v>-0.53410874232834205</v>
      </c>
      <c r="CA14" s="617">
        <f t="shared" ca="1" si="19"/>
        <v>-0.53410874232834205</v>
      </c>
      <c r="CB14" s="617">
        <f t="shared" ca="1" si="19"/>
        <v>-0.53410874232834205</v>
      </c>
      <c r="CC14" s="617">
        <f t="shared" ca="1" si="19"/>
        <v>-0.53410874232834205</v>
      </c>
      <c r="CD14" s="617">
        <f t="shared" ca="1" si="19"/>
        <v>-0.53410874232834205</v>
      </c>
      <c r="CE14" s="617">
        <f t="shared" ca="1" si="19"/>
        <v>-0.53410874232834205</v>
      </c>
      <c r="CF14" s="617">
        <f t="shared" ca="1" si="19"/>
        <v>-0.53410874232834205</v>
      </c>
      <c r="CG14" s="617">
        <f t="shared" ca="1" si="19"/>
        <v>-0.53410874232834205</v>
      </c>
      <c r="CH14" s="617">
        <f t="shared" ca="1" si="19"/>
        <v>-0.53410874232834205</v>
      </c>
      <c r="CI14" s="617">
        <f t="shared" ca="1" si="19"/>
        <v>-0.53410874232834205</v>
      </c>
      <c r="CJ14" s="617">
        <f t="shared" ca="1" si="19"/>
        <v>-0.53410874232834205</v>
      </c>
      <c r="CK14" s="617">
        <f t="shared" ca="1" si="19"/>
        <v>-0.53410874232834205</v>
      </c>
      <c r="CL14" s="617">
        <f t="shared" ca="1" si="19"/>
        <v>-0.53410874232834205</v>
      </c>
      <c r="CN14" s="618"/>
      <c r="CO14" s="618"/>
      <c r="CP14" s="618"/>
    </row>
    <row r="15" spans="1:94" outlineLevel="1">
      <c r="A15" s="534"/>
      <c r="B15" s="534" t="s">
        <v>28</v>
      </c>
      <c r="C15" s="535" t="s">
        <v>295</v>
      </c>
      <c r="D15" s="535" t="s">
        <v>296</v>
      </c>
      <c r="E15" s="536">
        <f t="shared" ref="E15:BP15" ca="1" si="20">INDEX($E10:$CL13,4,MATCH($B$5,$E10:$CL10,0))</f>
        <v>392.22594172427398</v>
      </c>
      <c r="F15" s="537">
        <f t="shared" ca="1" si="20"/>
        <v>392.22594172427398</v>
      </c>
      <c r="G15" s="537">
        <f t="shared" ca="1" si="20"/>
        <v>392.22594172427398</v>
      </c>
      <c r="H15" s="537">
        <f t="shared" ca="1" si="20"/>
        <v>392.22594172427398</v>
      </c>
      <c r="I15" s="537">
        <f t="shared" ca="1" si="20"/>
        <v>392.22594172427398</v>
      </c>
      <c r="J15" s="537">
        <f t="shared" ca="1" si="20"/>
        <v>392.22594172427398</v>
      </c>
      <c r="K15" s="537">
        <f t="shared" ca="1" si="20"/>
        <v>392.22594172427398</v>
      </c>
      <c r="L15" s="537">
        <f t="shared" ca="1" si="20"/>
        <v>392.22594172427398</v>
      </c>
      <c r="M15" s="537">
        <f t="shared" ca="1" si="20"/>
        <v>392.22594172427398</v>
      </c>
      <c r="N15" s="537">
        <f t="shared" ca="1" si="20"/>
        <v>392.22594172427398</v>
      </c>
      <c r="O15" s="537">
        <f t="shared" ca="1" si="20"/>
        <v>392.22594172427398</v>
      </c>
      <c r="P15" s="537">
        <f t="shared" ca="1" si="20"/>
        <v>392.22594172427398</v>
      </c>
      <c r="Q15" s="537">
        <f t="shared" ca="1" si="20"/>
        <v>392.22594172427398</v>
      </c>
      <c r="R15" s="537">
        <f t="shared" ca="1" si="20"/>
        <v>392.22594172427398</v>
      </c>
      <c r="S15" s="537">
        <f t="shared" ca="1" si="20"/>
        <v>392.22594172427398</v>
      </c>
      <c r="T15" s="537">
        <f t="shared" ca="1" si="20"/>
        <v>392.22594172427398</v>
      </c>
      <c r="U15" s="537">
        <f t="shared" ca="1" si="20"/>
        <v>392.22594172427398</v>
      </c>
      <c r="V15" s="537">
        <f t="shared" ca="1" si="20"/>
        <v>392.22594172427398</v>
      </c>
      <c r="W15" s="537">
        <f t="shared" ca="1" si="20"/>
        <v>392.22594172427398</v>
      </c>
      <c r="X15" s="537">
        <f t="shared" ca="1" si="20"/>
        <v>392.22594172427398</v>
      </c>
      <c r="Y15" s="537">
        <f t="shared" ca="1" si="20"/>
        <v>392.22594172427398</v>
      </c>
      <c r="Z15" s="537">
        <f t="shared" ca="1" si="20"/>
        <v>392.22594172427398</v>
      </c>
      <c r="AA15" s="537">
        <f t="shared" ca="1" si="20"/>
        <v>392.22594172427398</v>
      </c>
      <c r="AB15" s="537">
        <f t="shared" ca="1" si="20"/>
        <v>392.22594172427398</v>
      </c>
      <c r="AC15" s="537">
        <f t="shared" ca="1" si="20"/>
        <v>392.22594172427398</v>
      </c>
      <c r="AD15" s="537">
        <f t="shared" ca="1" si="20"/>
        <v>392.22594172427398</v>
      </c>
      <c r="AE15" s="537">
        <f t="shared" ca="1" si="20"/>
        <v>392.22594172427398</v>
      </c>
      <c r="AF15" s="537">
        <f t="shared" ca="1" si="20"/>
        <v>392.22594172427398</v>
      </c>
      <c r="AG15" s="537">
        <f t="shared" ca="1" si="20"/>
        <v>392.22594172427398</v>
      </c>
      <c r="AH15" s="537">
        <f t="shared" ca="1" si="20"/>
        <v>392.22594172427398</v>
      </c>
      <c r="AI15" s="537">
        <f t="shared" ca="1" si="20"/>
        <v>392.22594172427398</v>
      </c>
      <c r="AJ15" s="537">
        <f t="shared" ca="1" si="20"/>
        <v>392.22594172427398</v>
      </c>
      <c r="AK15" s="537">
        <f t="shared" ca="1" si="20"/>
        <v>392.22594172427398</v>
      </c>
      <c r="AL15" s="537">
        <f t="shared" ca="1" si="20"/>
        <v>392.22594172427398</v>
      </c>
      <c r="AM15" s="537">
        <f t="shared" ca="1" si="20"/>
        <v>392.22594172427398</v>
      </c>
      <c r="AN15" s="537">
        <f t="shared" ca="1" si="20"/>
        <v>392.22594172427398</v>
      </c>
      <c r="AO15" s="537">
        <f t="shared" ca="1" si="20"/>
        <v>392.22594172427398</v>
      </c>
      <c r="AP15" s="537">
        <f t="shared" ca="1" si="20"/>
        <v>392.22594172427398</v>
      </c>
      <c r="AQ15" s="537">
        <f t="shared" ca="1" si="20"/>
        <v>392.22594172427398</v>
      </c>
      <c r="AR15" s="537">
        <f t="shared" ca="1" si="20"/>
        <v>392.22594172427398</v>
      </c>
      <c r="AS15" s="537">
        <f t="shared" ca="1" si="20"/>
        <v>392.22594172427398</v>
      </c>
      <c r="AT15" s="537">
        <f t="shared" ca="1" si="20"/>
        <v>392.22594172427398</v>
      </c>
      <c r="AU15" s="537">
        <f t="shared" ca="1" si="20"/>
        <v>392.22594172427398</v>
      </c>
      <c r="AV15" s="537">
        <f t="shared" ca="1" si="20"/>
        <v>392.22594172427398</v>
      </c>
      <c r="AW15" s="537">
        <f t="shared" ca="1" si="20"/>
        <v>392.22594172427398</v>
      </c>
      <c r="AX15" s="537">
        <f t="shared" ca="1" si="20"/>
        <v>392.22594172427398</v>
      </c>
      <c r="AY15" s="537">
        <f t="shared" ca="1" si="20"/>
        <v>392.22594172427398</v>
      </c>
      <c r="AZ15" s="537">
        <f t="shared" ca="1" si="20"/>
        <v>392.22594172427398</v>
      </c>
      <c r="BA15" s="537">
        <f t="shared" ca="1" si="20"/>
        <v>392.22594172427398</v>
      </c>
      <c r="BB15" s="537">
        <f t="shared" ca="1" si="20"/>
        <v>392.22594172427398</v>
      </c>
      <c r="BC15" s="537">
        <f t="shared" ca="1" si="20"/>
        <v>392.22594172427398</v>
      </c>
      <c r="BD15" s="537">
        <f t="shared" ca="1" si="20"/>
        <v>392.22594172427398</v>
      </c>
      <c r="BE15" s="537">
        <f t="shared" ca="1" si="20"/>
        <v>392.22594172427398</v>
      </c>
      <c r="BF15" s="537">
        <f t="shared" ca="1" si="20"/>
        <v>392.22594172427398</v>
      </c>
      <c r="BG15" s="537">
        <f t="shared" ca="1" si="20"/>
        <v>392.22594172427398</v>
      </c>
      <c r="BH15" s="537">
        <f t="shared" ca="1" si="20"/>
        <v>392.22594172427398</v>
      </c>
      <c r="BI15" s="537">
        <f t="shared" ca="1" si="20"/>
        <v>392.22594172427398</v>
      </c>
      <c r="BJ15" s="537">
        <f t="shared" ca="1" si="20"/>
        <v>392.22594172427398</v>
      </c>
      <c r="BK15" s="537">
        <f t="shared" ca="1" si="20"/>
        <v>392.22594172427398</v>
      </c>
      <c r="BL15" s="537">
        <f t="shared" ca="1" si="20"/>
        <v>392.22594172427398</v>
      </c>
      <c r="BM15" s="537">
        <f t="shared" ca="1" si="20"/>
        <v>392.22594172427398</v>
      </c>
      <c r="BN15" s="537">
        <f t="shared" ca="1" si="20"/>
        <v>392.22594172427398</v>
      </c>
      <c r="BO15" s="537">
        <f t="shared" ca="1" si="20"/>
        <v>392.22594172427398</v>
      </c>
      <c r="BP15" s="537">
        <f t="shared" ca="1" si="20"/>
        <v>392.22594172427398</v>
      </c>
      <c r="BQ15" s="537">
        <f t="shared" ref="BQ15:CL15" ca="1" si="21">INDEX($E10:$CL13,4,MATCH($B$5,$E10:$CL10,0))</f>
        <v>392.22594172427398</v>
      </c>
      <c r="BR15" s="537">
        <f t="shared" ca="1" si="21"/>
        <v>392.22594172427398</v>
      </c>
      <c r="BS15" s="537">
        <f t="shared" ca="1" si="21"/>
        <v>392.22594172427398</v>
      </c>
      <c r="BT15" s="537">
        <f t="shared" ca="1" si="21"/>
        <v>392.22594172427398</v>
      </c>
      <c r="BU15" s="537">
        <f t="shared" ca="1" si="21"/>
        <v>392.22594172427398</v>
      </c>
      <c r="BV15" s="537">
        <f t="shared" ca="1" si="21"/>
        <v>392.22594172427398</v>
      </c>
      <c r="BW15" s="537">
        <f t="shared" ca="1" si="21"/>
        <v>392.22594172427398</v>
      </c>
      <c r="BX15" s="537">
        <f t="shared" ca="1" si="21"/>
        <v>392.22594172427398</v>
      </c>
      <c r="BY15" s="537">
        <f t="shared" ca="1" si="21"/>
        <v>392.22594172427398</v>
      </c>
      <c r="BZ15" s="537">
        <f t="shared" ca="1" si="21"/>
        <v>392.22594172427398</v>
      </c>
      <c r="CA15" s="537">
        <f t="shared" ca="1" si="21"/>
        <v>392.22594172427398</v>
      </c>
      <c r="CB15" s="537">
        <f t="shared" ca="1" si="21"/>
        <v>392.22594172427398</v>
      </c>
      <c r="CC15" s="537">
        <f t="shared" ca="1" si="21"/>
        <v>392.22594172427398</v>
      </c>
      <c r="CD15" s="537">
        <f t="shared" ca="1" si="21"/>
        <v>392.22594172427398</v>
      </c>
      <c r="CE15" s="537">
        <f t="shared" ca="1" si="21"/>
        <v>392.22594172427398</v>
      </c>
      <c r="CF15" s="537">
        <f t="shared" ca="1" si="21"/>
        <v>392.22594172427398</v>
      </c>
      <c r="CG15" s="537">
        <f t="shared" ca="1" si="21"/>
        <v>392.22594172427398</v>
      </c>
      <c r="CH15" s="537">
        <f t="shared" ca="1" si="21"/>
        <v>392.22594172427398</v>
      </c>
      <c r="CI15" s="537">
        <f t="shared" ca="1" si="21"/>
        <v>392.22594172427398</v>
      </c>
      <c r="CJ15" s="537">
        <f t="shared" ca="1" si="21"/>
        <v>392.22594172427398</v>
      </c>
      <c r="CK15" s="537">
        <f t="shared" ca="1" si="21"/>
        <v>392.22594172427398</v>
      </c>
      <c r="CL15" s="537">
        <f t="shared" ca="1" si="21"/>
        <v>392.22594172427398</v>
      </c>
      <c r="CN15" s="618"/>
      <c r="CO15" s="618"/>
      <c r="CP15" s="618"/>
    </row>
    <row r="16" spans="1:94" outlineLevel="1">
      <c r="A16" s="538" t="s">
        <v>255</v>
      </c>
      <c r="B16" s="538" t="s">
        <v>260</v>
      </c>
      <c r="C16" s="538" t="s">
        <v>297</v>
      </c>
      <c r="D16" s="538"/>
      <c r="E16" s="539" t="str">
        <f t="shared" ref="E16:BP16" si="22">IF(E10=base,dse,"")</f>
        <v/>
      </c>
      <c r="F16" s="540" t="str">
        <f t="shared" si="22"/>
        <v/>
      </c>
      <c r="G16" s="540" t="str">
        <f t="shared" si="22"/>
        <v/>
      </c>
      <c r="H16" s="540" t="str">
        <f t="shared" si="22"/>
        <v/>
      </c>
      <c r="I16" s="540">
        <f t="shared" si="22"/>
        <v>0</v>
      </c>
      <c r="J16" s="540" t="str">
        <f t="shared" si="22"/>
        <v/>
      </c>
      <c r="K16" s="540" t="str">
        <f t="shared" si="22"/>
        <v/>
      </c>
      <c r="L16" s="540" t="str">
        <f t="shared" si="22"/>
        <v/>
      </c>
      <c r="M16" s="540" t="str">
        <f t="shared" si="22"/>
        <v/>
      </c>
      <c r="N16" s="540" t="str">
        <f t="shared" si="22"/>
        <v/>
      </c>
      <c r="O16" s="540" t="str">
        <f t="shared" si="22"/>
        <v/>
      </c>
      <c r="P16" s="540" t="str">
        <f t="shared" si="22"/>
        <v/>
      </c>
      <c r="Q16" s="540" t="str">
        <f t="shared" si="22"/>
        <v/>
      </c>
      <c r="R16" s="540" t="str">
        <f t="shared" si="22"/>
        <v/>
      </c>
      <c r="S16" s="540" t="str">
        <f t="shared" si="22"/>
        <v/>
      </c>
      <c r="T16" s="540" t="str">
        <f t="shared" si="22"/>
        <v/>
      </c>
      <c r="U16" s="540" t="str">
        <f t="shared" si="22"/>
        <v/>
      </c>
      <c r="V16" s="540" t="str">
        <f t="shared" si="22"/>
        <v/>
      </c>
      <c r="W16" s="540" t="str">
        <f t="shared" si="22"/>
        <v/>
      </c>
      <c r="X16" s="540" t="str">
        <f t="shared" si="22"/>
        <v/>
      </c>
      <c r="Y16" s="540" t="str">
        <f t="shared" si="22"/>
        <v/>
      </c>
      <c r="Z16" s="540" t="str">
        <f t="shared" si="22"/>
        <v/>
      </c>
      <c r="AA16" s="540" t="str">
        <f t="shared" si="22"/>
        <v/>
      </c>
      <c r="AB16" s="540" t="str">
        <f t="shared" si="22"/>
        <v/>
      </c>
      <c r="AC16" s="540" t="str">
        <f t="shared" si="22"/>
        <v/>
      </c>
      <c r="AD16" s="540" t="str">
        <f t="shared" si="22"/>
        <v/>
      </c>
      <c r="AE16" s="540" t="str">
        <f t="shared" si="22"/>
        <v/>
      </c>
      <c r="AF16" s="540" t="str">
        <f t="shared" si="22"/>
        <v/>
      </c>
      <c r="AG16" s="540" t="str">
        <f t="shared" si="22"/>
        <v/>
      </c>
      <c r="AH16" s="540" t="str">
        <f t="shared" si="22"/>
        <v/>
      </c>
      <c r="AI16" s="540" t="str">
        <f t="shared" si="22"/>
        <v/>
      </c>
      <c r="AJ16" s="540" t="str">
        <f t="shared" si="22"/>
        <v/>
      </c>
      <c r="AK16" s="540" t="str">
        <f t="shared" si="22"/>
        <v/>
      </c>
      <c r="AL16" s="540" t="str">
        <f t="shared" si="22"/>
        <v/>
      </c>
      <c r="AM16" s="540" t="str">
        <f t="shared" si="22"/>
        <v/>
      </c>
      <c r="AN16" s="540" t="str">
        <f t="shared" si="22"/>
        <v/>
      </c>
      <c r="AO16" s="540" t="str">
        <f t="shared" si="22"/>
        <v/>
      </c>
      <c r="AP16" s="540" t="str">
        <f t="shared" si="22"/>
        <v/>
      </c>
      <c r="AQ16" s="540" t="str">
        <f t="shared" si="22"/>
        <v/>
      </c>
      <c r="AR16" s="540" t="str">
        <f t="shared" si="22"/>
        <v/>
      </c>
      <c r="AS16" s="540" t="str">
        <f t="shared" si="22"/>
        <v/>
      </c>
      <c r="AT16" s="540" t="str">
        <f t="shared" si="22"/>
        <v/>
      </c>
      <c r="AU16" s="540" t="str">
        <f t="shared" si="22"/>
        <v/>
      </c>
      <c r="AV16" s="540" t="str">
        <f t="shared" si="22"/>
        <v/>
      </c>
      <c r="AW16" s="540" t="str">
        <f t="shared" si="22"/>
        <v/>
      </c>
      <c r="AX16" s="540" t="str">
        <f t="shared" si="22"/>
        <v/>
      </c>
      <c r="AY16" s="540" t="str">
        <f t="shared" si="22"/>
        <v/>
      </c>
      <c r="AZ16" s="540" t="str">
        <f t="shared" si="22"/>
        <v/>
      </c>
      <c r="BA16" s="540" t="str">
        <f t="shared" si="22"/>
        <v/>
      </c>
      <c r="BB16" s="540" t="str">
        <f t="shared" si="22"/>
        <v/>
      </c>
      <c r="BC16" s="540" t="str">
        <f t="shared" si="22"/>
        <v/>
      </c>
      <c r="BD16" s="540" t="str">
        <f t="shared" si="22"/>
        <v/>
      </c>
      <c r="BE16" s="540" t="str">
        <f t="shared" si="22"/>
        <v/>
      </c>
      <c r="BF16" s="540" t="str">
        <f t="shared" si="22"/>
        <v/>
      </c>
      <c r="BG16" s="540" t="str">
        <f t="shared" si="22"/>
        <v/>
      </c>
      <c r="BH16" s="540" t="str">
        <f t="shared" si="22"/>
        <v/>
      </c>
      <c r="BI16" s="540" t="str">
        <f t="shared" si="22"/>
        <v/>
      </c>
      <c r="BJ16" s="540" t="str">
        <f t="shared" si="22"/>
        <v/>
      </c>
      <c r="BK16" s="540" t="str">
        <f t="shared" si="22"/>
        <v/>
      </c>
      <c r="BL16" s="540" t="str">
        <f t="shared" si="22"/>
        <v/>
      </c>
      <c r="BM16" s="540" t="str">
        <f t="shared" si="22"/>
        <v/>
      </c>
      <c r="BN16" s="540" t="str">
        <f t="shared" si="22"/>
        <v/>
      </c>
      <c r="BO16" s="540" t="str">
        <f t="shared" si="22"/>
        <v/>
      </c>
      <c r="BP16" s="540" t="str">
        <f t="shared" si="22"/>
        <v/>
      </c>
      <c r="BQ16" s="540" t="str">
        <f t="shared" ref="BQ16:CL16" si="23">IF(BQ10=base,dse,"")</f>
        <v/>
      </c>
      <c r="BR16" s="540" t="str">
        <f t="shared" si="23"/>
        <v/>
      </c>
      <c r="BS16" s="540" t="str">
        <f t="shared" si="23"/>
        <v/>
      </c>
      <c r="BT16" s="540" t="str">
        <f t="shared" si="23"/>
        <v/>
      </c>
      <c r="BU16" s="540" t="str">
        <f t="shared" si="23"/>
        <v/>
      </c>
      <c r="BV16" s="540" t="str">
        <f t="shared" si="23"/>
        <v/>
      </c>
      <c r="BW16" s="540" t="str">
        <f t="shared" si="23"/>
        <v/>
      </c>
      <c r="BX16" s="540" t="str">
        <f t="shared" si="23"/>
        <v/>
      </c>
      <c r="BY16" s="540" t="str">
        <f t="shared" si="23"/>
        <v/>
      </c>
      <c r="BZ16" s="540" t="str">
        <f t="shared" si="23"/>
        <v/>
      </c>
      <c r="CA16" s="540" t="str">
        <f t="shared" si="23"/>
        <v/>
      </c>
      <c r="CB16" s="540" t="str">
        <f t="shared" si="23"/>
        <v/>
      </c>
      <c r="CC16" s="540" t="str">
        <f t="shared" si="23"/>
        <v/>
      </c>
      <c r="CD16" s="540" t="str">
        <f t="shared" si="23"/>
        <v/>
      </c>
      <c r="CE16" s="540" t="str">
        <f t="shared" si="23"/>
        <v/>
      </c>
      <c r="CF16" s="540" t="str">
        <f t="shared" si="23"/>
        <v/>
      </c>
      <c r="CG16" s="540" t="str">
        <f t="shared" si="23"/>
        <v/>
      </c>
      <c r="CH16" s="540" t="str">
        <f t="shared" si="23"/>
        <v/>
      </c>
      <c r="CI16" s="540" t="str">
        <f t="shared" si="23"/>
        <v/>
      </c>
      <c r="CJ16" s="540" t="str">
        <f t="shared" si="23"/>
        <v/>
      </c>
      <c r="CK16" s="540" t="str">
        <f t="shared" si="23"/>
        <v/>
      </c>
      <c r="CL16" s="540" t="str">
        <f t="shared" si="23"/>
        <v/>
      </c>
      <c r="CN16" s="619" t="str">
        <f t="shared" ref="CN16:CN25" si="24">IFERROR((Y16/H16)^(1/17)-1,"")</f>
        <v/>
      </c>
      <c r="CO16" s="619" t="str">
        <f t="shared" ref="CO16:CO25" si="25">IFERROR((AN16/Y16)^(1/15)-1,"")</f>
        <v/>
      </c>
      <c r="CP16" s="619" t="str">
        <f t="shared" ref="CP16:CP25" si="26">IFERROR((AN16/H16)^(1/32)-1,"")</f>
        <v/>
      </c>
    </row>
    <row r="17" spans="1:94" outlineLevel="1">
      <c r="A17" s="535" t="s">
        <v>255</v>
      </c>
      <c r="B17" s="535" t="s">
        <v>259</v>
      </c>
      <c r="C17" s="535" t="s">
        <v>298</v>
      </c>
      <c r="D17" s="535"/>
      <c r="E17" s="541" t="e">
        <f>IF(E8&lt;sector_base,NA(),IFERROR(IF(activity_approach="Input Activity Data Manually",IF(E8=base,dsa,IF(E8=target,dsf,D17+((dsf-dsa)/(target-base)))),dsa*(1+Airlines!$E$47)^(E8-base)),""))</f>
        <v>#N/A</v>
      </c>
      <c r="F17" s="541" t="e">
        <f>IF(F8&lt;sector_base,NA(),IFERROR(IF(activity_approach="Input Activity Data Manually",IF(F8=base,dsa,IF(F8=target,dsf,E17+((dsf-dsa)/(target-base)))),dsa*(1+Airlines!$E$47)^(F8-base)),""))</f>
        <v>#N/A</v>
      </c>
      <c r="G17" s="541" t="e">
        <f>IF(G8&lt;sector_base,NA(),IFERROR(IF(activity_approach="Input Activity Data Manually",IF(G8=base,dsa,IF(G8=target,dsf,F17+((dsf-dsa)/(target-base)))),dsa*(1+Airlines!$E$47)^(G8-base)),""))</f>
        <v>#N/A</v>
      </c>
      <c r="H17" s="541" t="e">
        <f>IF(H8&lt;sector_base,NA(),IFERROR(IF(activity_approach="Input Activity Data Manually",IF(H8=base,dsa,IF(H8=target,dsf,G17+((dsf-dsa)/(target-base)))),dsa*(1+Airlines!$E$47)^(H8-base)),""))</f>
        <v>#N/A</v>
      </c>
      <c r="I17" s="541">
        <f>IF(I8&lt;sector_base,NA(),IFERROR(IF(activity_approach="Input Activity Data Manually",IF(I8=base,dsa,IF(I8=target,dsf,H17+((dsf-dsa)/(target-base)))),dsa*(1+Airlines!$E$47)^(I8-base)),""))</f>
        <v>0</v>
      </c>
      <c r="J17" s="541">
        <f>IF(J8&lt;sector_base,NA(),IFERROR(IF(activity_approach="Input Activity Data Manually",IF(J8=base,dsa,IF(J8=target,dsf,I17+((dsf-dsa)/(target-base)))),dsa*(1+Airlines!$E$47)^(J8-base)),""))</f>
        <v>0</v>
      </c>
      <c r="K17" s="541">
        <f>IF(K8&lt;sector_base,NA(),IFERROR(IF(activity_approach="Input Activity Data Manually",IF(K8=base,dsa,IF(K8=target,dsf,J17+((dsf-dsa)/(target-base)))),dsa*(1+Airlines!$E$47)^(K8-base)),""))</f>
        <v>0</v>
      </c>
      <c r="L17" s="541">
        <f>IF(L8&lt;sector_base,NA(),IFERROR(IF(activity_approach="Input Activity Data Manually",IF(L8=base,dsa,IF(L8=target,dsf,K17+((dsf-dsa)/(target-base)))),dsa*(1+Airlines!$E$47)^(L8-base)),""))</f>
        <v>0</v>
      </c>
      <c r="M17" s="541">
        <f>IF(M8&lt;sector_base,NA(),IFERROR(IF(activity_approach="Input Activity Data Manually",IF(M8=base,dsa,IF(M8=target,dsf,L17+((dsf-dsa)/(target-base)))),dsa*(1+Airlines!$E$47)^(M8-base)),""))</f>
        <v>0</v>
      </c>
      <c r="N17" s="541">
        <f>IF(N8&lt;sector_base,NA(),IFERROR(IF(activity_approach="Input Activity Data Manually",IF(N8=base,dsa,IF(N8=target,dsf,M17+((dsf-dsa)/(target-base)))),dsa*(1+Airlines!$E$47)^(N8-base)),""))</f>
        <v>0</v>
      </c>
      <c r="O17" s="541">
        <f>IF(O8&lt;sector_base,NA(),IFERROR(IF(activity_approach="Input Activity Data Manually",IF(O8=base,dsa,IF(O8=target,dsf,N17+((dsf-dsa)/(target-base)))),dsa*(1+Airlines!$E$47)^(O8-base)),""))</f>
        <v>0</v>
      </c>
      <c r="P17" s="541">
        <f>IF(P8&lt;sector_base,NA(),IFERROR(IF(activity_approach="Input Activity Data Manually",IF(P8=base,dsa,IF(P8=target,dsf,O17+((dsf-dsa)/(target-base)))),dsa*(1+Airlines!$E$47)^(P8-base)),""))</f>
        <v>0</v>
      </c>
      <c r="Q17" s="541">
        <f>IF(Q8&lt;sector_base,NA(),IFERROR(IF(activity_approach="Input Activity Data Manually",IF(Q8=base,dsa,IF(Q8=target,dsf,P17+((dsf-dsa)/(target-base)))),dsa*(1+Airlines!$E$47)^(Q8-base)),""))</f>
        <v>0</v>
      </c>
      <c r="R17" s="541">
        <f>IF(R8&lt;sector_base,NA(),IFERROR(IF(activity_approach="Input Activity Data Manually",IF(R8=base,dsa,IF(R8=target,dsf,Q17+((dsf-dsa)/(target-base)))),dsa*(1+Airlines!$E$47)^(R8-base)),""))</f>
        <v>0</v>
      </c>
      <c r="S17" s="541">
        <f>IF(S8&lt;sector_base,NA(),IFERROR(IF(activity_approach="Input Activity Data Manually",IF(S8=base,dsa,IF(S8=target,dsf,R17+((dsf-dsa)/(target-base)))),dsa*(1+Airlines!$E$47)^(S8-base)),""))</f>
        <v>0</v>
      </c>
      <c r="T17" s="541">
        <f>IF(T8&lt;sector_base,NA(),IFERROR(IF(activity_approach="Input Activity Data Manually",IF(T8=base,dsa,IF(T8=target,dsf,S17+((dsf-dsa)/(target-base)))),dsa*(1+Airlines!$E$47)^(T8-base)),""))</f>
        <v>0</v>
      </c>
      <c r="U17" s="541">
        <f>IF(U8&lt;sector_base,NA(),IFERROR(IF(activity_approach="Input Activity Data Manually",IF(U8=base,dsa,IF(U8=target,dsf,T17+((dsf-dsa)/(target-base)))),dsa*(1+Airlines!$E$47)^(U8-base)),""))</f>
        <v>0</v>
      </c>
      <c r="V17" s="541">
        <f>IF(V8&lt;sector_base,NA(),IFERROR(IF(activity_approach="Input Activity Data Manually",IF(V8=base,dsa,IF(V8=target,dsf,U17+((dsf-dsa)/(target-base)))),dsa*(1+Airlines!$E$47)^(V8-base)),""))</f>
        <v>0</v>
      </c>
      <c r="W17" s="541">
        <f>IF(W8&lt;sector_base,NA(),IFERROR(IF(activity_approach="Input Activity Data Manually",IF(W8=base,dsa,IF(W8=target,dsf,V17+((dsf-dsa)/(target-base)))),dsa*(1+Airlines!$E$47)^(W8-base)),""))</f>
        <v>0</v>
      </c>
      <c r="X17" s="541">
        <f>IF(X8&lt;sector_base,NA(),IFERROR(IF(activity_approach="Input Activity Data Manually",IF(X8=base,dsa,IF(X8=target,dsf,W17+((dsf-dsa)/(target-base)))),dsa*(1+Airlines!$E$47)^(X8-base)),""))</f>
        <v>0</v>
      </c>
      <c r="Y17" s="541">
        <f>IF(Y8&lt;sector_base,NA(),IFERROR(IF(activity_approach="Input Activity Data Manually",IF(Y8=base,dsa,IF(Y8=target,dsf,X17+((dsf-dsa)/(target-base)))),dsa*(1+Airlines!$E$47)^(Y8-base)),""))</f>
        <v>0</v>
      </c>
      <c r="Z17" s="541">
        <f>IF(Z8&lt;sector_base,NA(),IFERROR(IF(activity_approach="Input Activity Data Manually",IF(Z8=base,dsa,IF(Z8=target,dsf,Y17+((dsf-dsa)/(target-base)))),dsa*(1+Airlines!$E$47)^(Z8-base)),""))</f>
        <v>0</v>
      </c>
      <c r="AA17" s="541">
        <f>IF(AA8&lt;sector_base,NA(),IFERROR(IF(activity_approach="Input Activity Data Manually",IF(AA8=base,dsa,IF(AA8=target,dsf,Z17+((dsf-dsa)/(target-base)))),dsa*(1+Airlines!$E$47)^(AA8-base)),""))</f>
        <v>0</v>
      </c>
      <c r="AB17" s="541">
        <f>IF(AB8&lt;sector_base,NA(),IFERROR(IF(activity_approach="Input Activity Data Manually",IF(AB8=base,dsa,IF(AB8=target,dsf,AA17+((dsf-dsa)/(target-base)))),dsa*(1+Airlines!$E$47)^(AB8-base)),""))</f>
        <v>0</v>
      </c>
      <c r="AC17" s="541">
        <f>IF(AC8&lt;sector_base,NA(),IFERROR(IF(activity_approach="Input Activity Data Manually",IF(AC8=base,dsa,IF(AC8=target,dsf,AB17+((dsf-dsa)/(target-base)))),dsa*(1+Airlines!$E$47)^(AC8-base)),""))</f>
        <v>0</v>
      </c>
      <c r="AD17" s="541">
        <f>IF(AD8&lt;sector_base,NA(),IFERROR(IF(activity_approach="Input Activity Data Manually",IF(AD8=base,dsa,IF(AD8=target,dsf,AC17+((dsf-dsa)/(target-base)))),dsa*(1+Airlines!$E$47)^(AD8-base)),""))</f>
        <v>0</v>
      </c>
      <c r="AE17" s="541">
        <f>IF(AE8&lt;sector_base,NA(),IFERROR(IF(activity_approach="Input Activity Data Manually",IF(AE8=base,dsa,IF(AE8=target,dsf,AD17+((dsf-dsa)/(target-base)))),dsa*(1+Airlines!$E$47)^(AE8-base)),""))</f>
        <v>0</v>
      </c>
      <c r="AF17" s="541">
        <f>IF(AF8&lt;sector_base,NA(),IFERROR(IF(activity_approach="Input Activity Data Manually",IF(AF8=base,dsa,IF(AF8=target,dsf,AE17+((dsf-dsa)/(target-base)))),dsa*(1+Airlines!$E$47)^(AF8-base)),""))</f>
        <v>0</v>
      </c>
      <c r="AG17" s="541">
        <f>IF(AG8&lt;sector_base,NA(),IFERROR(IF(activity_approach="Input Activity Data Manually",IF(AG8=base,dsa,IF(AG8=target,dsf,AF17+((dsf-dsa)/(target-base)))),dsa*(1+Airlines!$E$47)^(AG8-base)),""))</f>
        <v>0</v>
      </c>
      <c r="AH17" s="541">
        <f>IF(AH8&lt;sector_base,NA(),IFERROR(IF(activity_approach="Input Activity Data Manually",IF(AH8=base,dsa,IF(AH8=target,dsf,AG17+((dsf-dsa)/(target-base)))),dsa*(1+Airlines!$E$47)^(AH8-base)),""))</f>
        <v>0</v>
      </c>
      <c r="AI17" s="541">
        <f>IF(AI8&lt;sector_base,NA(),IFERROR(IF(activity_approach="Input Activity Data Manually",IF(AI8=base,dsa,IF(AI8=target,dsf,AH17+((dsf-dsa)/(target-base)))),dsa*(1+Airlines!$E$47)^(AI8-base)),""))</f>
        <v>0</v>
      </c>
      <c r="AJ17" s="541">
        <f>IF(AJ8&lt;sector_base,NA(),IFERROR(IF(activity_approach="Input Activity Data Manually",IF(AJ8=base,dsa,IF(AJ8=target,dsf,AI17+((dsf-dsa)/(target-base)))),dsa*(1+Airlines!$E$47)^(AJ8-base)),""))</f>
        <v>0</v>
      </c>
      <c r="AK17" s="541">
        <f>IF(AK8&lt;sector_base,NA(),IFERROR(IF(activity_approach="Input Activity Data Manually",IF(AK8=base,dsa,IF(AK8=target,dsf,AJ17+((dsf-dsa)/(target-base)))),dsa*(1+Airlines!$E$47)^(AK8-base)),""))</f>
        <v>0</v>
      </c>
      <c r="AL17" s="541">
        <f>IF(AL8&lt;sector_base,NA(),IFERROR(IF(activity_approach="Input Activity Data Manually",IF(AL8=base,dsa,IF(AL8=target,dsf,AK17+((dsf-dsa)/(target-base)))),dsa*(1+Airlines!$E$47)^(AL8-base)),""))</f>
        <v>0</v>
      </c>
      <c r="AM17" s="541">
        <f>IF(AM8&lt;sector_base,NA(),IFERROR(IF(activity_approach="Input Activity Data Manually",IF(AM8=base,dsa,IF(AM8=target,dsf,AL17+((dsf-dsa)/(target-base)))),dsa*(1+Airlines!$E$47)^(AM8-base)),""))</f>
        <v>0</v>
      </c>
      <c r="AN17" s="541">
        <f>IF(AN8&lt;sector_base,NA(),IFERROR(IF(activity_approach="Input Activity Data Manually",IF(AN8=base,dsa,IF(AN8=target,dsf,AM17+((dsf-dsa)/(target-base)))),dsa*(1+Airlines!$E$47)^(AN8-base)),""))</f>
        <v>0</v>
      </c>
      <c r="AO17" s="541">
        <f>IF(AO8&lt;sector_base,NA(),IFERROR(IF(activity_approach="Input Activity Data Manually",IF(AO8=base,dsa,IF(AO8=target,dsf,AN17+((dsf-dsa)/(target-base)))),dsa*(1+Airlines!$E$47)^(AO8-base)),""))</f>
        <v>0</v>
      </c>
      <c r="AP17" s="541">
        <f>IF(AP8&lt;sector_base,NA(),IFERROR(IF(activity_approach="Input Activity Data Manually",IF(AP8=base,dsa,IF(AP8=target,dsf,AO17+((dsf-dsa)/(target-base)))),dsa*(1+Airlines!$E$47)^(AP8-base)),""))</f>
        <v>0</v>
      </c>
      <c r="AQ17" s="541">
        <f>IF(AQ8&lt;sector_base,NA(),IFERROR(IF(activity_approach="Input Activity Data Manually",IF(AQ8=base,dsa,IF(AQ8=target,dsf,AP17+((dsf-dsa)/(target-base)))),dsa*(1+Airlines!$E$47)^(AQ8-base)),""))</f>
        <v>0</v>
      </c>
      <c r="AR17" s="541">
        <f>IF(AR8&lt;sector_base,NA(),IFERROR(IF(activity_approach="Input Activity Data Manually",IF(AR8=base,dsa,IF(AR8=target,dsf,AQ17+((dsf-dsa)/(target-base)))),dsa*(1+Airlines!$E$47)^(AR8-base)),""))</f>
        <v>0</v>
      </c>
      <c r="AS17" s="541">
        <f>IF(AS8&lt;sector_base,NA(),IFERROR(IF(activity_approach="Input Activity Data Manually",IF(AS8=base,dsa,IF(AS8=target,dsf,AR17+((dsf-dsa)/(target-base)))),dsa*(1+Airlines!$E$47)^(AS8-base)),""))</f>
        <v>0</v>
      </c>
      <c r="AT17" s="541">
        <f>IF(AT8&lt;sector_base,NA(),IFERROR(IF(activity_approach="Input Activity Data Manually",IF(AT8=base,dsa,IF(AT8=target,dsf,AS17+((dsf-dsa)/(target-base)))),dsa*(1+Airlines!$E$47)^(AT8-base)),""))</f>
        <v>0</v>
      </c>
      <c r="AU17" s="541">
        <f>IF(AU8&lt;sector_base,NA(),IFERROR(IF(activity_approach="Input Activity Data Manually",IF(AU8=base,dsa,IF(AU8=target,dsf,AT17+((dsf-dsa)/(target-base)))),dsa*(1+Airlines!$E$47)^(AU8-base)),""))</f>
        <v>0</v>
      </c>
      <c r="AV17" s="541">
        <f>IF(AV8&lt;sector_base,NA(),IFERROR(IF(activity_approach="Input Activity Data Manually",IF(AV8=base,dsa,IF(AV8=target,dsf,AU17+((dsf-dsa)/(target-base)))),dsa*(1+Airlines!$E$47)^(AV8-base)),""))</f>
        <v>0</v>
      </c>
      <c r="AW17" s="541">
        <f>IF(AW8&lt;sector_base,NA(),IFERROR(IF(activity_approach="Input Activity Data Manually",IF(AW8=base,dsa,IF(AW8=target,dsf,AV17+((dsf-dsa)/(target-base)))),dsa*(1+Airlines!$E$47)^(AW8-base)),""))</f>
        <v>0</v>
      </c>
      <c r="AX17" s="541">
        <f>IF(AX8&lt;sector_base,NA(),IFERROR(IF(activity_approach="Input Activity Data Manually",IF(AX8=base,dsa,IF(AX8=target,dsf,AW17+((dsf-dsa)/(target-base)))),dsa*(1+Airlines!$E$47)^(AX8-base)),""))</f>
        <v>0</v>
      </c>
      <c r="AY17" s="541">
        <f>IF(AY8&lt;sector_base,NA(),IFERROR(IF(activity_approach="Input Activity Data Manually",IF(AY8=base,dsa,IF(AY8=target,dsf,AX17+((dsf-dsa)/(target-base)))),dsa*(1+Airlines!$E$47)^(AY8-base)),""))</f>
        <v>0</v>
      </c>
      <c r="AZ17" s="541">
        <f>IF(AZ8&lt;sector_base,NA(),IFERROR(IF(activity_approach="Input Activity Data Manually",IF(AZ8=base,dsa,IF(AZ8=target,dsf,AY17+((dsf-dsa)/(target-base)))),dsa*(1+Airlines!$E$47)^(AZ8-base)),""))</f>
        <v>0</v>
      </c>
      <c r="BA17" s="541">
        <f>IF(BA8&lt;sector_base,NA(),IFERROR(IF(activity_approach="Input Activity Data Manually",IF(BA8=base,dsa,IF(BA8=target,dsf,AZ17+((dsf-dsa)/(target-base)))),dsa*(1+Airlines!$E$47)^(BA8-base)),""))</f>
        <v>0</v>
      </c>
      <c r="BB17" s="541">
        <f>IF(BB8&lt;sector_base,NA(),IFERROR(IF(activity_approach="Input Activity Data Manually",IF(BB8=base,dsa,IF(BB8=target,dsf,BA17+((dsf-dsa)/(target-base)))),dsa*(1+Airlines!$E$47)^(BB8-base)),""))</f>
        <v>0</v>
      </c>
      <c r="BC17" s="541">
        <f>IF(BC8&lt;sector_base,NA(),IFERROR(IF(activity_approach="Input Activity Data Manually",IF(BC8=base,dsa,IF(BC8=target,dsf,BB17+((dsf-dsa)/(target-base)))),dsa*(1+Airlines!$E$47)^(BC8-base)),""))</f>
        <v>0</v>
      </c>
      <c r="BD17" s="541">
        <f>IF(BD8&lt;sector_base,NA(),IFERROR(IF(activity_approach="Input Activity Data Manually",IF(BD8=base,dsa,IF(BD8=target,dsf,BC17+((dsf-dsa)/(target-base)))),dsa*(1+Airlines!$E$47)^(BD8-base)),""))</f>
        <v>0</v>
      </c>
      <c r="BE17" s="541">
        <f>IF(BE8&lt;sector_base,NA(),IFERROR(IF(activity_approach="Input Activity Data Manually",IF(BE8=base,dsa,IF(BE8=target,dsf,BD17+((dsf-dsa)/(target-base)))),dsa*(1+Airlines!$E$47)^(BE8-base)),""))</f>
        <v>0</v>
      </c>
      <c r="BF17" s="541">
        <f>IF(BF8&lt;sector_base,NA(),IFERROR(IF(activity_approach="Input Activity Data Manually",IF(BF8=base,dsa,IF(BF8=target,dsf,BE17+((dsf-dsa)/(target-base)))),dsa*(1+Airlines!$E$47)^(BF8-base)),""))</f>
        <v>0</v>
      </c>
      <c r="BG17" s="541">
        <f>IF(BG8&lt;sector_base,NA(),IFERROR(IF(activity_approach="Input Activity Data Manually",IF(BG8=base,dsa,IF(BG8=target,dsf,BF17+((dsf-dsa)/(target-base)))),dsa*(1+Airlines!$E$47)^(BG8-base)),""))</f>
        <v>0</v>
      </c>
      <c r="BH17" s="541">
        <f>IF(BH8&lt;sector_base,NA(),IFERROR(IF(activity_approach="Input Activity Data Manually",IF(BH8=base,dsa,IF(BH8=target,dsf,BG17+((dsf-dsa)/(target-base)))),dsa*(1+Airlines!$E$47)^(BH8-base)),""))</f>
        <v>0</v>
      </c>
      <c r="BI17" s="541">
        <f>IF(BI8&lt;sector_base,NA(),IFERROR(IF(activity_approach="Input Activity Data Manually",IF(BI8=base,dsa,IF(BI8=target,dsf,BH17+((dsf-dsa)/(target-base)))),dsa*(1+Airlines!$E$47)^(BI8-base)),""))</f>
        <v>0</v>
      </c>
      <c r="BJ17" s="541">
        <f>IF(BJ8&lt;sector_base,NA(),IFERROR(IF(activity_approach="Input Activity Data Manually",IF(BJ8=base,dsa,IF(BJ8=target,dsf,BI17+((dsf-dsa)/(target-base)))),dsa*(1+Airlines!$E$47)^(BJ8-base)),""))</f>
        <v>0</v>
      </c>
      <c r="BK17" s="541">
        <f>IF(BK8&lt;sector_base,NA(),IFERROR(IF(activity_approach="Input Activity Data Manually",IF(BK8=base,dsa,IF(BK8=target,dsf,BJ17+((dsf-dsa)/(target-base)))),dsa*(1+Airlines!$E$47)^(BK8-base)),""))</f>
        <v>0</v>
      </c>
      <c r="BL17" s="541">
        <f>IF(BL8&lt;sector_base,NA(),IFERROR(IF(activity_approach="Input Activity Data Manually",IF(BL8=base,dsa,IF(BL8=target,dsf,BK17+((dsf-dsa)/(target-base)))),dsa*(1+Airlines!$E$47)^(BL8-base)),""))</f>
        <v>0</v>
      </c>
      <c r="BM17" s="541">
        <f>IF(BM8&lt;sector_base,NA(),IFERROR(IF(activity_approach="Input Activity Data Manually",IF(BM8=base,dsa,IF(BM8=target,dsf,BL17+((dsf-dsa)/(target-base)))),dsa*(1+Airlines!$E$47)^(BM8-base)),""))</f>
        <v>0</v>
      </c>
      <c r="BN17" s="541">
        <f>IF(BN8&lt;sector_base,NA(),IFERROR(IF(activity_approach="Input Activity Data Manually",IF(BN8=base,dsa,IF(BN8=target,dsf,BM17+((dsf-dsa)/(target-base)))),dsa*(1+Airlines!$E$47)^(BN8-base)),""))</f>
        <v>0</v>
      </c>
      <c r="BO17" s="541">
        <f>IF(BO8&lt;sector_base,NA(),IFERROR(IF(activity_approach="Input Activity Data Manually",IF(BO8=base,dsa,IF(BO8=target,dsf,BN17+((dsf-dsa)/(target-base)))),dsa*(1+Airlines!$E$47)^(BO8-base)),""))</f>
        <v>0</v>
      </c>
      <c r="BP17" s="541">
        <f>IF(BP8&lt;sector_base,NA(),IFERROR(IF(activity_approach="Input Activity Data Manually",IF(BP8=base,dsa,IF(BP8=target,dsf,BO17+((dsf-dsa)/(target-base)))),dsa*(1+Airlines!$E$47)^(BP8-base)),""))</f>
        <v>0</v>
      </c>
      <c r="BQ17" s="541">
        <f>IF(BQ8&lt;sector_base,NA(),IFERROR(IF(activity_approach="Input Activity Data Manually",IF(BQ8=base,dsa,IF(BQ8=target,dsf,BP17+((dsf-dsa)/(target-base)))),dsa*(1+Airlines!$E$47)^(BQ8-base)),""))</f>
        <v>0</v>
      </c>
      <c r="BR17" s="541">
        <f>IF(BR8&lt;sector_base,NA(),IFERROR(IF(activity_approach="Input Activity Data Manually",IF(BR8=base,dsa,IF(BR8=target,dsf,BQ17+((dsf-dsa)/(target-base)))),dsa*(1+Airlines!$E$47)^(BR8-base)),""))</f>
        <v>0</v>
      </c>
      <c r="BS17" s="541">
        <f>IF(BS8&lt;sector_base,NA(),IFERROR(IF(activity_approach="Input Activity Data Manually",IF(BS8=base,dsa,IF(BS8=target,dsf,BR17+((dsf-dsa)/(target-base)))),dsa*(1+Airlines!$E$47)^(BS8-base)),""))</f>
        <v>0</v>
      </c>
      <c r="BT17" s="541">
        <f>IF(BT8&lt;sector_base,NA(),IFERROR(IF(activity_approach="Input Activity Data Manually",IF(BT8=base,dsa,IF(BT8=target,dsf,BS17+((dsf-dsa)/(target-base)))),dsa*(1+Airlines!$E$47)^(BT8-base)),""))</f>
        <v>0</v>
      </c>
      <c r="BU17" s="541">
        <f>IF(BU8&lt;sector_base,NA(),IFERROR(IF(activity_approach="Input Activity Data Manually",IF(BU8=base,dsa,IF(BU8=target,dsf,BT17+((dsf-dsa)/(target-base)))),dsa*(1+Airlines!$E$47)^(BU8-base)),""))</f>
        <v>0</v>
      </c>
      <c r="BV17" s="541">
        <f>IF(BV8&lt;sector_base,NA(),IFERROR(IF(activity_approach="Input Activity Data Manually",IF(BV8=base,dsa,IF(BV8=target,dsf,BU17+((dsf-dsa)/(target-base)))),dsa*(1+Airlines!$E$47)^(BV8-base)),""))</f>
        <v>0</v>
      </c>
      <c r="BW17" s="541">
        <f>IF(BW8&lt;sector_base,NA(),IFERROR(IF(activity_approach="Input Activity Data Manually",IF(BW8=base,dsa,IF(BW8=target,dsf,BV17+((dsf-dsa)/(target-base)))),dsa*(1+Airlines!$E$47)^(BW8-base)),""))</f>
        <v>0</v>
      </c>
      <c r="BX17" s="541">
        <f>IF(BX8&lt;sector_base,NA(),IFERROR(IF(activity_approach="Input Activity Data Manually",IF(BX8=base,dsa,IF(BX8=target,dsf,BW17+((dsf-dsa)/(target-base)))),dsa*(1+Airlines!$E$47)^(BX8-base)),""))</f>
        <v>0</v>
      </c>
      <c r="BY17" s="541">
        <f>IF(BY8&lt;sector_base,NA(),IFERROR(IF(activity_approach="Input Activity Data Manually",IF(BY8=base,dsa,IF(BY8=target,dsf,BX17+((dsf-dsa)/(target-base)))),dsa*(1+Airlines!$E$47)^(BY8-base)),""))</f>
        <v>0</v>
      </c>
      <c r="BZ17" s="541">
        <f>IF(BZ8&lt;sector_base,NA(),IFERROR(IF(activity_approach="Input Activity Data Manually",IF(BZ8=base,dsa,IF(BZ8=target,dsf,BY17+((dsf-dsa)/(target-base)))),dsa*(1+Airlines!$E$47)^(BZ8-base)),""))</f>
        <v>0</v>
      </c>
      <c r="CA17" s="541">
        <f>IF(CA8&lt;sector_base,NA(),IFERROR(IF(activity_approach="Input Activity Data Manually",IF(CA8=base,dsa,IF(CA8=target,dsf,BZ17+((dsf-dsa)/(target-base)))),dsa*(1+Airlines!$E$47)^(CA8-base)),""))</f>
        <v>0</v>
      </c>
      <c r="CB17" s="541">
        <f>IF(CB8&lt;sector_base,NA(),IFERROR(IF(activity_approach="Input Activity Data Manually",IF(CB8=base,dsa,IF(CB8=target,dsf,CA17+((dsf-dsa)/(target-base)))),dsa*(1+Airlines!$E$47)^(CB8-base)),""))</f>
        <v>0</v>
      </c>
      <c r="CC17" s="541">
        <f>IF(CC8&lt;sector_base,NA(),IFERROR(IF(activity_approach="Input Activity Data Manually",IF(CC8=base,dsa,IF(CC8=target,dsf,CB17+((dsf-dsa)/(target-base)))),dsa*(1+Airlines!$E$47)^(CC8-base)),""))</f>
        <v>0</v>
      </c>
      <c r="CD17" s="541">
        <f>IF(CD8&lt;sector_base,NA(),IFERROR(IF(activity_approach="Input Activity Data Manually",IF(CD8=base,dsa,IF(CD8=target,dsf,CC17+((dsf-dsa)/(target-base)))),dsa*(1+Airlines!$E$47)^(CD8-base)),""))</f>
        <v>0</v>
      </c>
      <c r="CE17" s="541">
        <f>IF(CE8&lt;sector_base,NA(),IFERROR(IF(activity_approach="Input Activity Data Manually",IF(CE8=base,dsa,IF(CE8=target,dsf,CD17+((dsf-dsa)/(target-base)))),dsa*(1+Airlines!$E$47)^(CE8-base)),""))</f>
        <v>0</v>
      </c>
      <c r="CF17" s="541">
        <f>IF(CF8&lt;sector_base,NA(),IFERROR(IF(activity_approach="Input Activity Data Manually",IF(CF8=base,dsa,IF(CF8=target,dsf,CE17+((dsf-dsa)/(target-base)))),dsa*(1+Airlines!$E$47)^(CF8-base)),""))</f>
        <v>0</v>
      </c>
      <c r="CG17" s="541">
        <f>IF(CG8&lt;sector_base,NA(),IFERROR(IF(activity_approach="Input Activity Data Manually",IF(CG8=base,dsa,IF(CG8=target,dsf,CF17+((dsf-dsa)/(target-base)))),dsa*(1+Airlines!$E$47)^(CG8-base)),""))</f>
        <v>0</v>
      </c>
      <c r="CH17" s="541">
        <f>IF(CH8&lt;sector_base,NA(),IFERROR(IF(activity_approach="Input Activity Data Manually",IF(CH8=base,dsa,IF(CH8=target,dsf,CG17+((dsf-dsa)/(target-base)))),dsa*(1+Airlines!$E$47)^(CH8-base)),""))</f>
        <v>0</v>
      </c>
      <c r="CI17" s="541">
        <f>IF(CI8&lt;sector_base,NA(),IFERROR(IF(activity_approach="Input Activity Data Manually",IF(CI8=base,dsa,IF(CI8=target,dsf,CH17+((dsf-dsa)/(target-base)))),dsa*(1+Airlines!$E$47)^(CI8-base)),""))</f>
        <v>0</v>
      </c>
      <c r="CJ17" s="541">
        <f>IF(CJ8&lt;sector_base,NA(),IFERROR(IF(activity_approach="Input Activity Data Manually",IF(CJ8=base,dsa,IF(CJ8=target,dsf,CI17+((dsf-dsa)/(target-base)))),dsa*(1+Airlines!$E$47)^(CJ8-base)),""))</f>
        <v>0</v>
      </c>
      <c r="CK17" s="541">
        <f>IF(CK8&lt;sector_base,NA(),IFERROR(IF(activity_approach="Input Activity Data Manually",IF(CK8=base,dsa,IF(CK8=target,dsf,CJ17+((dsf-dsa)/(target-base)))),dsa*(1+Airlines!$E$47)^(CK8-base)),""))</f>
        <v>0</v>
      </c>
      <c r="CL17" s="541">
        <f>IF(CL8&lt;sector_base,NA(),IFERROR(IF(activity_approach="Input Activity Data Manually",IF(CL8=base,dsa,IF(CL8=target,dsf,CK17+((dsf-dsa)/(target-base)))),dsa*(1+Airlines!$E$47)^(CL8-base)),""))</f>
        <v>0</v>
      </c>
      <c r="CN17" s="620" t="str">
        <f t="shared" si="24"/>
        <v/>
      </c>
      <c r="CO17" s="620" t="str">
        <f t="shared" si="25"/>
        <v/>
      </c>
      <c r="CP17" s="620" t="str">
        <f t="shared" si="26"/>
        <v/>
      </c>
    </row>
    <row r="18" spans="1:94" outlineLevel="1">
      <c r="A18" s="535" t="s">
        <v>255</v>
      </c>
      <c r="B18" s="535" t="s">
        <v>258</v>
      </c>
      <c r="C18" s="535" t="s">
        <v>299</v>
      </c>
      <c r="D18" s="535" t="s">
        <v>300</v>
      </c>
      <c r="E18" s="542" t="str">
        <f>IFERROR((E16/E17)*1000,"")</f>
        <v/>
      </c>
      <c r="F18" s="531" t="str">
        <f t="shared" ref="F18:BQ18" si="27">IFERROR((F16/F17)*1000,"")</f>
        <v/>
      </c>
      <c r="G18" s="531" t="str">
        <f t="shared" si="27"/>
        <v/>
      </c>
      <c r="H18" s="531" t="str">
        <f t="shared" si="27"/>
        <v/>
      </c>
      <c r="I18" s="531" t="str">
        <f t="shared" si="27"/>
        <v/>
      </c>
      <c r="J18" s="531" t="str">
        <f t="shared" si="27"/>
        <v/>
      </c>
      <c r="K18" s="531" t="str">
        <f t="shared" si="27"/>
        <v/>
      </c>
      <c r="L18" s="531" t="str">
        <f t="shared" si="27"/>
        <v/>
      </c>
      <c r="M18" s="531" t="str">
        <f t="shared" si="27"/>
        <v/>
      </c>
      <c r="N18" s="531" t="str">
        <f t="shared" si="27"/>
        <v/>
      </c>
      <c r="O18" s="531" t="str">
        <f t="shared" si="27"/>
        <v/>
      </c>
      <c r="P18" s="531" t="str">
        <f t="shared" si="27"/>
        <v/>
      </c>
      <c r="Q18" s="531" t="str">
        <f t="shared" si="27"/>
        <v/>
      </c>
      <c r="R18" s="531" t="str">
        <f t="shared" si="27"/>
        <v/>
      </c>
      <c r="S18" s="531" t="str">
        <f t="shared" si="27"/>
        <v/>
      </c>
      <c r="T18" s="531" t="str">
        <f t="shared" si="27"/>
        <v/>
      </c>
      <c r="U18" s="531" t="str">
        <f t="shared" si="27"/>
        <v/>
      </c>
      <c r="V18" s="531" t="str">
        <f t="shared" si="27"/>
        <v/>
      </c>
      <c r="W18" s="531" t="str">
        <f t="shared" si="27"/>
        <v/>
      </c>
      <c r="X18" s="531" t="str">
        <f t="shared" si="27"/>
        <v/>
      </c>
      <c r="Y18" s="531" t="str">
        <f t="shared" si="27"/>
        <v/>
      </c>
      <c r="Z18" s="531" t="str">
        <f t="shared" si="27"/>
        <v/>
      </c>
      <c r="AA18" s="531" t="str">
        <f t="shared" si="27"/>
        <v/>
      </c>
      <c r="AB18" s="531" t="str">
        <f t="shared" si="27"/>
        <v/>
      </c>
      <c r="AC18" s="531" t="str">
        <f t="shared" si="27"/>
        <v/>
      </c>
      <c r="AD18" s="531" t="str">
        <f t="shared" si="27"/>
        <v/>
      </c>
      <c r="AE18" s="531" t="str">
        <f t="shared" si="27"/>
        <v/>
      </c>
      <c r="AF18" s="531" t="str">
        <f t="shared" si="27"/>
        <v/>
      </c>
      <c r="AG18" s="531" t="str">
        <f t="shared" si="27"/>
        <v/>
      </c>
      <c r="AH18" s="531" t="str">
        <f t="shared" si="27"/>
        <v/>
      </c>
      <c r="AI18" s="531" t="str">
        <f t="shared" si="27"/>
        <v/>
      </c>
      <c r="AJ18" s="531" t="str">
        <f t="shared" si="27"/>
        <v/>
      </c>
      <c r="AK18" s="531" t="str">
        <f t="shared" si="27"/>
        <v/>
      </c>
      <c r="AL18" s="531" t="str">
        <f t="shared" si="27"/>
        <v/>
      </c>
      <c r="AM18" s="531" t="str">
        <f t="shared" si="27"/>
        <v/>
      </c>
      <c r="AN18" s="531" t="str">
        <f t="shared" si="27"/>
        <v/>
      </c>
      <c r="AO18" s="531" t="str">
        <f t="shared" si="27"/>
        <v/>
      </c>
      <c r="AP18" s="531" t="str">
        <f t="shared" si="27"/>
        <v/>
      </c>
      <c r="AQ18" s="531" t="str">
        <f t="shared" si="27"/>
        <v/>
      </c>
      <c r="AR18" s="531" t="str">
        <f t="shared" si="27"/>
        <v/>
      </c>
      <c r="AS18" s="531" t="str">
        <f t="shared" si="27"/>
        <v/>
      </c>
      <c r="AT18" s="531" t="str">
        <f t="shared" si="27"/>
        <v/>
      </c>
      <c r="AU18" s="531" t="str">
        <f t="shared" si="27"/>
        <v/>
      </c>
      <c r="AV18" s="531" t="str">
        <f t="shared" si="27"/>
        <v/>
      </c>
      <c r="AW18" s="531" t="str">
        <f t="shared" si="27"/>
        <v/>
      </c>
      <c r="AX18" s="531" t="str">
        <f t="shared" si="27"/>
        <v/>
      </c>
      <c r="AY18" s="531" t="str">
        <f t="shared" si="27"/>
        <v/>
      </c>
      <c r="AZ18" s="531" t="str">
        <f t="shared" si="27"/>
        <v/>
      </c>
      <c r="BA18" s="531" t="str">
        <f t="shared" si="27"/>
        <v/>
      </c>
      <c r="BB18" s="531" t="str">
        <f t="shared" si="27"/>
        <v/>
      </c>
      <c r="BC18" s="531" t="str">
        <f t="shared" si="27"/>
        <v/>
      </c>
      <c r="BD18" s="531" t="str">
        <f t="shared" si="27"/>
        <v/>
      </c>
      <c r="BE18" s="531" t="str">
        <f t="shared" si="27"/>
        <v/>
      </c>
      <c r="BF18" s="531" t="str">
        <f t="shared" si="27"/>
        <v/>
      </c>
      <c r="BG18" s="531" t="str">
        <f t="shared" si="27"/>
        <v/>
      </c>
      <c r="BH18" s="531" t="str">
        <f t="shared" si="27"/>
        <v/>
      </c>
      <c r="BI18" s="531" t="str">
        <f t="shared" si="27"/>
        <v/>
      </c>
      <c r="BJ18" s="531" t="str">
        <f t="shared" si="27"/>
        <v/>
      </c>
      <c r="BK18" s="531" t="str">
        <f t="shared" si="27"/>
        <v/>
      </c>
      <c r="BL18" s="531" t="str">
        <f t="shared" si="27"/>
        <v/>
      </c>
      <c r="BM18" s="531" t="str">
        <f t="shared" si="27"/>
        <v/>
      </c>
      <c r="BN18" s="531" t="str">
        <f t="shared" si="27"/>
        <v/>
      </c>
      <c r="BO18" s="531" t="str">
        <f t="shared" si="27"/>
        <v/>
      </c>
      <c r="BP18" s="531" t="str">
        <f t="shared" si="27"/>
        <v/>
      </c>
      <c r="BQ18" s="531" t="str">
        <f t="shared" si="27"/>
        <v/>
      </c>
      <c r="BR18" s="531" t="str">
        <f t="shared" ref="BR18:CL18" si="28">IFERROR((BR16/BR17)*1000,"")</f>
        <v/>
      </c>
      <c r="BS18" s="531" t="str">
        <f t="shared" si="28"/>
        <v/>
      </c>
      <c r="BT18" s="531" t="str">
        <f t="shared" si="28"/>
        <v/>
      </c>
      <c r="BU18" s="531" t="str">
        <f t="shared" si="28"/>
        <v/>
      </c>
      <c r="BV18" s="531" t="str">
        <f t="shared" si="28"/>
        <v/>
      </c>
      <c r="BW18" s="531" t="str">
        <f t="shared" si="28"/>
        <v/>
      </c>
      <c r="BX18" s="531" t="str">
        <f t="shared" si="28"/>
        <v/>
      </c>
      <c r="BY18" s="531" t="str">
        <f t="shared" si="28"/>
        <v/>
      </c>
      <c r="BZ18" s="531" t="str">
        <f t="shared" si="28"/>
        <v/>
      </c>
      <c r="CA18" s="531" t="str">
        <f t="shared" si="28"/>
        <v/>
      </c>
      <c r="CB18" s="531" t="str">
        <f t="shared" si="28"/>
        <v/>
      </c>
      <c r="CC18" s="531" t="str">
        <f t="shared" si="28"/>
        <v/>
      </c>
      <c r="CD18" s="531" t="str">
        <f t="shared" si="28"/>
        <v/>
      </c>
      <c r="CE18" s="531" t="str">
        <f t="shared" si="28"/>
        <v/>
      </c>
      <c r="CF18" s="531" t="str">
        <f t="shared" si="28"/>
        <v/>
      </c>
      <c r="CG18" s="531" t="str">
        <f t="shared" si="28"/>
        <v/>
      </c>
      <c r="CH18" s="531" t="str">
        <f t="shared" si="28"/>
        <v/>
      </c>
      <c r="CI18" s="531" t="str">
        <f t="shared" si="28"/>
        <v/>
      </c>
      <c r="CJ18" s="531" t="str">
        <f t="shared" si="28"/>
        <v/>
      </c>
      <c r="CK18" s="531" t="str">
        <f t="shared" si="28"/>
        <v/>
      </c>
      <c r="CL18" s="531" t="str">
        <f t="shared" si="28"/>
        <v/>
      </c>
      <c r="CN18" s="613" t="str">
        <f t="shared" si="24"/>
        <v/>
      </c>
      <c r="CO18" s="613" t="str">
        <f t="shared" si="25"/>
        <v/>
      </c>
      <c r="CP18" s="613" t="str">
        <f t="shared" si="26"/>
        <v/>
      </c>
    </row>
    <row r="19" spans="1:94" outlineLevel="1">
      <c r="A19" s="543"/>
      <c r="B19" s="543" t="s">
        <v>124</v>
      </c>
      <c r="C19" s="538" t="s">
        <v>301</v>
      </c>
      <c r="D19" s="538" t="s">
        <v>302</v>
      </c>
      <c r="E19" s="544" t="str">
        <f t="shared" ref="E19:AJ19" ca="1" si="29">IFERROR(IF((INDEX($E10:$CL17,8,MATCH(base,$E10:$CL10,0))/INDEX($E10:$CL17,3,MATCH(sector_base,$E10:$CL10,0))/(E17/E12))&gt;=1,1,(INDEX($E10:$CL17,8,MATCH(base,$E10:$CL10,0))/INDEX($E10:$CL17,3,MATCH(base,$E10:$CL10,0))/(E17/E12))),"")</f>
        <v/>
      </c>
      <c r="F19" s="545" t="str">
        <f t="shared" ca="1" si="29"/>
        <v/>
      </c>
      <c r="G19" s="545" t="str">
        <f t="shared" ca="1" si="29"/>
        <v/>
      </c>
      <c r="H19" s="545" t="str">
        <f t="shared" ca="1" si="29"/>
        <v/>
      </c>
      <c r="I19" s="545" t="str">
        <f t="shared" ca="1" si="29"/>
        <v/>
      </c>
      <c r="J19" s="545" t="str">
        <f t="shared" ca="1" si="29"/>
        <v/>
      </c>
      <c r="K19" s="545" t="str">
        <f t="shared" ca="1" si="29"/>
        <v/>
      </c>
      <c r="L19" s="545" t="str">
        <f t="shared" ca="1" si="29"/>
        <v/>
      </c>
      <c r="M19" s="545" t="str">
        <f t="shared" ca="1" si="29"/>
        <v/>
      </c>
      <c r="N19" s="545" t="str">
        <f t="shared" ca="1" si="29"/>
        <v/>
      </c>
      <c r="O19" s="545" t="str">
        <f t="shared" ca="1" si="29"/>
        <v/>
      </c>
      <c r="P19" s="545" t="str">
        <f t="shared" ca="1" si="29"/>
        <v/>
      </c>
      <c r="Q19" s="545" t="str">
        <f t="shared" ca="1" si="29"/>
        <v/>
      </c>
      <c r="R19" s="545" t="str">
        <f t="shared" ca="1" si="29"/>
        <v/>
      </c>
      <c r="S19" s="545" t="str">
        <f t="shared" ca="1" si="29"/>
        <v/>
      </c>
      <c r="T19" s="545" t="str">
        <f t="shared" ca="1" si="29"/>
        <v/>
      </c>
      <c r="U19" s="545" t="str">
        <f t="shared" ca="1" si="29"/>
        <v/>
      </c>
      <c r="V19" s="545" t="str">
        <f t="shared" ca="1" si="29"/>
        <v/>
      </c>
      <c r="W19" s="545" t="str">
        <f t="shared" ca="1" si="29"/>
        <v/>
      </c>
      <c r="X19" s="545" t="str">
        <f t="shared" ca="1" si="29"/>
        <v/>
      </c>
      <c r="Y19" s="545" t="str">
        <f t="shared" ca="1" si="29"/>
        <v/>
      </c>
      <c r="Z19" s="545" t="str">
        <f t="shared" ca="1" si="29"/>
        <v/>
      </c>
      <c r="AA19" s="545" t="str">
        <f t="shared" ca="1" si="29"/>
        <v/>
      </c>
      <c r="AB19" s="545" t="str">
        <f t="shared" ca="1" si="29"/>
        <v/>
      </c>
      <c r="AC19" s="545" t="str">
        <f t="shared" ca="1" si="29"/>
        <v/>
      </c>
      <c r="AD19" s="545" t="str">
        <f t="shared" ca="1" si="29"/>
        <v/>
      </c>
      <c r="AE19" s="545" t="str">
        <f t="shared" ca="1" si="29"/>
        <v/>
      </c>
      <c r="AF19" s="545" t="str">
        <f t="shared" ca="1" si="29"/>
        <v/>
      </c>
      <c r="AG19" s="545" t="str">
        <f t="shared" ca="1" si="29"/>
        <v/>
      </c>
      <c r="AH19" s="545" t="str">
        <f t="shared" ca="1" si="29"/>
        <v/>
      </c>
      <c r="AI19" s="545" t="str">
        <f t="shared" ca="1" si="29"/>
        <v/>
      </c>
      <c r="AJ19" s="545" t="str">
        <f t="shared" ca="1" si="29"/>
        <v/>
      </c>
      <c r="AK19" s="545" t="str">
        <f t="shared" ref="AK19:BP19" ca="1" si="30">IFERROR(IF((INDEX($E10:$CL17,8,MATCH(base,$E10:$CL10,0))/INDEX($E10:$CL17,3,MATCH(sector_base,$E10:$CL10,0))/(AK17/AK12))&gt;=1,1,(INDEX($E10:$CL17,8,MATCH(base,$E10:$CL10,0))/INDEX($E10:$CL17,3,MATCH(base,$E10:$CL10,0))/(AK17/AK12))),"")</f>
        <v/>
      </c>
      <c r="AL19" s="545" t="str">
        <f t="shared" ca="1" si="30"/>
        <v/>
      </c>
      <c r="AM19" s="545" t="str">
        <f t="shared" ca="1" si="30"/>
        <v/>
      </c>
      <c r="AN19" s="545" t="str">
        <f t="shared" ca="1" si="30"/>
        <v/>
      </c>
      <c r="AO19" s="545" t="str">
        <f t="shared" ca="1" si="30"/>
        <v/>
      </c>
      <c r="AP19" s="545" t="str">
        <f t="shared" ca="1" si="30"/>
        <v/>
      </c>
      <c r="AQ19" s="545" t="str">
        <f t="shared" ca="1" si="30"/>
        <v/>
      </c>
      <c r="AR19" s="545" t="str">
        <f t="shared" ca="1" si="30"/>
        <v/>
      </c>
      <c r="AS19" s="545" t="str">
        <f t="shared" ca="1" si="30"/>
        <v/>
      </c>
      <c r="AT19" s="545" t="str">
        <f t="shared" ca="1" si="30"/>
        <v/>
      </c>
      <c r="AU19" s="545" t="str">
        <f t="shared" ca="1" si="30"/>
        <v/>
      </c>
      <c r="AV19" s="545" t="str">
        <f t="shared" ca="1" si="30"/>
        <v/>
      </c>
      <c r="AW19" s="545" t="str">
        <f t="shared" ca="1" si="30"/>
        <v/>
      </c>
      <c r="AX19" s="545" t="str">
        <f t="shared" ca="1" si="30"/>
        <v/>
      </c>
      <c r="AY19" s="545" t="str">
        <f t="shared" ca="1" si="30"/>
        <v/>
      </c>
      <c r="AZ19" s="545" t="str">
        <f t="shared" ca="1" si="30"/>
        <v/>
      </c>
      <c r="BA19" s="545" t="str">
        <f t="shared" ca="1" si="30"/>
        <v/>
      </c>
      <c r="BB19" s="545" t="str">
        <f t="shared" ca="1" si="30"/>
        <v/>
      </c>
      <c r="BC19" s="545" t="str">
        <f t="shared" ca="1" si="30"/>
        <v/>
      </c>
      <c r="BD19" s="545" t="str">
        <f t="shared" ca="1" si="30"/>
        <v/>
      </c>
      <c r="BE19" s="545" t="str">
        <f t="shared" ca="1" si="30"/>
        <v/>
      </c>
      <c r="BF19" s="545" t="str">
        <f t="shared" ca="1" si="30"/>
        <v/>
      </c>
      <c r="BG19" s="545" t="str">
        <f t="shared" ca="1" si="30"/>
        <v/>
      </c>
      <c r="BH19" s="545" t="str">
        <f t="shared" ca="1" si="30"/>
        <v/>
      </c>
      <c r="BI19" s="545" t="str">
        <f t="shared" ca="1" si="30"/>
        <v/>
      </c>
      <c r="BJ19" s="545" t="str">
        <f t="shared" ca="1" si="30"/>
        <v/>
      </c>
      <c r="BK19" s="545" t="str">
        <f t="shared" ca="1" si="30"/>
        <v/>
      </c>
      <c r="BL19" s="545" t="str">
        <f t="shared" ca="1" si="30"/>
        <v/>
      </c>
      <c r="BM19" s="545" t="str">
        <f t="shared" ca="1" si="30"/>
        <v/>
      </c>
      <c r="BN19" s="545" t="str">
        <f t="shared" ca="1" si="30"/>
        <v/>
      </c>
      <c r="BO19" s="545" t="str">
        <f t="shared" ca="1" si="30"/>
        <v/>
      </c>
      <c r="BP19" s="545" t="str">
        <f t="shared" ca="1" si="30"/>
        <v/>
      </c>
      <c r="BQ19" s="545" t="str">
        <f t="shared" ref="BQ19:CL19" ca="1" si="31">IFERROR(IF((INDEX($E10:$CL17,8,MATCH(base,$E10:$CL10,0))/INDEX($E10:$CL17,3,MATCH(sector_base,$E10:$CL10,0))/(BQ17/BQ12))&gt;=1,1,(INDEX($E10:$CL17,8,MATCH(base,$E10:$CL10,0))/INDEX($E10:$CL17,3,MATCH(base,$E10:$CL10,0))/(BQ17/BQ12))),"")</f>
        <v/>
      </c>
      <c r="BR19" s="545" t="str">
        <f t="shared" ca="1" si="31"/>
        <v/>
      </c>
      <c r="BS19" s="545" t="str">
        <f t="shared" ca="1" si="31"/>
        <v/>
      </c>
      <c r="BT19" s="545" t="str">
        <f t="shared" ca="1" si="31"/>
        <v/>
      </c>
      <c r="BU19" s="545" t="str">
        <f t="shared" ca="1" si="31"/>
        <v/>
      </c>
      <c r="BV19" s="545" t="str">
        <f t="shared" ca="1" si="31"/>
        <v/>
      </c>
      <c r="BW19" s="545" t="str">
        <f t="shared" ca="1" si="31"/>
        <v/>
      </c>
      <c r="BX19" s="545" t="str">
        <f t="shared" ca="1" si="31"/>
        <v/>
      </c>
      <c r="BY19" s="545" t="str">
        <f t="shared" ca="1" si="31"/>
        <v/>
      </c>
      <c r="BZ19" s="545" t="str">
        <f t="shared" ca="1" si="31"/>
        <v/>
      </c>
      <c r="CA19" s="545" t="str">
        <f t="shared" ca="1" si="31"/>
        <v/>
      </c>
      <c r="CB19" s="545" t="str">
        <f t="shared" ca="1" si="31"/>
        <v/>
      </c>
      <c r="CC19" s="545" t="str">
        <f t="shared" ca="1" si="31"/>
        <v/>
      </c>
      <c r="CD19" s="545" t="str">
        <f t="shared" ca="1" si="31"/>
        <v/>
      </c>
      <c r="CE19" s="545" t="str">
        <f t="shared" ca="1" si="31"/>
        <v/>
      </c>
      <c r="CF19" s="545" t="str">
        <f t="shared" ca="1" si="31"/>
        <v/>
      </c>
      <c r="CG19" s="545" t="str">
        <f t="shared" ca="1" si="31"/>
        <v/>
      </c>
      <c r="CH19" s="545" t="str">
        <f t="shared" ca="1" si="31"/>
        <v/>
      </c>
      <c r="CI19" s="545" t="str">
        <f t="shared" ca="1" si="31"/>
        <v/>
      </c>
      <c r="CJ19" s="545" t="str">
        <f t="shared" ca="1" si="31"/>
        <v/>
      </c>
      <c r="CK19" s="545" t="str">
        <f t="shared" ca="1" si="31"/>
        <v/>
      </c>
      <c r="CL19" s="545" t="str">
        <f t="shared" ca="1" si="31"/>
        <v/>
      </c>
      <c r="CN19" s="619" t="str">
        <f ca="1">IFERROR((Y19/H19)^(1/17)-1,"")</f>
        <v/>
      </c>
      <c r="CO19" s="619" t="str">
        <f ca="1">IFERROR((AN19/Y19)^(1/15)-1,"")</f>
        <v/>
      </c>
      <c r="CP19" s="619" t="str">
        <f ca="1">IFERROR((AN19/H19)^(1/32)-1,"")</f>
        <v/>
      </c>
    </row>
    <row r="20" spans="1:94" outlineLevel="1">
      <c r="A20" s="534"/>
      <c r="B20" s="534" t="s">
        <v>27</v>
      </c>
      <c r="C20" s="535" t="s">
        <v>303</v>
      </c>
      <c r="D20" s="535" t="s">
        <v>304</v>
      </c>
      <c r="E20" s="536" t="str">
        <f t="shared" ref="E20:BP20" ca="1" si="32">IFERROR(IF(INDEX($E10:$CL19,9,MATCH(base,$E10:$CL10,0))-E15&lt;0,"N/A",INDEX($E10:$CL19,9,MATCH(base,$E10:$CL10,0))-E15),"")</f>
        <v/>
      </c>
      <c r="F20" s="537" t="str">
        <f t="shared" ca="1" si="32"/>
        <v/>
      </c>
      <c r="G20" s="537" t="str">
        <f t="shared" ca="1" si="32"/>
        <v/>
      </c>
      <c r="H20" s="537" t="str">
        <f t="shared" ca="1" si="32"/>
        <v/>
      </c>
      <c r="I20" s="537" t="str">
        <f t="shared" ca="1" si="32"/>
        <v/>
      </c>
      <c r="J20" s="537" t="str">
        <f t="shared" ca="1" si="32"/>
        <v/>
      </c>
      <c r="K20" s="537" t="str">
        <f t="shared" ca="1" si="32"/>
        <v/>
      </c>
      <c r="L20" s="537" t="str">
        <f t="shared" ca="1" si="32"/>
        <v/>
      </c>
      <c r="M20" s="537" t="str">
        <f t="shared" ca="1" si="32"/>
        <v/>
      </c>
      <c r="N20" s="537" t="str">
        <f t="shared" ca="1" si="32"/>
        <v/>
      </c>
      <c r="O20" s="537" t="str">
        <f t="shared" ca="1" si="32"/>
        <v/>
      </c>
      <c r="P20" s="537" t="str">
        <f t="shared" ca="1" si="32"/>
        <v/>
      </c>
      <c r="Q20" s="537" t="str">
        <f t="shared" ca="1" si="32"/>
        <v/>
      </c>
      <c r="R20" s="537" t="str">
        <f t="shared" ca="1" si="32"/>
        <v/>
      </c>
      <c r="S20" s="537" t="str">
        <f t="shared" ca="1" si="32"/>
        <v/>
      </c>
      <c r="T20" s="537" t="str">
        <f t="shared" ca="1" si="32"/>
        <v/>
      </c>
      <c r="U20" s="537" t="str">
        <f t="shared" ca="1" si="32"/>
        <v/>
      </c>
      <c r="V20" s="537" t="str">
        <f t="shared" ca="1" si="32"/>
        <v/>
      </c>
      <c r="W20" s="537" t="str">
        <f t="shared" ca="1" si="32"/>
        <v/>
      </c>
      <c r="X20" s="537" t="str">
        <f t="shared" ca="1" si="32"/>
        <v/>
      </c>
      <c r="Y20" s="537" t="str">
        <f t="shared" ca="1" si="32"/>
        <v/>
      </c>
      <c r="Z20" s="537" t="str">
        <f t="shared" ca="1" si="32"/>
        <v/>
      </c>
      <c r="AA20" s="537" t="str">
        <f t="shared" ca="1" si="32"/>
        <v/>
      </c>
      <c r="AB20" s="537" t="str">
        <f t="shared" ca="1" si="32"/>
        <v/>
      </c>
      <c r="AC20" s="537" t="str">
        <f t="shared" ca="1" si="32"/>
        <v/>
      </c>
      <c r="AD20" s="537" t="str">
        <f t="shared" ca="1" si="32"/>
        <v/>
      </c>
      <c r="AE20" s="537" t="str">
        <f t="shared" ca="1" si="32"/>
        <v/>
      </c>
      <c r="AF20" s="537" t="str">
        <f t="shared" ca="1" si="32"/>
        <v/>
      </c>
      <c r="AG20" s="537" t="str">
        <f t="shared" ca="1" si="32"/>
        <v/>
      </c>
      <c r="AH20" s="537" t="str">
        <f t="shared" ca="1" si="32"/>
        <v/>
      </c>
      <c r="AI20" s="537" t="str">
        <f t="shared" ca="1" si="32"/>
        <v/>
      </c>
      <c r="AJ20" s="537" t="str">
        <f t="shared" ca="1" si="32"/>
        <v/>
      </c>
      <c r="AK20" s="537" t="str">
        <f t="shared" ca="1" si="32"/>
        <v/>
      </c>
      <c r="AL20" s="537" t="str">
        <f t="shared" ca="1" si="32"/>
        <v/>
      </c>
      <c r="AM20" s="537" t="str">
        <f t="shared" ca="1" si="32"/>
        <v/>
      </c>
      <c r="AN20" s="537" t="str">
        <f t="shared" ca="1" si="32"/>
        <v/>
      </c>
      <c r="AO20" s="537" t="str">
        <f t="shared" ca="1" si="32"/>
        <v/>
      </c>
      <c r="AP20" s="537" t="str">
        <f t="shared" ca="1" si="32"/>
        <v/>
      </c>
      <c r="AQ20" s="537" t="str">
        <f t="shared" ca="1" si="32"/>
        <v/>
      </c>
      <c r="AR20" s="537" t="str">
        <f t="shared" ca="1" si="32"/>
        <v/>
      </c>
      <c r="AS20" s="537" t="str">
        <f t="shared" ca="1" si="32"/>
        <v/>
      </c>
      <c r="AT20" s="537" t="str">
        <f t="shared" ca="1" si="32"/>
        <v/>
      </c>
      <c r="AU20" s="537" t="str">
        <f t="shared" ca="1" si="32"/>
        <v/>
      </c>
      <c r="AV20" s="537" t="str">
        <f t="shared" ca="1" si="32"/>
        <v/>
      </c>
      <c r="AW20" s="537" t="str">
        <f t="shared" ca="1" si="32"/>
        <v/>
      </c>
      <c r="AX20" s="537" t="str">
        <f t="shared" ca="1" si="32"/>
        <v/>
      </c>
      <c r="AY20" s="537" t="str">
        <f t="shared" ca="1" si="32"/>
        <v/>
      </c>
      <c r="AZ20" s="537" t="str">
        <f t="shared" ca="1" si="32"/>
        <v/>
      </c>
      <c r="BA20" s="537" t="str">
        <f t="shared" ca="1" si="32"/>
        <v/>
      </c>
      <c r="BB20" s="537" t="str">
        <f t="shared" ca="1" si="32"/>
        <v/>
      </c>
      <c r="BC20" s="537" t="str">
        <f t="shared" ca="1" si="32"/>
        <v/>
      </c>
      <c r="BD20" s="537" t="str">
        <f t="shared" ca="1" si="32"/>
        <v/>
      </c>
      <c r="BE20" s="537" t="str">
        <f t="shared" ca="1" si="32"/>
        <v/>
      </c>
      <c r="BF20" s="537" t="str">
        <f t="shared" ca="1" si="32"/>
        <v/>
      </c>
      <c r="BG20" s="537" t="str">
        <f t="shared" ca="1" si="32"/>
        <v/>
      </c>
      <c r="BH20" s="537" t="str">
        <f t="shared" ca="1" si="32"/>
        <v/>
      </c>
      <c r="BI20" s="537" t="str">
        <f t="shared" ca="1" si="32"/>
        <v/>
      </c>
      <c r="BJ20" s="537" t="str">
        <f t="shared" ca="1" si="32"/>
        <v/>
      </c>
      <c r="BK20" s="537" t="str">
        <f t="shared" ca="1" si="32"/>
        <v/>
      </c>
      <c r="BL20" s="537" t="str">
        <f t="shared" ca="1" si="32"/>
        <v/>
      </c>
      <c r="BM20" s="537" t="str">
        <f t="shared" ca="1" si="32"/>
        <v/>
      </c>
      <c r="BN20" s="537" t="str">
        <f t="shared" ca="1" si="32"/>
        <v/>
      </c>
      <c r="BO20" s="537" t="str">
        <f t="shared" ca="1" si="32"/>
        <v/>
      </c>
      <c r="BP20" s="537" t="str">
        <f t="shared" ca="1" si="32"/>
        <v/>
      </c>
      <c r="BQ20" s="537" t="str">
        <f t="shared" ref="BQ20:CL20" ca="1" si="33">IFERROR(IF(INDEX($E10:$CL19,9,MATCH(base,$E10:$CL10,0))-BQ15&lt;0,"N/A",INDEX($E10:$CL19,9,MATCH(base,$E10:$CL10,0))-BQ15),"")</f>
        <v/>
      </c>
      <c r="BR20" s="537" t="str">
        <f t="shared" ca="1" si="33"/>
        <v/>
      </c>
      <c r="BS20" s="537" t="str">
        <f t="shared" ca="1" si="33"/>
        <v/>
      </c>
      <c r="BT20" s="537" t="str">
        <f t="shared" ca="1" si="33"/>
        <v/>
      </c>
      <c r="BU20" s="537" t="str">
        <f t="shared" ca="1" si="33"/>
        <v/>
      </c>
      <c r="BV20" s="537" t="str">
        <f t="shared" ca="1" si="33"/>
        <v/>
      </c>
      <c r="BW20" s="537" t="str">
        <f t="shared" ca="1" si="33"/>
        <v/>
      </c>
      <c r="BX20" s="537" t="str">
        <f t="shared" ca="1" si="33"/>
        <v/>
      </c>
      <c r="BY20" s="537" t="str">
        <f t="shared" ca="1" si="33"/>
        <v/>
      </c>
      <c r="BZ20" s="537" t="str">
        <f t="shared" ca="1" si="33"/>
        <v/>
      </c>
      <c r="CA20" s="537" t="str">
        <f t="shared" ca="1" si="33"/>
        <v/>
      </c>
      <c r="CB20" s="537" t="str">
        <f t="shared" ca="1" si="33"/>
        <v/>
      </c>
      <c r="CC20" s="537" t="str">
        <f t="shared" ca="1" si="33"/>
        <v/>
      </c>
      <c r="CD20" s="537" t="str">
        <f t="shared" ca="1" si="33"/>
        <v/>
      </c>
      <c r="CE20" s="537" t="str">
        <f t="shared" ca="1" si="33"/>
        <v/>
      </c>
      <c r="CF20" s="537" t="str">
        <f t="shared" ca="1" si="33"/>
        <v/>
      </c>
      <c r="CG20" s="537" t="str">
        <f t="shared" ca="1" si="33"/>
        <v/>
      </c>
      <c r="CH20" s="537" t="str">
        <f t="shared" ca="1" si="33"/>
        <v/>
      </c>
      <c r="CI20" s="537" t="str">
        <f t="shared" ca="1" si="33"/>
        <v/>
      </c>
      <c r="CJ20" s="537" t="str">
        <f t="shared" ca="1" si="33"/>
        <v/>
      </c>
      <c r="CK20" s="537" t="str">
        <f t="shared" ca="1" si="33"/>
        <v/>
      </c>
      <c r="CL20" s="537" t="str">
        <f t="shared" ca="1" si="33"/>
        <v/>
      </c>
      <c r="CN20" s="618" t="str">
        <f ca="1">IFERROR((Y20/H20)^(1/17)-1,"")</f>
        <v/>
      </c>
      <c r="CO20" s="618" t="str">
        <f ca="1">IFERROR((AN20/Y20)^(1/15)-1,"")</f>
        <v/>
      </c>
      <c r="CP20" s="618" t="str">
        <f ca="1">IFERROR((AN20/H20)^(1/32)-1,"")</f>
        <v/>
      </c>
    </row>
    <row r="21" spans="1:94" outlineLevel="1">
      <c r="A21" s="538" t="s">
        <v>255</v>
      </c>
      <c r="B21" s="538" t="s">
        <v>256</v>
      </c>
      <c r="C21" s="538" t="s">
        <v>305</v>
      </c>
      <c r="D21" s="538" t="s">
        <v>306</v>
      </c>
      <c r="E21" s="540" t="e">
        <f t="shared" ref="E21:N21" si="34">IF(E8&lt;sector_base,NA(),IF($B$6="ON", IF(E8&gt;=covid_start, IF(E8&lt;covid_recovery,NA(),IFERROR(E15+(E14*E20*E19),0)),IFERROR(E15+(E14*E20*E19),0)),IFERROR(E15+(E14*E20*E19),0)))</f>
        <v>#N/A</v>
      </c>
      <c r="F21" s="540" t="e">
        <f t="shared" si="34"/>
        <v>#N/A</v>
      </c>
      <c r="G21" s="540" t="e">
        <f t="shared" si="34"/>
        <v>#N/A</v>
      </c>
      <c r="H21" s="540" t="e">
        <f>IF(H8&lt;sector_base,NA(),IF($B$6="ON", IF(H8&gt;=covid_start, IF(H8&lt;covid_recovery,NA(),IFERROR(H15+(H14*H20*H19),0)),IFERROR(H15+(H14*H20*H19),0)),IFERROR(H15+(H14*H20*H19),0)))</f>
        <v>#N/A</v>
      </c>
      <c r="I21" s="540">
        <f ca="1">IF(I8&lt;sector_base,NA(),IF($B$6="ON", IF(I8&gt;=covid_start, IF(I8&lt;covid_recovery,NA(),IFERROR(I15+(I14*I20*I19),0)),IFERROR(I15+(I14*I20*I19),0)),IFERROR(I15+(I14*I20*I19),0)))</f>
        <v>0</v>
      </c>
      <c r="J21" s="540" t="e">
        <f t="shared" si="34"/>
        <v>#N/A</v>
      </c>
      <c r="K21" s="540" t="e">
        <f t="shared" si="34"/>
        <v>#N/A</v>
      </c>
      <c r="L21" s="540" t="e">
        <f t="shared" si="34"/>
        <v>#N/A</v>
      </c>
      <c r="M21" s="540">
        <f t="shared" ca="1" si="34"/>
        <v>0</v>
      </c>
      <c r="N21" s="540">
        <f t="shared" ca="1" si="34"/>
        <v>0</v>
      </c>
      <c r="O21" s="540">
        <f t="shared" ref="O21:AT21" ca="1" si="35">IF(O8&lt;sector_base,NA(),IF($B$6="ON", IF(O8&gt;=covid_start, IF(O8&lt;covid_recovery,NA(),IFERROR(O15+(O14*O20*O19),0)),IFERROR(O15+(O14*O20*O19),0)),IFERROR(O15+(O14*O20*O19),0)))</f>
        <v>0</v>
      </c>
      <c r="P21" s="540">
        <f t="shared" ca="1" si="35"/>
        <v>0</v>
      </c>
      <c r="Q21" s="540">
        <f t="shared" ca="1" si="35"/>
        <v>0</v>
      </c>
      <c r="R21" s="540">
        <f t="shared" ca="1" si="35"/>
        <v>0</v>
      </c>
      <c r="S21" s="540">
        <f t="shared" ca="1" si="35"/>
        <v>0</v>
      </c>
      <c r="T21" s="540">
        <f t="shared" ca="1" si="35"/>
        <v>0</v>
      </c>
      <c r="U21" s="540">
        <f t="shared" ca="1" si="35"/>
        <v>0</v>
      </c>
      <c r="V21" s="540">
        <f t="shared" ca="1" si="35"/>
        <v>0</v>
      </c>
      <c r="W21" s="540">
        <f t="shared" ca="1" si="35"/>
        <v>0</v>
      </c>
      <c r="X21" s="540">
        <f t="shared" ca="1" si="35"/>
        <v>0</v>
      </c>
      <c r="Y21" s="540">
        <f t="shared" ca="1" si="35"/>
        <v>0</v>
      </c>
      <c r="Z21" s="540">
        <f t="shared" ca="1" si="35"/>
        <v>0</v>
      </c>
      <c r="AA21" s="540">
        <f t="shared" ca="1" si="35"/>
        <v>0</v>
      </c>
      <c r="AB21" s="540">
        <f t="shared" ca="1" si="35"/>
        <v>0</v>
      </c>
      <c r="AC21" s="540">
        <f t="shared" ca="1" si="35"/>
        <v>0</v>
      </c>
      <c r="AD21" s="540">
        <f t="shared" ca="1" si="35"/>
        <v>0</v>
      </c>
      <c r="AE21" s="540">
        <f t="shared" ca="1" si="35"/>
        <v>0</v>
      </c>
      <c r="AF21" s="540">
        <f t="shared" ca="1" si="35"/>
        <v>0</v>
      </c>
      <c r="AG21" s="540">
        <f t="shared" ca="1" si="35"/>
        <v>0</v>
      </c>
      <c r="AH21" s="540">
        <f t="shared" ca="1" si="35"/>
        <v>0</v>
      </c>
      <c r="AI21" s="540">
        <f t="shared" ca="1" si="35"/>
        <v>0</v>
      </c>
      <c r="AJ21" s="540">
        <f t="shared" ca="1" si="35"/>
        <v>0</v>
      </c>
      <c r="AK21" s="540">
        <f t="shared" ca="1" si="35"/>
        <v>0</v>
      </c>
      <c r="AL21" s="540">
        <f t="shared" ca="1" si="35"/>
        <v>0</v>
      </c>
      <c r="AM21" s="540">
        <f t="shared" ca="1" si="35"/>
        <v>0</v>
      </c>
      <c r="AN21" s="540">
        <f t="shared" ca="1" si="35"/>
        <v>0</v>
      </c>
      <c r="AO21" s="540">
        <f t="shared" ca="1" si="35"/>
        <v>0</v>
      </c>
      <c r="AP21" s="540">
        <f t="shared" ca="1" si="35"/>
        <v>0</v>
      </c>
      <c r="AQ21" s="540">
        <f t="shared" ca="1" si="35"/>
        <v>0</v>
      </c>
      <c r="AR21" s="540">
        <f t="shared" ca="1" si="35"/>
        <v>0</v>
      </c>
      <c r="AS21" s="540">
        <f t="shared" ca="1" si="35"/>
        <v>0</v>
      </c>
      <c r="AT21" s="540">
        <f t="shared" ca="1" si="35"/>
        <v>0</v>
      </c>
      <c r="AU21" s="540">
        <f t="shared" ref="AU21:BZ21" ca="1" si="36">IF(AU8&lt;sector_base,NA(),IF($B$6="ON", IF(AU8&gt;=covid_start, IF(AU8&lt;covid_recovery,NA(),IFERROR(AU15+(AU14*AU20*AU19),0)),IFERROR(AU15+(AU14*AU20*AU19),0)),IFERROR(AU15+(AU14*AU20*AU19),0)))</f>
        <v>0</v>
      </c>
      <c r="AV21" s="540">
        <f t="shared" ca="1" si="36"/>
        <v>0</v>
      </c>
      <c r="AW21" s="540">
        <f t="shared" ca="1" si="36"/>
        <v>0</v>
      </c>
      <c r="AX21" s="540">
        <f t="shared" ca="1" si="36"/>
        <v>0</v>
      </c>
      <c r="AY21" s="540">
        <f t="shared" ca="1" si="36"/>
        <v>0</v>
      </c>
      <c r="AZ21" s="540">
        <f t="shared" ca="1" si="36"/>
        <v>0</v>
      </c>
      <c r="BA21" s="540">
        <f t="shared" ca="1" si="36"/>
        <v>0</v>
      </c>
      <c r="BB21" s="540">
        <f t="shared" ca="1" si="36"/>
        <v>0</v>
      </c>
      <c r="BC21" s="540">
        <f t="shared" ca="1" si="36"/>
        <v>0</v>
      </c>
      <c r="BD21" s="540">
        <f t="shared" ca="1" si="36"/>
        <v>0</v>
      </c>
      <c r="BE21" s="540">
        <f t="shared" ca="1" si="36"/>
        <v>0</v>
      </c>
      <c r="BF21" s="540">
        <f t="shared" ca="1" si="36"/>
        <v>0</v>
      </c>
      <c r="BG21" s="540">
        <f t="shared" ca="1" si="36"/>
        <v>0</v>
      </c>
      <c r="BH21" s="540">
        <f t="shared" ca="1" si="36"/>
        <v>0</v>
      </c>
      <c r="BI21" s="540">
        <f t="shared" ca="1" si="36"/>
        <v>0</v>
      </c>
      <c r="BJ21" s="540">
        <f t="shared" ca="1" si="36"/>
        <v>0</v>
      </c>
      <c r="BK21" s="540">
        <f t="shared" ca="1" si="36"/>
        <v>0</v>
      </c>
      <c r="BL21" s="540">
        <f t="shared" ca="1" si="36"/>
        <v>0</v>
      </c>
      <c r="BM21" s="540">
        <f t="shared" ca="1" si="36"/>
        <v>0</v>
      </c>
      <c r="BN21" s="540">
        <f t="shared" ca="1" si="36"/>
        <v>0</v>
      </c>
      <c r="BO21" s="540">
        <f t="shared" ca="1" si="36"/>
        <v>0</v>
      </c>
      <c r="BP21" s="540">
        <f t="shared" ca="1" si="36"/>
        <v>0</v>
      </c>
      <c r="BQ21" s="540">
        <f t="shared" ca="1" si="36"/>
        <v>0</v>
      </c>
      <c r="BR21" s="540">
        <f t="shared" ca="1" si="36"/>
        <v>0</v>
      </c>
      <c r="BS21" s="540">
        <f t="shared" ca="1" si="36"/>
        <v>0</v>
      </c>
      <c r="BT21" s="540">
        <f t="shared" ca="1" si="36"/>
        <v>0</v>
      </c>
      <c r="BU21" s="540">
        <f t="shared" ca="1" si="36"/>
        <v>0</v>
      </c>
      <c r="BV21" s="540">
        <f t="shared" ca="1" si="36"/>
        <v>0</v>
      </c>
      <c r="BW21" s="540">
        <f t="shared" ca="1" si="36"/>
        <v>0</v>
      </c>
      <c r="BX21" s="540">
        <f t="shared" ca="1" si="36"/>
        <v>0</v>
      </c>
      <c r="BY21" s="540">
        <f t="shared" ca="1" si="36"/>
        <v>0</v>
      </c>
      <c r="BZ21" s="540">
        <f t="shared" ca="1" si="36"/>
        <v>0</v>
      </c>
      <c r="CA21" s="540">
        <f t="shared" ref="CA21:CL21" ca="1" si="37">IF(CA8&lt;sector_base,NA(),IF($B$6="ON", IF(CA8&gt;=covid_start, IF(CA8&lt;covid_recovery,NA(),IFERROR(CA15+(CA14*CA20*CA19),0)),IFERROR(CA15+(CA14*CA20*CA19),0)),IFERROR(CA15+(CA14*CA20*CA19),0)))</f>
        <v>0</v>
      </c>
      <c r="CB21" s="540">
        <f t="shared" ca="1" si="37"/>
        <v>0</v>
      </c>
      <c r="CC21" s="540">
        <f t="shared" ca="1" si="37"/>
        <v>0</v>
      </c>
      <c r="CD21" s="540">
        <f t="shared" ca="1" si="37"/>
        <v>0</v>
      </c>
      <c r="CE21" s="540">
        <f t="shared" ca="1" si="37"/>
        <v>0</v>
      </c>
      <c r="CF21" s="540">
        <f t="shared" ca="1" si="37"/>
        <v>0</v>
      </c>
      <c r="CG21" s="540">
        <f t="shared" ca="1" si="37"/>
        <v>0</v>
      </c>
      <c r="CH21" s="540">
        <f t="shared" ca="1" si="37"/>
        <v>0</v>
      </c>
      <c r="CI21" s="540">
        <f t="shared" ca="1" si="37"/>
        <v>0</v>
      </c>
      <c r="CJ21" s="540">
        <f t="shared" ca="1" si="37"/>
        <v>0</v>
      </c>
      <c r="CK21" s="540">
        <f t="shared" ca="1" si="37"/>
        <v>0</v>
      </c>
      <c r="CL21" s="540">
        <f t="shared" ca="1" si="37"/>
        <v>0</v>
      </c>
      <c r="CN21" s="619" t="str">
        <f ca="1">IFERROR((Y21/H21)^(1/17)-1,"")</f>
        <v/>
      </c>
      <c r="CO21" s="619" t="str">
        <f ca="1">IFERROR((AN21/Y21)^(1/15)-1,"")</f>
        <v/>
      </c>
      <c r="CP21" s="619" t="str">
        <f ca="1">IFERROR((AN21/H21)^(1/32)-1,"")</f>
        <v/>
      </c>
    </row>
    <row r="22" spans="1:94" outlineLevel="1">
      <c r="A22" s="535" t="s">
        <v>255</v>
      </c>
      <c r="B22" s="535" t="s">
        <v>129</v>
      </c>
      <c r="C22" s="535" t="s">
        <v>307</v>
      </c>
      <c r="D22" s="535"/>
      <c r="E22" s="546" t="e">
        <f>IF(E10=base,E21, IF(E10=target,E21,#N/A))</f>
        <v>#N/A</v>
      </c>
      <c r="F22" s="541" t="e">
        <f t="shared" ref="F22:G22" si="38">IF(F18=base,F21, IF(F18=target,F21,#N/A))</f>
        <v>#N/A</v>
      </c>
      <c r="G22" s="541" t="e">
        <f t="shared" si="38"/>
        <v>#N/A</v>
      </c>
      <c r="H22" s="541" t="e">
        <f>IF(H10=base,H21, IF(H10=target,H21,#N/A))</f>
        <v>#N/A</v>
      </c>
      <c r="I22" s="541">
        <f t="shared" ref="I22:AN22" ca="1" si="39">IF(I10=base,I21, IF(I10=target,I21,#N/A))</f>
        <v>0</v>
      </c>
      <c r="J22" s="541" t="e">
        <f t="shared" si="39"/>
        <v>#N/A</v>
      </c>
      <c r="K22" s="541" t="e">
        <f t="shared" si="39"/>
        <v>#N/A</v>
      </c>
      <c r="L22" s="541" t="e">
        <f t="shared" si="39"/>
        <v>#N/A</v>
      </c>
      <c r="M22" s="541" t="e">
        <f t="shared" si="39"/>
        <v>#N/A</v>
      </c>
      <c r="N22" s="541" t="e">
        <f t="shared" si="39"/>
        <v>#N/A</v>
      </c>
      <c r="O22" s="541" t="e">
        <f t="shared" si="39"/>
        <v>#N/A</v>
      </c>
      <c r="P22" s="541" t="e">
        <f t="shared" si="39"/>
        <v>#N/A</v>
      </c>
      <c r="Q22" s="541" t="e">
        <f t="shared" si="39"/>
        <v>#N/A</v>
      </c>
      <c r="R22" s="541" t="e">
        <f t="shared" si="39"/>
        <v>#N/A</v>
      </c>
      <c r="S22" s="541" t="e">
        <f t="shared" si="39"/>
        <v>#N/A</v>
      </c>
      <c r="T22" s="541" t="e">
        <f t="shared" si="39"/>
        <v>#N/A</v>
      </c>
      <c r="U22" s="541" t="e">
        <f t="shared" si="39"/>
        <v>#N/A</v>
      </c>
      <c r="V22" s="541" t="e">
        <f t="shared" si="39"/>
        <v>#N/A</v>
      </c>
      <c r="W22" s="541" t="e">
        <f t="shared" si="39"/>
        <v>#N/A</v>
      </c>
      <c r="X22" s="541" t="e">
        <f t="shared" si="39"/>
        <v>#N/A</v>
      </c>
      <c r="Y22" s="541" t="e">
        <f>IF(Y10=base,Y21, IF(Y10=target,Y21,#N/A))</f>
        <v>#N/A</v>
      </c>
      <c r="Z22" s="541" t="e">
        <f t="shared" si="39"/>
        <v>#N/A</v>
      </c>
      <c r="AA22" s="541" t="e">
        <f t="shared" si="39"/>
        <v>#N/A</v>
      </c>
      <c r="AB22" s="541" t="e">
        <f t="shared" si="39"/>
        <v>#N/A</v>
      </c>
      <c r="AC22" s="541" t="e">
        <f t="shared" si="39"/>
        <v>#N/A</v>
      </c>
      <c r="AD22" s="541" t="e">
        <f t="shared" si="39"/>
        <v>#N/A</v>
      </c>
      <c r="AE22" s="541" t="e">
        <f t="shared" si="39"/>
        <v>#N/A</v>
      </c>
      <c r="AF22" s="541" t="e">
        <f t="shared" si="39"/>
        <v>#N/A</v>
      </c>
      <c r="AG22" s="541" t="e">
        <f t="shared" si="39"/>
        <v>#N/A</v>
      </c>
      <c r="AH22" s="541" t="e">
        <f t="shared" si="39"/>
        <v>#N/A</v>
      </c>
      <c r="AI22" s="541" t="e">
        <f t="shared" si="39"/>
        <v>#N/A</v>
      </c>
      <c r="AJ22" s="541" t="e">
        <f t="shared" si="39"/>
        <v>#N/A</v>
      </c>
      <c r="AK22" s="541" t="e">
        <f t="shared" si="39"/>
        <v>#N/A</v>
      </c>
      <c r="AL22" s="541" t="e">
        <f t="shared" si="39"/>
        <v>#N/A</v>
      </c>
      <c r="AM22" s="541" t="e">
        <f t="shared" si="39"/>
        <v>#N/A</v>
      </c>
      <c r="AN22" s="541" t="e">
        <f t="shared" si="39"/>
        <v>#N/A</v>
      </c>
      <c r="AO22" s="541">
        <f t="shared" ref="AO22:CL22" ca="1" si="40">IF(AO18=base,AO21, IF(AO18=target,AO21,#N/A))</f>
        <v>0</v>
      </c>
      <c r="AP22" s="541">
        <f t="shared" ca="1" si="40"/>
        <v>0</v>
      </c>
      <c r="AQ22" s="541">
        <f t="shared" ca="1" si="40"/>
        <v>0</v>
      </c>
      <c r="AR22" s="541">
        <f t="shared" ca="1" si="40"/>
        <v>0</v>
      </c>
      <c r="AS22" s="541">
        <f t="shared" ca="1" si="40"/>
        <v>0</v>
      </c>
      <c r="AT22" s="541">
        <f t="shared" ca="1" si="40"/>
        <v>0</v>
      </c>
      <c r="AU22" s="541">
        <f t="shared" ca="1" si="40"/>
        <v>0</v>
      </c>
      <c r="AV22" s="541">
        <f t="shared" ca="1" si="40"/>
        <v>0</v>
      </c>
      <c r="AW22" s="541">
        <f t="shared" ca="1" si="40"/>
        <v>0</v>
      </c>
      <c r="AX22" s="541">
        <f t="shared" ca="1" si="40"/>
        <v>0</v>
      </c>
      <c r="AY22" s="541">
        <f t="shared" ca="1" si="40"/>
        <v>0</v>
      </c>
      <c r="AZ22" s="541">
        <f t="shared" ca="1" si="40"/>
        <v>0</v>
      </c>
      <c r="BA22" s="541">
        <f t="shared" ca="1" si="40"/>
        <v>0</v>
      </c>
      <c r="BB22" s="541">
        <f t="shared" ca="1" si="40"/>
        <v>0</v>
      </c>
      <c r="BC22" s="541">
        <f t="shared" ca="1" si="40"/>
        <v>0</v>
      </c>
      <c r="BD22" s="541">
        <f t="shared" ca="1" si="40"/>
        <v>0</v>
      </c>
      <c r="BE22" s="541">
        <f t="shared" ca="1" si="40"/>
        <v>0</v>
      </c>
      <c r="BF22" s="541">
        <f t="shared" ca="1" si="40"/>
        <v>0</v>
      </c>
      <c r="BG22" s="541">
        <f t="shared" ca="1" si="40"/>
        <v>0</v>
      </c>
      <c r="BH22" s="541">
        <f t="shared" ca="1" si="40"/>
        <v>0</v>
      </c>
      <c r="BI22" s="541">
        <f t="shared" ca="1" si="40"/>
        <v>0</v>
      </c>
      <c r="BJ22" s="541">
        <f t="shared" ca="1" si="40"/>
        <v>0</v>
      </c>
      <c r="BK22" s="541">
        <f t="shared" ca="1" si="40"/>
        <v>0</v>
      </c>
      <c r="BL22" s="541">
        <f t="shared" ca="1" si="40"/>
        <v>0</v>
      </c>
      <c r="BM22" s="541">
        <f t="shared" ca="1" si="40"/>
        <v>0</v>
      </c>
      <c r="BN22" s="541">
        <f t="shared" ca="1" si="40"/>
        <v>0</v>
      </c>
      <c r="BO22" s="541">
        <f t="shared" ca="1" si="40"/>
        <v>0</v>
      </c>
      <c r="BP22" s="541">
        <f t="shared" ca="1" si="40"/>
        <v>0</v>
      </c>
      <c r="BQ22" s="541">
        <f t="shared" ca="1" si="40"/>
        <v>0</v>
      </c>
      <c r="BR22" s="541">
        <f t="shared" ca="1" si="40"/>
        <v>0</v>
      </c>
      <c r="BS22" s="541">
        <f t="shared" ca="1" si="40"/>
        <v>0</v>
      </c>
      <c r="BT22" s="541">
        <f t="shared" ca="1" si="40"/>
        <v>0</v>
      </c>
      <c r="BU22" s="541">
        <f t="shared" ca="1" si="40"/>
        <v>0</v>
      </c>
      <c r="BV22" s="541">
        <f t="shared" ca="1" si="40"/>
        <v>0</v>
      </c>
      <c r="BW22" s="541">
        <f t="shared" ca="1" si="40"/>
        <v>0</v>
      </c>
      <c r="BX22" s="541">
        <f t="shared" ca="1" si="40"/>
        <v>0</v>
      </c>
      <c r="BY22" s="541">
        <f t="shared" ca="1" si="40"/>
        <v>0</v>
      </c>
      <c r="BZ22" s="541">
        <f t="shared" ca="1" si="40"/>
        <v>0</v>
      </c>
      <c r="CA22" s="541">
        <f t="shared" ca="1" si="40"/>
        <v>0</v>
      </c>
      <c r="CB22" s="541">
        <f t="shared" ca="1" si="40"/>
        <v>0</v>
      </c>
      <c r="CC22" s="541">
        <f t="shared" ca="1" si="40"/>
        <v>0</v>
      </c>
      <c r="CD22" s="541">
        <f t="shared" ca="1" si="40"/>
        <v>0</v>
      </c>
      <c r="CE22" s="541">
        <f t="shared" ca="1" si="40"/>
        <v>0</v>
      </c>
      <c r="CF22" s="541">
        <f t="shared" ca="1" si="40"/>
        <v>0</v>
      </c>
      <c r="CG22" s="541">
        <f t="shared" ca="1" si="40"/>
        <v>0</v>
      </c>
      <c r="CH22" s="541">
        <f t="shared" ca="1" si="40"/>
        <v>0</v>
      </c>
      <c r="CI22" s="541">
        <f t="shared" ca="1" si="40"/>
        <v>0</v>
      </c>
      <c r="CJ22" s="541">
        <f t="shared" ca="1" si="40"/>
        <v>0</v>
      </c>
      <c r="CK22" s="541">
        <f t="shared" ca="1" si="40"/>
        <v>0</v>
      </c>
      <c r="CL22" s="541">
        <f t="shared" ca="1" si="40"/>
        <v>0</v>
      </c>
      <c r="CN22" s="620" t="str">
        <f>IFERROR((Y22/H22)^(1/17)-1,"")</f>
        <v/>
      </c>
      <c r="CO22" s="620" t="str">
        <f>IFERROR((AN22/Y22)^(1/15)-1,"")</f>
        <v/>
      </c>
      <c r="CP22" s="620" t="str">
        <f>IFERROR((AN22/H22)^(1/32)-1,"")</f>
        <v/>
      </c>
    </row>
    <row r="23" spans="1:94" outlineLevel="1">
      <c r="A23" s="538" t="s">
        <v>255</v>
      </c>
      <c r="B23" s="538" t="s">
        <v>257</v>
      </c>
      <c r="C23" s="538" t="s">
        <v>308</v>
      </c>
      <c r="D23" s="538" t="s">
        <v>309</v>
      </c>
      <c r="E23" s="539">
        <f>IFERROR((E21*E17)/1000,0)</f>
        <v>0</v>
      </c>
      <c r="F23" s="540">
        <f t="shared" ref="F23:G23" si="41">IFERROR((F21*F17)/1000,0)</f>
        <v>0</v>
      </c>
      <c r="G23" s="540">
        <f t="shared" si="41"/>
        <v>0</v>
      </c>
      <c r="H23" s="540">
        <f>IFERROR((H21*H17)/1000,0)</f>
        <v>0</v>
      </c>
      <c r="I23" s="540">
        <f ca="1">IFERROR((I21*I17)/1000,0)</f>
        <v>0</v>
      </c>
      <c r="J23" s="540">
        <f t="shared" ref="J23:BU23" si="42">IFERROR((J21*J17)/1000,0)</f>
        <v>0</v>
      </c>
      <c r="K23" s="540">
        <f t="shared" si="42"/>
        <v>0</v>
      </c>
      <c r="L23" s="540">
        <f t="shared" si="42"/>
        <v>0</v>
      </c>
      <c r="M23" s="540">
        <f t="shared" ca="1" si="42"/>
        <v>0</v>
      </c>
      <c r="N23" s="540">
        <f t="shared" ca="1" si="42"/>
        <v>0</v>
      </c>
      <c r="O23" s="540">
        <f t="shared" ca="1" si="42"/>
        <v>0</v>
      </c>
      <c r="P23" s="540">
        <f t="shared" ca="1" si="42"/>
        <v>0</v>
      </c>
      <c r="Q23" s="540">
        <f t="shared" ca="1" si="42"/>
        <v>0</v>
      </c>
      <c r="R23" s="540">
        <f t="shared" ca="1" si="42"/>
        <v>0</v>
      </c>
      <c r="S23" s="540">
        <f t="shared" ca="1" si="42"/>
        <v>0</v>
      </c>
      <c r="T23" s="540">
        <f t="shared" ca="1" si="42"/>
        <v>0</v>
      </c>
      <c r="U23" s="540">
        <f t="shared" ca="1" si="42"/>
        <v>0</v>
      </c>
      <c r="V23" s="540">
        <f t="shared" ca="1" si="42"/>
        <v>0</v>
      </c>
      <c r="W23" s="540">
        <f t="shared" ca="1" si="42"/>
        <v>0</v>
      </c>
      <c r="X23" s="540">
        <f t="shared" ca="1" si="42"/>
        <v>0</v>
      </c>
      <c r="Y23" s="540">
        <f t="shared" ca="1" si="42"/>
        <v>0</v>
      </c>
      <c r="Z23" s="540">
        <f t="shared" ca="1" si="42"/>
        <v>0</v>
      </c>
      <c r="AA23" s="540">
        <f t="shared" ca="1" si="42"/>
        <v>0</v>
      </c>
      <c r="AB23" s="540">
        <f t="shared" ca="1" si="42"/>
        <v>0</v>
      </c>
      <c r="AC23" s="540">
        <f t="shared" ca="1" si="42"/>
        <v>0</v>
      </c>
      <c r="AD23" s="540">
        <f t="shared" ca="1" si="42"/>
        <v>0</v>
      </c>
      <c r="AE23" s="540">
        <f t="shared" ca="1" si="42"/>
        <v>0</v>
      </c>
      <c r="AF23" s="540">
        <f t="shared" ca="1" si="42"/>
        <v>0</v>
      </c>
      <c r="AG23" s="540">
        <f t="shared" ca="1" si="42"/>
        <v>0</v>
      </c>
      <c r="AH23" s="540">
        <f t="shared" ca="1" si="42"/>
        <v>0</v>
      </c>
      <c r="AI23" s="540">
        <f t="shared" ca="1" si="42"/>
        <v>0</v>
      </c>
      <c r="AJ23" s="540">
        <f t="shared" ca="1" si="42"/>
        <v>0</v>
      </c>
      <c r="AK23" s="540">
        <f t="shared" ca="1" si="42"/>
        <v>0</v>
      </c>
      <c r="AL23" s="540">
        <f t="shared" ca="1" si="42"/>
        <v>0</v>
      </c>
      <c r="AM23" s="540">
        <f t="shared" ca="1" si="42"/>
        <v>0</v>
      </c>
      <c r="AN23" s="540">
        <f t="shared" ca="1" si="42"/>
        <v>0</v>
      </c>
      <c r="AO23" s="540">
        <f t="shared" ca="1" si="42"/>
        <v>0</v>
      </c>
      <c r="AP23" s="540">
        <f t="shared" ca="1" si="42"/>
        <v>0</v>
      </c>
      <c r="AQ23" s="540">
        <f t="shared" ca="1" si="42"/>
        <v>0</v>
      </c>
      <c r="AR23" s="540">
        <f t="shared" ca="1" si="42"/>
        <v>0</v>
      </c>
      <c r="AS23" s="540">
        <f t="shared" ca="1" si="42"/>
        <v>0</v>
      </c>
      <c r="AT23" s="540">
        <f t="shared" ca="1" si="42"/>
        <v>0</v>
      </c>
      <c r="AU23" s="540">
        <f t="shared" ca="1" si="42"/>
        <v>0</v>
      </c>
      <c r="AV23" s="540">
        <f t="shared" ca="1" si="42"/>
        <v>0</v>
      </c>
      <c r="AW23" s="540">
        <f t="shared" ca="1" si="42"/>
        <v>0</v>
      </c>
      <c r="AX23" s="540">
        <f t="shared" ca="1" si="42"/>
        <v>0</v>
      </c>
      <c r="AY23" s="540">
        <f t="shared" ca="1" si="42"/>
        <v>0</v>
      </c>
      <c r="AZ23" s="540">
        <f t="shared" ca="1" si="42"/>
        <v>0</v>
      </c>
      <c r="BA23" s="540">
        <f t="shared" ca="1" si="42"/>
        <v>0</v>
      </c>
      <c r="BB23" s="540">
        <f t="shared" ca="1" si="42"/>
        <v>0</v>
      </c>
      <c r="BC23" s="540">
        <f t="shared" ca="1" si="42"/>
        <v>0</v>
      </c>
      <c r="BD23" s="540">
        <f t="shared" ca="1" si="42"/>
        <v>0</v>
      </c>
      <c r="BE23" s="540">
        <f t="shared" ca="1" si="42"/>
        <v>0</v>
      </c>
      <c r="BF23" s="540">
        <f t="shared" ca="1" si="42"/>
        <v>0</v>
      </c>
      <c r="BG23" s="540">
        <f t="shared" ca="1" si="42"/>
        <v>0</v>
      </c>
      <c r="BH23" s="540">
        <f t="shared" ca="1" si="42"/>
        <v>0</v>
      </c>
      <c r="BI23" s="540">
        <f t="shared" ca="1" si="42"/>
        <v>0</v>
      </c>
      <c r="BJ23" s="540">
        <f t="shared" ca="1" si="42"/>
        <v>0</v>
      </c>
      <c r="BK23" s="540">
        <f t="shared" ca="1" si="42"/>
        <v>0</v>
      </c>
      <c r="BL23" s="540">
        <f t="shared" ca="1" si="42"/>
        <v>0</v>
      </c>
      <c r="BM23" s="540">
        <f t="shared" ca="1" si="42"/>
        <v>0</v>
      </c>
      <c r="BN23" s="540">
        <f t="shared" ca="1" si="42"/>
        <v>0</v>
      </c>
      <c r="BO23" s="540">
        <f t="shared" ca="1" si="42"/>
        <v>0</v>
      </c>
      <c r="BP23" s="540">
        <f t="shared" ca="1" si="42"/>
        <v>0</v>
      </c>
      <c r="BQ23" s="540">
        <f t="shared" ca="1" si="42"/>
        <v>0</v>
      </c>
      <c r="BR23" s="540">
        <f t="shared" ca="1" si="42"/>
        <v>0</v>
      </c>
      <c r="BS23" s="540">
        <f t="shared" ca="1" si="42"/>
        <v>0</v>
      </c>
      <c r="BT23" s="540">
        <f t="shared" ca="1" si="42"/>
        <v>0</v>
      </c>
      <c r="BU23" s="540">
        <f t="shared" ca="1" si="42"/>
        <v>0</v>
      </c>
      <c r="BV23" s="540">
        <f t="shared" ref="BV23:CL23" ca="1" si="43">IFERROR((BV21*BV17)/1000,0)</f>
        <v>0</v>
      </c>
      <c r="BW23" s="540">
        <f t="shared" ca="1" si="43"/>
        <v>0</v>
      </c>
      <c r="BX23" s="540">
        <f t="shared" ca="1" si="43"/>
        <v>0</v>
      </c>
      <c r="BY23" s="540">
        <f t="shared" ca="1" si="43"/>
        <v>0</v>
      </c>
      <c r="BZ23" s="540">
        <f t="shared" ca="1" si="43"/>
        <v>0</v>
      </c>
      <c r="CA23" s="540">
        <f t="shared" ca="1" si="43"/>
        <v>0</v>
      </c>
      <c r="CB23" s="540">
        <f t="shared" ca="1" si="43"/>
        <v>0</v>
      </c>
      <c r="CC23" s="540">
        <f t="shared" ca="1" si="43"/>
        <v>0</v>
      </c>
      <c r="CD23" s="540">
        <f t="shared" ca="1" si="43"/>
        <v>0</v>
      </c>
      <c r="CE23" s="540">
        <f t="shared" ca="1" si="43"/>
        <v>0</v>
      </c>
      <c r="CF23" s="540">
        <f t="shared" ca="1" si="43"/>
        <v>0</v>
      </c>
      <c r="CG23" s="540">
        <f t="shared" ca="1" si="43"/>
        <v>0</v>
      </c>
      <c r="CH23" s="540">
        <f t="shared" ca="1" si="43"/>
        <v>0</v>
      </c>
      <c r="CI23" s="540">
        <f t="shared" ca="1" si="43"/>
        <v>0</v>
      </c>
      <c r="CJ23" s="540">
        <f t="shared" ca="1" si="43"/>
        <v>0</v>
      </c>
      <c r="CK23" s="540">
        <f t="shared" ca="1" si="43"/>
        <v>0</v>
      </c>
      <c r="CL23" s="540">
        <f t="shared" ca="1" si="43"/>
        <v>0</v>
      </c>
      <c r="CN23" s="619" t="str">
        <f ca="1">IFERROR((Y23/H23)^(1/17)-1,"")</f>
        <v/>
      </c>
      <c r="CO23" s="619" t="str">
        <f ca="1">IFERROR((AN23/Y23)^(1/15)-1,"")</f>
        <v/>
      </c>
      <c r="CP23" s="619" t="str">
        <f ca="1">IFERROR((AN23/H23)^(1/32)-1,"")</f>
        <v/>
      </c>
    </row>
    <row r="24" spans="1:94" outlineLevel="1">
      <c r="A24" s="547" t="s">
        <v>382</v>
      </c>
      <c r="B24" s="547" t="s">
        <v>384</v>
      </c>
      <c r="C24" s="547"/>
      <c r="D24" s="547"/>
      <c r="E24" s="548" t="e">
        <f t="shared" ref="E24:AN24" si="44">IF($B$6="ON",IF(E10=covid_start-1,E13,IF(E10=covid_recovery,E13,IF(E10&gt;=covid_start,IF(E10&lt;covid_recovery,D24-(INDEX($E10:$CH23,4,MATCH(covid_start-1,$E10:$CL10,0))-INDEX($E10:$CL23,4,MATCH(covid_recovery,$E10:$CL10,0)))/(covid_recovery-covid_start+1),NA()),NA()))),NA())</f>
        <v>#N/A</v>
      </c>
      <c r="F24" s="548" t="e">
        <f t="shared" si="44"/>
        <v>#N/A</v>
      </c>
      <c r="G24" s="548" t="e">
        <f t="shared" si="44"/>
        <v>#N/A</v>
      </c>
      <c r="H24" s="548" t="e">
        <f t="shared" si="44"/>
        <v>#N/A</v>
      </c>
      <c r="I24" s="548">
        <f t="shared" ca="1" si="44"/>
        <v>1126.5819082910111</v>
      </c>
      <c r="J24" s="548">
        <f t="shared" ca="1" si="44"/>
        <v>1090.2094036873805</v>
      </c>
      <c r="K24" s="548">
        <f t="shared" ca="1" si="44"/>
        <v>1053.8368990837498</v>
      </c>
      <c r="L24" s="548">
        <f t="shared" ca="1" si="44"/>
        <v>1017.4643944801192</v>
      </c>
      <c r="M24" s="548">
        <f t="shared" ca="1" si="44"/>
        <v>981.09188987648861</v>
      </c>
      <c r="N24" s="548" t="e">
        <f t="shared" si="44"/>
        <v>#N/A</v>
      </c>
      <c r="O24" s="548" t="e">
        <f t="shared" si="44"/>
        <v>#N/A</v>
      </c>
      <c r="P24" s="548" t="e">
        <f t="shared" si="44"/>
        <v>#N/A</v>
      </c>
      <c r="Q24" s="548" t="e">
        <f t="shared" si="44"/>
        <v>#N/A</v>
      </c>
      <c r="R24" s="548" t="e">
        <f t="shared" si="44"/>
        <v>#N/A</v>
      </c>
      <c r="S24" s="548" t="e">
        <f t="shared" si="44"/>
        <v>#N/A</v>
      </c>
      <c r="T24" s="548" t="e">
        <f t="shared" si="44"/>
        <v>#N/A</v>
      </c>
      <c r="U24" s="548" t="e">
        <f t="shared" si="44"/>
        <v>#N/A</v>
      </c>
      <c r="V24" s="548" t="e">
        <f t="shared" si="44"/>
        <v>#N/A</v>
      </c>
      <c r="W24" s="548" t="e">
        <f t="shared" si="44"/>
        <v>#N/A</v>
      </c>
      <c r="X24" s="548" t="e">
        <f t="shared" si="44"/>
        <v>#N/A</v>
      </c>
      <c r="Y24" s="548" t="e">
        <f t="shared" si="44"/>
        <v>#N/A</v>
      </c>
      <c r="Z24" s="548" t="e">
        <f t="shared" si="44"/>
        <v>#N/A</v>
      </c>
      <c r="AA24" s="548" t="e">
        <f t="shared" si="44"/>
        <v>#N/A</v>
      </c>
      <c r="AB24" s="548" t="e">
        <f t="shared" si="44"/>
        <v>#N/A</v>
      </c>
      <c r="AC24" s="548" t="e">
        <f t="shared" si="44"/>
        <v>#N/A</v>
      </c>
      <c r="AD24" s="548" t="e">
        <f t="shared" si="44"/>
        <v>#N/A</v>
      </c>
      <c r="AE24" s="548" t="e">
        <f t="shared" si="44"/>
        <v>#N/A</v>
      </c>
      <c r="AF24" s="548" t="e">
        <f t="shared" si="44"/>
        <v>#N/A</v>
      </c>
      <c r="AG24" s="548" t="e">
        <f t="shared" si="44"/>
        <v>#N/A</v>
      </c>
      <c r="AH24" s="548" t="e">
        <f t="shared" si="44"/>
        <v>#N/A</v>
      </c>
      <c r="AI24" s="548" t="e">
        <f t="shared" si="44"/>
        <v>#N/A</v>
      </c>
      <c r="AJ24" s="548" t="e">
        <f t="shared" si="44"/>
        <v>#N/A</v>
      </c>
      <c r="AK24" s="548" t="e">
        <f t="shared" si="44"/>
        <v>#N/A</v>
      </c>
      <c r="AL24" s="548" t="e">
        <f t="shared" si="44"/>
        <v>#N/A</v>
      </c>
      <c r="AM24" s="548" t="e">
        <f t="shared" si="44"/>
        <v>#N/A</v>
      </c>
      <c r="AN24" s="548" t="e">
        <f t="shared" si="44"/>
        <v>#N/A</v>
      </c>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N24" s="621" t="str">
        <f t="shared" si="24"/>
        <v/>
      </c>
      <c r="CO24" s="621" t="str">
        <f t="shared" si="25"/>
        <v/>
      </c>
      <c r="CP24" s="621" t="str">
        <f t="shared" si="26"/>
        <v/>
      </c>
    </row>
    <row r="25" spans="1:94" outlineLevel="1">
      <c r="A25" s="535" t="s">
        <v>383</v>
      </c>
      <c r="B25" s="535" t="s">
        <v>384</v>
      </c>
      <c r="C25" s="535"/>
      <c r="D25" s="535"/>
      <c r="E25" s="541" t="e">
        <f t="shared" ref="E25:AN25" si="45">IF($B$6="ON",IF(E10=covid_start-1,E21,IF(E10=covid_recovery,E21,IF(E10&gt;=covid_start,IF(E10&lt;covid_recovery,D25-(INDEX($E10:$CH23,12,MATCH(covid_start-1,$E10:$CL10,0))-INDEX($E10:$CL23,12,MATCH(covid_recovery,$E10:$CL10,0)))/(covid_recovery-covid_start+1),NA()),NA()))),NA())</f>
        <v>#N/A</v>
      </c>
      <c r="F25" s="541" t="e">
        <f t="shared" si="45"/>
        <v>#N/A</v>
      </c>
      <c r="G25" s="541" t="e">
        <f t="shared" si="45"/>
        <v>#N/A</v>
      </c>
      <c r="H25" s="541" t="e">
        <f t="shared" si="45"/>
        <v>#N/A</v>
      </c>
      <c r="I25" s="541">
        <f t="shared" ca="1" si="45"/>
        <v>0</v>
      </c>
      <c r="J25" s="541">
        <f t="shared" ca="1" si="45"/>
        <v>0</v>
      </c>
      <c r="K25" s="541">
        <f t="shared" ca="1" si="45"/>
        <v>0</v>
      </c>
      <c r="L25" s="541">
        <f t="shared" ca="1" si="45"/>
        <v>0</v>
      </c>
      <c r="M25" s="541">
        <f t="shared" ca="1" si="45"/>
        <v>0</v>
      </c>
      <c r="N25" s="541" t="e">
        <f t="shared" si="45"/>
        <v>#N/A</v>
      </c>
      <c r="O25" s="541" t="e">
        <f t="shared" si="45"/>
        <v>#N/A</v>
      </c>
      <c r="P25" s="541" t="e">
        <f t="shared" si="45"/>
        <v>#N/A</v>
      </c>
      <c r="Q25" s="541" t="e">
        <f t="shared" si="45"/>
        <v>#N/A</v>
      </c>
      <c r="R25" s="541" t="e">
        <f t="shared" si="45"/>
        <v>#N/A</v>
      </c>
      <c r="S25" s="541" t="e">
        <f t="shared" si="45"/>
        <v>#N/A</v>
      </c>
      <c r="T25" s="541" t="e">
        <f t="shared" si="45"/>
        <v>#N/A</v>
      </c>
      <c r="U25" s="541" t="e">
        <f t="shared" si="45"/>
        <v>#N/A</v>
      </c>
      <c r="V25" s="541" t="e">
        <f t="shared" si="45"/>
        <v>#N/A</v>
      </c>
      <c r="W25" s="541" t="e">
        <f t="shared" si="45"/>
        <v>#N/A</v>
      </c>
      <c r="X25" s="541" t="e">
        <f t="shared" si="45"/>
        <v>#N/A</v>
      </c>
      <c r="Y25" s="541" t="e">
        <f t="shared" si="45"/>
        <v>#N/A</v>
      </c>
      <c r="Z25" s="541" t="e">
        <f t="shared" si="45"/>
        <v>#N/A</v>
      </c>
      <c r="AA25" s="541" t="e">
        <f t="shared" si="45"/>
        <v>#N/A</v>
      </c>
      <c r="AB25" s="541" t="e">
        <f t="shared" si="45"/>
        <v>#N/A</v>
      </c>
      <c r="AC25" s="541" t="e">
        <f t="shared" si="45"/>
        <v>#N/A</v>
      </c>
      <c r="AD25" s="541" t="e">
        <f t="shared" si="45"/>
        <v>#N/A</v>
      </c>
      <c r="AE25" s="541" t="e">
        <f t="shared" si="45"/>
        <v>#N/A</v>
      </c>
      <c r="AF25" s="541" t="e">
        <f t="shared" si="45"/>
        <v>#N/A</v>
      </c>
      <c r="AG25" s="541" t="e">
        <f t="shared" si="45"/>
        <v>#N/A</v>
      </c>
      <c r="AH25" s="541" t="e">
        <f t="shared" si="45"/>
        <v>#N/A</v>
      </c>
      <c r="AI25" s="541" t="e">
        <f t="shared" si="45"/>
        <v>#N/A</v>
      </c>
      <c r="AJ25" s="541" t="e">
        <f t="shared" si="45"/>
        <v>#N/A</v>
      </c>
      <c r="AK25" s="541" t="e">
        <f t="shared" si="45"/>
        <v>#N/A</v>
      </c>
      <c r="AL25" s="541" t="e">
        <f t="shared" si="45"/>
        <v>#N/A</v>
      </c>
      <c r="AM25" s="541" t="e">
        <f t="shared" si="45"/>
        <v>#N/A</v>
      </c>
      <c r="AN25" s="541" t="e">
        <f t="shared" si="45"/>
        <v>#N/A</v>
      </c>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1"/>
      <c r="CJ25" s="541"/>
      <c r="CK25" s="541"/>
      <c r="CL25" s="541"/>
      <c r="CN25" s="620" t="str">
        <f t="shared" si="24"/>
        <v/>
      </c>
      <c r="CO25" s="620" t="str">
        <f t="shared" si="25"/>
        <v/>
      </c>
      <c r="CP25" s="620" t="str">
        <f t="shared" si="26"/>
        <v/>
      </c>
    </row>
    <row r="26" spans="1:94" ht="16.5" thickBot="1">
      <c r="A26" s="525" t="s">
        <v>154</v>
      </c>
      <c r="B26" s="525"/>
      <c r="C26" s="525"/>
      <c r="D26" s="525"/>
      <c r="E26" s="527">
        <v>2015</v>
      </c>
      <c r="F26" s="528">
        <f>E26+1</f>
        <v>2016</v>
      </c>
      <c r="G26" s="528">
        <f t="shared" ref="G26:I26" si="46">F26+1</f>
        <v>2017</v>
      </c>
      <c r="H26" s="528">
        <f t="shared" si="46"/>
        <v>2018</v>
      </c>
      <c r="I26" s="528">
        <f t="shared" si="46"/>
        <v>2019</v>
      </c>
      <c r="J26" s="528">
        <f>E26+5</f>
        <v>2020</v>
      </c>
      <c r="K26" s="528">
        <f>J26+1</f>
        <v>2021</v>
      </c>
      <c r="L26" s="528">
        <f t="shared" ref="L26:N26" si="47">K26+1</f>
        <v>2022</v>
      </c>
      <c r="M26" s="528">
        <f t="shared" si="47"/>
        <v>2023</v>
      </c>
      <c r="N26" s="528">
        <f t="shared" si="47"/>
        <v>2024</v>
      </c>
      <c r="O26" s="528">
        <f>J26+5</f>
        <v>2025</v>
      </c>
      <c r="P26" s="528">
        <f>O26+1</f>
        <v>2026</v>
      </c>
      <c r="Q26" s="528">
        <f t="shared" ref="Q26:S26" si="48">P26+1</f>
        <v>2027</v>
      </c>
      <c r="R26" s="528">
        <f t="shared" si="48"/>
        <v>2028</v>
      </c>
      <c r="S26" s="528">
        <f t="shared" si="48"/>
        <v>2029</v>
      </c>
      <c r="T26" s="528">
        <f>O26+5</f>
        <v>2030</v>
      </c>
      <c r="U26" s="528">
        <f>T26+1</f>
        <v>2031</v>
      </c>
      <c r="V26" s="528">
        <f t="shared" ref="V26:X26" si="49">U26+1</f>
        <v>2032</v>
      </c>
      <c r="W26" s="528">
        <f t="shared" si="49"/>
        <v>2033</v>
      </c>
      <c r="X26" s="528">
        <f t="shared" si="49"/>
        <v>2034</v>
      </c>
      <c r="Y26" s="528">
        <f>T26+5</f>
        <v>2035</v>
      </c>
      <c r="Z26" s="528">
        <f>Y26+1</f>
        <v>2036</v>
      </c>
      <c r="AA26" s="528">
        <f t="shared" ref="AA26:AC26" si="50">Z26+1</f>
        <v>2037</v>
      </c>
      <c r="AB26" s="528">
        <f t="shared" si="50"/>
        <v>2038</v>
      </c>
      <c r="AC26" s="528">
        <f t="shared" si="50"/>
        <v>2039</v>
      </c>
      <c r="AD26" s="528">
        <f>Y26+5</f>
        <v>2040</v>
      </c>
      <c r="AE26" s="528">
        <f>AD26+1</f>
        <v>2041</v>
      </c>
      <c r="AF26" s="528">
        <f t="shared" ref="AF26:AH26" si="51">AE26+1</f>
        <v>2042</v>
      </c>
      <c r="AG26" s="528">
        <f t="shared" si="51"/>
        <v>2043</v>
      </c>
      <c r="AH26" s="528">
        <f t="shared" si="51"/>
        <v>2044</v>
      </c>
      <c r="AI26" s="528">
        <f>AD26+5</f>
        <v>2045</v>
      </c>
      <c r="AJ26" s="528">
        <f>AI26+1</f>
        <v>2046</v>
      </c>
      <c r="AK26" s="528">
        <f t="shared" ref="AK26:AM26" si="52">AJ26+1</f>
        <v>2047</v>
      </c>
      <c r="AL26" s="528">
        <f t="shared" si="52"/>
        <v>2048</v>
      </c>
      <c r="AM26" s="528">
        <f t="shared" si="52"/>
        <v>2049</v>
      </c>
      <c r="AN26" s="528">
        <f>AI26+5</f>
        <v>2050</v>
      </c>
      <c r="AO26" s="528">
        <f>AN26+1</f>
        <v>2051</v>
      </c>
      <c r="AP26" s="528">
        <f t="shared" ref="AP26:AR26" si="53">AO26+1</f>
        <v>2052</v>
      </c>
      <c r="AQ26" s="528">
        <f t="shared" si="53"/>
        <v>2053</v>
      </c>
      <c r="AR26" s="528">
        <f t="shared" si="53"/>
        <v>2054</v>
      </c>
      <c r="AS26" s="528">
        <f>AN26+5</f>
        <v>2055</v>
      </c>
      <c r="AT26" s="528">
        <f>AS26+1</f>
        <v>2056</v>
      </c>
      <c r="AU26" s="528">
        <f t="shared" ref="AU26:AW26" si="54">AT26+1</f>
        <v>2057</v>
      </c>
      <c r="AV26" s="528">
        <f t="shared" si="54"/>
        <v>2058</v>
      </c>
      <c r="AW26" s="528">
        <f t="shared" si="54"/>
        <v>2059</v>
      </c>
      <c r="AX26" s="528">
        <f>AS26+5</f>
        <v>2060</v>
      </c>
      <c r="AY26" s="528">
        <f>AX26+1</f>
        <v>2061</v>
      </c>
      <c r="AZ26" s="528">
        <f t="shared" ref="AZ26:BB26" si="55">AY26+1</f>
        <v>2062</v>
      </c>
      <c r="BA26" s="528">
        <f t="shared" si="55"/>
        <v>2063</v>
      </c>
      <c r="BB26" s="528">
        <f t="shared" si="55"/>
        <v>2064</v>
      </c>
      <c r="BC26" s="528">
        <f>AX26+5</f>
        <v>2065</v>
      </c>
      <c r="BD26" s="528">
        <f>BC26+1</f>
        <v>2066</v>
      </c>
      <c r="BE26" s="528">
        <f t="shared" ref="BE26:BG26" si="56">BD26+1</f>
        <v>2067</v>
      </c>
      <c r="BF26" s="528">
        <f t="shared" si="56"/>
        <v>2068</v>
      </c>
      <c r="BG26" s="528">
        <f t="shared" si="56"/>
        <v>2069</v>
      </c>
      <c r="BH26" s="528">
        <f>BC26+5</f>
        <v>2070</v>
      </c>
      <c r="BI26" s="528">
        <f>BH26+1</f>
        <v>2071</v>
      </c>
      <c r="BJ26" s="528">
        <f t="shared" ref="BJ26:BL26" si="57">BI26+1</f>
        <v>2072</v>
      </c>
      <c r="BK26" s="528">
        <f t="shared" si="57"/>
        <v>2073</v>
      </c>
      <c r="BL26" s="528">
        <f t="shared" si="57"/>
        <v>2074</v>
      </c>
      <c r="BM26" s="528">
        <f>BH26+5</f>
        <v>2075</v>
      </c>
      <c r="BN26" s="528">
        <f>BM26+1</f>
        <v>2076</v>
      </c>
      <c r="BO26" s="528">
        <f t="shared" ref="BO26:BQ26" si="58">BN26+1</f>
        <v>2077</v>
      </c>
      <c r="BP26" s="528">
        <f t="shared" si="58"/>
        <v>2078</v>
      </c>
      <c r="BQ26" s="528">
        <f t="shared" si="58"/>
        <v>2079</v>
      </c>
      <c r="BR26" s="528">
        <f>BM26+5</f>
        <v>2080</v>
      </c>
      <c r="BS26" s="528">
        <f>BR26+1</f>
        <v>2081</v>
      </c>
      <c r="BT26" s="528">
        <f t="shared" ref="BT26:BV26" si="59">BS26+1</f>
        <v>2082</v>
      </c>
      <c r="BU26" s="528">
        <f t="shared" si="59"/>
        <v>2083</v>
      </c>
      <c r="BV26" s="528">
        <f t="shared" si="59"/>
        <v>2084</v>
      </c>
      <c r="BW26" s="528">
        <f>BR26+5</f>
        <v>2085</v>
      </c>
      <c r="BX26" s="528">
        <f>BW26+1</f>
        <v>2086</v>
      </c>
      <c r="BY26" s="528">
        <f t="shared" ref="BY26:CA26" si="60">BX26+1</f>
        <v>2087</v>
      </c>
      <c r="BZ26" s="528">
        <f t="shared" si="60"/>
        <v>2088</v>
      </c>
      <c r="CA26" s="528">
        <f t="shared" si="60"/>
        <v>2089</v>
      </c>
      <c r="CB26" s="528">
        <f>BW26+5</f>
        <v>2090</v>
      </c>
      <c r="CC26" s="528">
        <f>CB26+1</f>
        <v>2091</v>
      </c>
      <c r="CD26" s="528">
        <f t="shared" ref="CD26:CF26" si="61">CC26+1</f>
        <v>2092</v>
      </c>
      <c r="CE26" s="528">
        <f t="shared" si="61"/>
        <v>2093</v>
      </c>
      <c r="CF26" s="528">
        <f t="shared" si="61"/>
        <v>2094</v>
      </c>
      <c r="CG26" s="528">
        <f>CB26+5</f>
        <v>2095</v>
      </c>
      <c r="CH26" s="528">
        <f>CG26+1</f>
        <v>2096</v>
      </c>
      <c r="CI26" s="528">
        <f t="shared" ref="CI26:CK26" si="62">CH26+1</f>
        <v>2097</v>
      </c>
      <c r="CJ26" s="528">
        <f t="shared" si="62"/>
        <v>2098</v>
      </c>
      <c r="CK26" s="528">
        <f t="shared" si="62"/>
        <v>2099</v>
      </c>
      <c r="CL26" s="528">
        <f>CG26+5</f>
        <v>2100</v>
      </c>
      <c r="CN26" s="612" t="s">
        <v>409</v>
      </c>
      <c r="CO26" s="612" t="s">
        <v>411</v>
      </c>
      <c r="CP26" s="612" t="s">
        <v>410</v>
      </c>
    </row>
    <row r="27" spans="1:94" ht="16.5" outlineLevel="1" thickTop="1">
      <c r="A27" s="529" t="s">
        <v>152</v>
      </c>
      <c r="B27" s="529" t="str">
        <f>$A$26</f>
        <v>Ded-long</v>
      </c>
      <c r="C27" s="530" t="s">
        <v>310</v>
      </c>
      <c r="D27" s="530"/>
      <c r="E27" s="531">
        <f ca="1">IF($B$6="ON", IF(E26&gt;=covid_start, IF(E26&lt;covid_recovery,NA(),SUMIFS(INDIRECT("Data_main"&amp;"["&amp;E$8&amp;"]"),Data_main[Data],$A27, Data_main[Segment],$B27, Data_main[Scenario],$B$3)),SUMIFS(INDIRECT("Data_main"&amp;"["&amp;E$8&amp;"]"),Data_main[Data],$A27, Data_main[Segment],$B27, Data_main[Scenario],$B$3)),SUMIFS(INDIRECT("Data_main"&amp;"["&amp;E$8&amp;"]"),Data_main[Data],$A27, Data_main[Segment],$B27, Data_main[Scenario],$B$3))</f>
        <v>65.550775358376001</v>
      </c>
      <c r="F27" s="531">
        <f ca="1">IF($B$6="ON", IF(F26&gt;=covid_start, IF(F26&lt;covid_recovery,NA(),SUMIFS(INDIRECT("Data_main"&amp;"["&amp;F$8&amp;"]"),Data_main[Data],$A27, Data_main[Segment],$B27, Data_main[Scenario],$B$3)),SUMIFS(INDIRECT("Data_main"&amp;"["&amp;F$8&amp;"]"),Data_main[Data],$A27, Data_main[Segment],$B27, Data_main[Scenario],$B$3)),SUMIFS(INDIRECT("Data_main"&amp;"["&amp;F$8&amp;"]"),Data_main[Data],$A27, Data_main[Segment],$B27, Data_main[Scenario],$B$3))</f>
        <v>67.283995981103999</v>
      </c>
      <c r="G27" s="531">
        <f ca="1">IF($B$6="ON", IF(G26&gt;=covid_start, IF(G26&lt;covid_recovery,NA(),SUMIFS(INDIRECT("Data_main"&amp;"["&amp;G$8&amp;"]"),Data_main[Data],$A27, Data_main[Segment],$B27, Data_main[Scenario],$B$3)),SUMIFS(INDIRECT("Data_main"&amp;"["&amp;G$8&amp;"]"),Data_main[Data],$A27, Data_main[Segment],$B27, Data_main[Scenario],$B$3)),SUMIFS(INDIRECT("Data_main"&amp;"["&amp;G$8&amp;"]"),Data_main[Data],$A27, Data_main[Segment],$B27, Data_main[Scenario],$B$3))</f>
        <v>69.017216603831997</v>
      </c>
      <c r="H27" s="531">
        <f ca="1">IF($B$6="ON", IF(H26&gt;=covid_start, IF(H26&lt;covid_recovery,NA(),SUMIFS(INDIRECT("Data_main"&amp;"["&amp;H$8&amp;"]"),Data_main[Data],$A27, Data_main[Segment],$B27, Data_main[Scenario],$B$3)),SUMIFS(INDIRECT("Data_main"&amp;"["&amp;H$8&amp;"]"),Data_main[Data],$A27, Data_main[Segment],$B27, Data_main[Scenario],$B$3)),SUMIFS(INDIRECT("Data_main"&amp;"["&amp;H$8&amp;"]"),Data_main[Data],$A27, Data_main[Segment],$B27, Data_main[Scenario],$B$3))</f>
        <v>70.750437226559995</v>
      </c>
      <c r="I27" s="531">
        <f ca="1">IF($B$6="ON", IF(I26&gt;=covid_start, IF(I26&lt;covid_recovery,NA(),SUMIFS(INDIRECT("Data_main"&amp;"["&amp;I$8&amp;"]"),Data_main[Data],$A27, Data_main[Segment],$B27, Data_main[Scenario],$B$3)),SUMIFS(INDIRECT("Data_main"&amp;"["&amp;I$8&amp;"]"),Data_main[Data],$A27, Data_main[Segment],$B27, Data_main[Scenario],$B$3)),SUMIFS(INDIRECT("Data_main"&amp;"["&amp;I$8&amp;"]"),Data_main[Data],$A27, Data_main[Segment],$B27, Data_main[Scenario],$B$3))</f>
        <v>67.135127874275994</v>
      </c>
      <c r="J27" s="531" t="e">
        <f ca="1">IF($B$6="ON", IF(J26&gt;=covid_start, IF(J26&lt;covid_recovery,NA(),SUMIFS(INDIRECT("Data_main"&amp;"["&amp;J$8&amp;"]"),Data_main[Data],$A27, Data_main[Segment],$B27, Data_main[Scenario],$B$3)),SUMIFS(INDIRECT("Data_main"&amp;"["&amp;J$8&amp;"]"),Data_main[Data],$A27, Data_main[Segment],$B27, Data_main[Scenario],$B$3)),SUMIFS(INDIRECT("Data_main"&amp;"["&amp;J$8&amp;"]"),Data_main[Data],$A27, Data_main[Segment],$B27, Data_main[Scenario],$B$3))</f>
        <v>#N/A</v>
      </c>
      <c r="K27" s="531" t="e">
        <f ca="1">IF($B$6="ON", IF(K26&gt;=covid_start, IF(K26&lt;covid_recovery,NA(),SUMIFS(INDIRECT("Data_main"&amp;"["&amp;K$8&amp;"]"),Data_main[Data],$A27, Data_main[Segment],$B27, Data_main[Scenario],$B$3)),SUMIFS(INDIRECT("Data_main"&amp;"["&amp;K$8&amp;"]"),Data_main[Data],$A27, Data_main[Segment],$B27, Data_main[Scenario],$B$3)),SUMIFS(INDIRECT("Data_main"&amp;"["&amp;K$8&amp;"]"),Data_main[Data],$A27, Data_main[Segment],$B27, Data_main[Scenario],$B$3))</f>
        <v>#N/A</v>
      </c>
      <c r="L27" s="531" t="e">
        <f ca="1">IF($B$6="ON", IF(L26&gt;=covid_start, IF(L26&lt;covid_recovery,NA(),SUMIFS(INDIRECT("Data_main"&amp;"["&amp;L$8&amp;"]"),Data_main[Data],$A27, Data_main[Segment],$B27, Data_main[Scenario],$B$3)),SUMIFS(INDIRECT("Data_main"&amp;"["&amp;L$8&amp;"]"),Data_main[Data],$A27, Data_main[Segment],$B27, Data_main[Scenario],$B$3)),SUMIFS(INDIRECT("Data_main"&amp;"["&amp;L$8&amp;"]"),Data_main[Data],$A27, Data_main[Segment],$B27, Data_main[Scenario],$B$3))</f>
        <v>#N/A</v>
      </c>
      <c r="M27" s="531">
        <f ca="1">IF($B$6="ON", IF(M26&gt;=covid_start, IF(M26&lt;covid_recovery,NA(),SUMIFS(INDIRECT("Data_main"&amp;"["&amp;M$8&amp;"]"),Data_main[Data],$A27, Data_main[Segment],$B27, Data_main[Scenario],$B$3)),SUMIFS(INDIRECT("Data_main"&amp;"["&amp;M$8&amp;"]"),Data_main[Data],$A27, Data_main[Segment],$B27, Data_main[Scenario],$B$3)),SUMIFS(INDIRECT("Data_main"&amp;"["&amp;M$8&amp;"]"),Data_main[Data],$A27, Data_main[Segment],$B27, Data_main[Scenario],$B$3))</f>
        <v>66.065314196131467</v>
      </c>
      <c r="N27" s="531">
        <f ca="1">IF($B$6="ON", IF(N26&gt;=covid_start, IF(N26&lt;covid_recovery,NA(),SUMIFS(INDIRECT("Data_main"&amp;"["&amp;N$8&amp;"]"),Data_main[Data],$A27, Data_main[Segment],$B27, Data_main[Scenario],$B$3)),SUMIFS(INDIRECT("Data_main"&amp;"["&amp;N$8&amp;"]"),Data_main[Data],$A27, Data_main[Segment],$B27, Data_main[Scenario],$B$3)),SUMIFS(INDIRECT("Data_main"&amp;"["&amp;N$8&amp;"]"),Data_main[Data],$A27, Data_main[Segment],$B27, Data_main[Scenario],$B$3))</f>
        <v>65.797860776595357</v>
      </c>
      <c r="O27" s="531">
        <f ca="1">IF($B$6="ON", IF(O26&gt;=covid_start, IF(O26&lt;covid_recovery,NA(),SUMIFS(INDIRECT("Data_main"&amp;"["&amp;O$8&amp;"]"),Data_main[Data],$A27, Data_main[Segment],$B27, Data_main[Scenario],$B$3)),SUMIFS(INDIRECT("Data_main"&amp;"["&amp;O$8&amp;"]"),Data_main[Data],$A27, Data_main[Segment],$B27, Data_main[Scenario],$B$3)),SUMIFS(INDIRECT("Data_main"&amp;"["&amp;O$8&amp;"]"),Data_main[Data],$A27, Data_main[Segment],$B27, Data_main[Scenario],$B$3))</f>
        <v>65.530407357059218</v>
      </c>
      <c r="P27" s="531">
        <f ca="1">IF($B$6="ON", IF(P26&gt;=covid_start, IF(P26&lt;covid_recovery,NA(),SUMIFS(INDIRECT("Data_main"&amp;"["&amp;P$8&amp;"]"),Data_main[Data],$A27, Data_main[Segment],$B27, Data_main[Scenario],$B$3)),SUMIFS(INDIRECT("Data_main"&amp;"["&amp;P$8&amp;"]"),Data_main[Data],$A27, Data_main[Segment],$B27, Data_main[Scenario],$B$3)),SUMIFS(INDIRECT("Data_main"&amp;"["&amp;P$8&amp;"]"),Data_main[Data],$A27, Data_main[Segment],$B27, Data_main[Scenario],$B$3))</f>
        <v>65.262953937523093</v>
      </c>
      <c r="Q27" s="531">
        <f ca="1">IF($B$6="ON", IF(Q26&gt;=covid_start, IF(Q26&lt;covid_recovery,NA(),SUMIFS(INDIRECT("Data_main"&amp;"["&amp;Q$8&amp;"]"),Data_main[Data],$A27, Data_main[Segment],$B27, Data_main[Scenario],$B$3)),SUMIFS(INDIRECT("Data_main"&amp;"["&amp;Q$8&amp;"]"),Data_main[Data],$A27, Data_main[Segment],$B27, Data_main[Scenario],$B$3)),SUMIFS(INDIRECT("Data_main"&amp;"["&amp;Q$8&amp;"]"),Data_main[Data],$A27, Data_main[Segment],$B27, Data_main[Scenario],$B$3))</f>
        <v>64.995500517986954</v>
      </c>
      <c r="R27" s="531">
        <f ca="1">IF($B$6="ON", IF(R26&gt;=covid_start, IF(R26&lt;covid_recovery,NA(),SUMIFS(INDIRECT("Data_main"&amp;"["&amp;R$8&amp;"]"),Data_main[Data],$A27, Data_main[Segment],$B27, Data_main[Scenario],$B$3)),SUMIFS(INDIRECT("Data_main"&amp;"["&amp;R$8&amp;"]"),Data_main[Data],$A27, Data_main[Segment],$B27, Data_main[Scenario],$B$3)),SUMIFS(INDIRECT("Data_main"&amp;"["&amp;R$8&amp;"]"),Data_main[Data],$A27, Data_main[Segment],$B27, Data_main[Scenario],$B$3))</f>
        <v>64.728047098450816</v>
      </c>
      <c r="S27" s="531">
        <f ca="1">IF($B$6="ON", IF(S26&gt;=covid_start, IF(S26&lt;covid_recovery,NA(),SUMIFS(INDIRECT("Data_main"&amp;"["&amp;S$8&amp;"]"),Data_main[Data],$A27, Data_main[Segment],$B27, Data_main[Scenario],$B$3)),SUMIFS(INDIRECT("Data_main"&amp;"["&amp;S$8&amp;"]"),Data_main[Data],$A27, Data_main[Segment],$B27, Data_main[Scenario],$B$3)),SUMIFS(INDIRECT("Data_main"&amp;"["&amp;S$8&amp;"]"),Data_main[Data],$A27, Data_main[Segment],$B27, Data_main[Scenario],$B$3))</f>
        <v>64.460593678914677</v>
      </c>
      <c r="T27" s="531">
        <f ca="1">IF($B$6="ON", IF(T26&gt;=covid_start, IF(T26&lt;covid_recovery,NA(),SUMIFS(INDIRECT("Data_main"&amp;"["&amp;T$8&amp;"]"),Data_main[Data],$A27, Data_main[Segment],$B27, Data_main[Scenario],$B$3)),SUMIFS(INDIRECT("Data_main"&amp;"["&amp;T$8&amp;"]"),Data_main[Data],$A27, Data_main[Segment],$B27, Data_main[Scenario],$B$3)),SUMIFS(INDIRECT("Data_main"&amp;"["&amp;T$8&amp;"]"),Data_main[Data],$A27, Data_main[Segment],$B27, Data_main[Scenario],$B$3))</f>
        <v>64.193140259378509</v>
      </c>
      <c r="U27" s="531">
        <f ca="1">IF($B$6="ON", IF(U26&gt;=covid_start, IF(U26&lt;covid_recovery,NA(),SUMIFS(INDIRECT("Data_main"&amp;"["&amp;U$8&amp;"]"),Data_main[Data],$A27, Data_main[Segment],$B27, Data_main[Scenario],$B$3)),SUMIFS(INDIRECT("Data_main"&amp;"["&amp;U$8&amp;"]"),Data_main[Data],$A27, Data_main[Segment],$B27, Data_main[Scenario],$B$3)),SUMIFS(INDIRECT("Data_main"&amp;"["&amp;U$8&amp;"]"),Data_main[Data],$A27, Data_main[Segment],$B27, Data_main[Scenario],$B$3))</f>
        <v>63.518621295451474</v>
      </c>
      <c r="V27" s="531">
        <f ca="1">IF($B$6="ON", IF(V26&gt;=covid_start, IF(V26&lt;covid_recovery,NA(),SUMIFS(INDIRECT("Data_main"&amp;"["&amp;V$8&amp;"]"),Data_main[Data],$A27, Data_main[Segment],$B27, Data_main[Scenario],$B$3)),SUMIFS(INDIRECT("Data_main"&amp;"["&amp;V$8&amp;"]"),Data_main[Data],$A27, Data_main[Segment],$B27, Data_main[Scenario],$B$3)),SUMIFS(INDIRECT("Data_main"&amp;"["&amp;V$8&amp;"]"),Data_main[Data],$A27, Data_main[Segment],$B27, Data_main[Scenario],$B$3))</f>
        <v>62.844102331524432</v>
      </c>
      <c r="W27" s="531">
        <f ca="1">IF($B$6="ON", IF(W26&gt;=covid_start, IF(W26&lt;covid_recovery,NA(),SUMIFS(INDIRECT("Data_main"&amp;"["&amp;W$8&amp;"]"),Data_main[Data],$A27, Data_main[Segment],$B27, Data_main[Scenario],$B$3)),SUMIFS(INDIRECT("Data_main"&amp;"["&amp;W$8&amp;"]"),Data_main[Data],$A27, Data_main[Segment],$B27, Data_main[Scenario],$B$3)),SUMIFS(INDIRECT("Data_main"&amp;"["&amp;W$8&amp;"]"),Data_main[Data],$A27, Data_main[Segment],$B27, Data_main[Scenario],$B$3))</f>
        <v>62.16958336759739</v>
      </c>
      <c r="X27" s="531">
        <f ca="1">IF($B$6="ON", IF(X26&gt;=covid_start, IF(X26&lt;covid_recovery,NA(),SUMIFS(INDIRECT("Data_main"&amp;"["&amp;X$8&amp;"]"),Data_main[Data],$A27, Data_main[Segment],$B27, Data_main[Scenario],$B$3)),SUMIFS(INDIRECT("Data_main"&amp;"["&amp;X$8&amp;"]"),Data_main[Data],$A27, Data_main[Segment],$B27, Data_main[Scenario],$B$3)),SUMIFS(INDIRECT("Data_main"&amp;"["&amp;X$8&amp;"]"),Data_main[Data],$A27, Data_main[Segment],$B27, Data_main[Scenario],$B$3))</f>
        <v>61.495064403670341</v>
      </c>
      <c r="Y27" s="531">
        <f ca="1">IF($B$6="ON", IF(Y26&gt;=covid_start, IF(Y26&lt;covid_recovery,NA(),SUMIFS(INDIRECT("Data_main"&amp;"["&amp;Y$8&amp;"]"),Data_main[Data],$A27, Data_main[Segment],$B27, Data_main[Scenario],$B$3)),SUMIFS(INDIRECT("Data_main"&amp;"["&amp;Y$8&amp;"]"),Data_main[Data],$A27, Data_main[Segment],$B27, Data_main[Scenario],$B$3)),SUMIFS(INDIRECT("Data_main"&amp;"["&amp;Y$8&amp;"]"),Data_main[Data],$A27, Data_main[Segment],$B27, Data_main[Scenario],$B$3))</f>
        <v>60.820545439743313</v>
      </c>
      <c r="Z27" s="531">
        <f ca="1">IF($B$6="ON", IF(Z26&gt;=covid_start, IF(Z26&lt;covid_recovery,NA(),SUMIFS(INDIRECT("Data_main"&amp;"["&amp;Z$8&amp;"]"),Data_main[Data],$A27, Data_main[Segment],$B27, Data_main[Scenario],$B$3)),SUMIFS(INDIRECT("Data_main"&amp;"["&amp;Z$8&amp;"]"),Data_main[Data],$A27, Data_main[Segment],$B27, Data_main[Scenario],$B$3)),SUMIFS(INDIRECT("Data_main"&amp;"["&amp;Z$8&amp;"]"),Data_main[Data],$A27, Data_main[Segment],$B27, Data_main[Scenario],$B$3))</f>
        <v>60.146026475816278</v>
      </c>
      <c r="AA27" s="531">
        <f ca="1">IF($B$6="ON", IF(AA26&gt;=covid_start, IF(AA26&lt;covid_recovery,NA(),SUMIFS(INDIRECT("Data_main"&amp;"["&amp;AA$8&amp;"]"),Data_main[Data],$A27, Data_main[Segment],$B27, Data_main[Scenario],$B$3)),SUMIFS(INDIRECT("Data_main"&amp;"["&amp;AA$8&amp;"]"),Data_main[Data],$A27, Data_main[Segment],$B27, Data_main[Scenario],$B$3)),SUMIFS(INDIRECT("Data_main"&amp;"["&amp;AA$8&amp;"]"),Data_main[Data],$A27, Data_main[Segment],$B27, Data_main[Scenario],$B$3))</f>
        <v>59.471507511889229</v>
      </c>
      <c r="AB27" s="531">
        <f ca="1">IF($B$6="ON", IF(AB26&gt;=covid_start, IF(AB26&lt;covid_recovery,NA(),SUMIFS(INDIRECT("Data_main"&amp;"["&amp;AB$8&amp;"]"),Data_main[Data],$A27, Data_main[Segment],$B27, Data_main[Scenario],$B$3)),SUMIFS(INDIRECT("Data_main"&amp;"["&amp;AB$8&amp;"]"),Data_main[Data],$A27, Data_main[Segment],$B27, Data_main[Scenario],$B$3)),SUMIFS(INDIRECT("Data_main"&amp;"["&amp;AB$8&amp;"]"),Data_main[Data],$A27, Data_main[Segment],$B27, Data_main[Scenario],$B$3))</f>
        <v>58.796988547962208</v>
      </c>
      <c r="AC27" s="531">
        <f ca="1">IF($B$6="ON", IF(AC26&gt;=covid_start, IF(AC26&lt;covid_recovery,NA(),SUMIFS(INDIRECT("Data_main"&amp;"["&amp;AC$8&amp;"]"),Data_main[Data],$A27, Data_main[Segment],$B27, Data_main[Scenario],$B$3)),SUMIFS(INDIRECT("Data_main"&amp;"["&amp;AC$8&amp;"]"),Data_main[Data],$A27, Data_main[Segment],$B27, Data_main[Scenario],$B$3)),SUMIFS(INDIRECT("Data_main"&amp;"["&amp;AC$8&amp;"]"),Data_main[Data],$A27, Data_main[Segment],$B27, Data_main[Scenario],$B$3))</f>
        <v>58.122469584035173</v>
      </c>
      <c r="AD27" s="531">
        <f ca="1">IF($B$6="ON", IF(AD26&gt;=covid_start, IF(AD26&lt;covid_recovery,NA(),SUMIFS(INDIRECT("Data_main"&amp;"["&amp;AD$8&amp;"]"),Data_main[Data],$A27, Data_main[Segment],$B27, Data_main[Scenario],$B$3)),SUMIFS(INDIRECT("Data_main"&amp;"["&amp;AD$8&amp;"]"),Data_main[Data],$A27, Data_main[Segment],$B27, Data_main[Scenario],$B$3)),SUMIFS(INDIRECT("Data_main"&amp;"["&amp;AD$8&amp;"]"),Data_main[Data],$A27, Data_main[Segment],$B27, Data_main[Scenario],$B$3))</f>
        <v>57.447950620108138</v>
      </c>
      <c r="AE27" s="531">
        <f ca="1">IF($B$6="ON", IF(AE26&gt;=covid_start, IF(AE26&lt;covid_recovery,NA(),SUMIFS(INDIRECT("Data_main"&amp;"["&amp;AE$8&amp;"]"),Data_main[Data],$A27, Data_main[Segment],$B27, Data_main[Scenario],$B$3)),SUMIFS(INDIRECT("Data_main"&amp;"["&amp;AE$8&amp;"]"),Data_main[Data],$A27, Data_main[Segment],$B27, Data_main[Scenario],$B$3)),SUMIFS(INDIRECT("Data_main"&amp;"["&amp;AE$8&amp;"]"),Data_main[Data],$A27, Data_main[Segment],$B27, Data_main[Scenario],$B$3))</f>
        <v>57.177014546690415</v>
      </c>
      <c r="AF27" s="531">
        <f ca="1">IF($B$6="ON", IF(AF26&gt;=covid_start, IF(AF26&lt;covid_recovery,NA(),SUMIFS(INDIRECT("Data_main"&amp;"["&amp;AF$8&amp;"]"),Data_main[Data],$A27, Data_main[Segment],$B27, Data_main[Scenario],$B$3)),SUMIFS(INDIRECT("Data_main"&amp;"["&amp;AF$8&amp;"]"),Data_main[Data],$A27, Data_main[Segment],$B27, Data_main[Scenario],$B$3)),SUMIFS(INDIRECT("Data_main"&amp;"["&amp;AF$8&amp;"]"),Data_main[Data],$A27, Data_main[Segment],$B27, Data_main[Scenario],$B$3))</f>
        <v>56.906078473272693</v>
      </c>
      <c r="AG27" s="531">
        <f ca="1">IF($B$6="ON", IF(AG26&gt;=covid_start, IF(AG26&lt;covid_recovery,NA(),SUMIFS(INDIRECT("Data_main"&amp;"["&amp;AG$8&amp;"]"),Data_main[Data],$A27, Data_main[Segment],$B27, Data_main[Scenario],$B$3)),SUMIFS(INDIRECT("Data_main"&amp;"["&amp;AG$8&amp;"]"),Data_main[Data],$A27, Data_main[Segment],$B27, Data_main[Scenario],$B$3)),SUMIFS(INDIRECT("Data_main"&amp;"["&amp;AG$8&amp;"]"),Data_main[Data],$A27, Data_main[Segment],$B27, Data_main[Scenario],$B$3))</f>
        <v>56.635142399854985</v>
      </c>
      <c r="AH27" s="531">
        <f ca="1">IF($B$6="ON", IF(AH26&gt;=covid_start, IF(AH26&lt;covid_recovery,NA(),SUMIFS(INDIRECT("Data_main"&amp;"["&amp;AH$8&amp;"]"),Data_main[Data],$A27, Data_main[Segment],$B27, Data_main[Scenario],$B$3)),SUMIFS(INDIRECT("Data_main"&amp;"["&amp;AH$8&amp;"]"),Data_main[Data],$A27, Data_main[Segment],$B27, Data_main[Scenario],$B$3)),SUMIFS(INDIRECT("Data_main"&amp;"["&amp;AH$8&amp;"]"),Data_main[Data],$A27, Data_main[Segment],$B27, Data_main[Scenario],$B$3))</f>
        <v>56.364206326437262</v>
      </c>
      <c r="AI27" s="531">
        <f ca="1">IF($B$6="ON", IF(AI26&gt;=covid_start, IF(AI26&lt;covid_recovery,NA(),SUMIFS(INDIRECT("Data_main"&amp;"["&amp;AI$8&amp;"]"),Data_main[Data],$A27, Data_main[Segment],$B27, Data_main[Scenario],$B$3)),SUMIFS(INDIRECT("Data_main"&amp;"["&amp;AI$8&amp;"]"),Data_main[Data],$A27, Data_main[Segment],$B27, Data_main[Scenario],$B$3)),SUMIFS(INDIRECT("Data_main"&amp;"["&amp;AI$8&amp;"]"),Data_main[Data],$A27, Data_main[Segment],$B27, Data_main[Scenario],$B$3))</f>
        <v>56.093270253019554</v>
      </c>
      <c r="AJ27" s="531">
        <f ca="1">IF($B$6="ON", IF(AJ26&gt;=covid_start, IF(AJ26&lt;covid_recovery,NA(),SUMIFS(INDIRECT("Data_main"&amp;"["&amp;AJ$8&amp;"]"),Data_main[Data],$A27, Data_main[Segment],$B27, Data_main[Scenario],$B$3)),SUMIFS(INDIRECT("Data_main"&amp;"["&amp;AJ$8&amp;"]"),Data_main[Data],$A27, Data_main[Segment],$B27, Data_main[Scenario],$B$3)),SUMIFS(INDIRECT("Data_main"&amp;"["&amp;AJ$8&amp;"]"),Data_main[Data],$A27, Data_main[Segment],$B27, Data_main[Scenario],$B$3))</f>
        <v>55.822334179601832</v>
      </c>
      <c r="AK27" s="531">
        <f ca="1">IF($B$6="ON", IF(AK26&gt;=covid_start, IF(AK26&lt;covid_recovery,NA(),SUMIFS(INDIRECT("Data_main"&amp;"["&amp;AK$8&amp;"]"),Data_main[Data],$A27, Data_main[Segment],$B27, Data_main[Scenario],$B$3)),SUMIFS(INDIRECT("Data_main"&amp;"["&amp;AK$8&amp;"]"),Data_main[Data],$A27, Data_main[Segment],$B27, Data_main[Scenario],$B$3)),SUMIFS(INDIRECT("Data_main"&amp;"["&amp;AK$8&amp;"]"),Data_main[Data],$A27, Data_main[Segment],$B27, Data_main[Scenario],$B$3))</f>
        <v>55.551398106184109</v>
      </c>
      <c r="AL27" s="531">
        <f ca="1">IF($B$6="ON", IF(AL26&gt;=covid_start, IF(AL26&lt;covid_recovery,NA(),SUMIFS(INDIRECT("Data_main"&amp;"["&amp;AL$8&amp;"]"),Data_main[Data],$A27, Data_main[Segment],$B27, Data_main[Scenario],$B$3)),SUMIFS(INDIRECT("Data_main"&amp;"["&amp;AL$8&amp;"]"),Data_main[Data],$A27, Data_main[Segment],$B27, Data_main[Scenario],$B$3)),SUMIFS(INDIRECT("Data_main"&amp;"["&amp;AL$8&amp;"]"),Data_main[Data],$A27, Data_main[Segment],$B27, Data_main[Scenario],$B$3))</f>
        <v>55.280462032766415</v>
      </c>
      <c r="AM27" s="531">
        <f ca="1">IF($B$6="ON", IF(AM26&gt;=covid_start, IF(AM26&lt;covid_recovery,NA(),SUMIFS(INDIRECT("Data_main"&amp;"["&amp;AM$8&amp;"]"),Data_main[Data],$A27, Data_main[Segment],$B27, Data_main[Scenario],$B$3)),SUMIFS(INDIRECT("Data_main"&amp;"["&amp;AM$8&amp;"]"),Data_main[Data],$A27, Data_main[Segment],$B27, Data_main[Scenario],$B$3)),SUMIFS(INDIRECT("Data_main"&amp;"["&amp;AM$8&amp;"]"),Data_main[Data],$A27, Data_main[Segment],$B27, Data_main[Scenario],$B$3))</f>
        <v>55.009525959348693</v>
      </c>
      <c r="AN27" s="531">
        <f ca="1">IF($B$6="ON", IF(AN26&gt;=covid_start, IF(AN26&lt;covid_recovery,NA(),SUMIFS(INDIRECT("Data_main"&amp;"["&amp;AN$8&amp;"]"),Data_main[Data],$A27, Data_main[Segment],$B27, Data_main[Scenario],$B$3)),SUMIFS(INDIRECT("Data_main"&amp;"["&amp;AN$8&amp;"]"),Data_main[Data],$A27, Data_main[Segment],$B27, Data_main[Scenario],$B$3)),SUMIFS(INDIRECT("Data_main"&amp;"["&amp;AN$8&amp;"]"),Data_main[Data],$A27, Data_main[Segment],$B27, Data_main[Scenario],$B$3))</f>
        <v>54.738589885930978</v>
      </c>
      <c r="AO27" s="531">
        <f ca="1">IF($B$6="ON", IF(AO26&gt;=covid_start, IF(AO26&lt;covid_recovery,NA(),SUMIFS(INDIRECT("Data_main"&amp;"["&amp;AO$8&amp;"]"),Data_main[Data],$A27, Data_main[Segment],$B27, Data_main[Scenario],$B$3)),SUMIFS(INDIRECT("Data_main"&amp;"["&amp;AO$8&amp;"]"),Data_main[Data],$A27, Data_main[Segment],$B27, Data_main[Scenario],$B$3)),SUMIFS(INDIRECT("Data_main"&amp;"["&amp;AO$8&amp;"]"),Data_main[Data],$A27, Data_main[Segment],$B27, Data_main[Scenario],$B$3))</f>
        <v>0</v>
      </c>
      <c r="AP27" s="531">
        <f ca="1">IF($B$6="ON", IF(AP26&gt;=covid_start, IF(AP26&lt;covid_recovery,NA(),SUMIFS(INDIRECT("Data_main"&amp;"["&amp;AP$8&amp;"]"),Data_main[Data],$A27, Data_main[Segment],$B27, Data_main[Scenario],$B$3)),SUMIFS(INDIRECT("Data_main"&amp;"["&amp;AP$8&amp;"]"),Data_main[Data],$A27, Data_main[Segment],$B27, Data_main[Scenario],$B$3)),SUMIFS(INDIRECT("Data_main"&amp;"["&amp;AP$8&amp;"]"),Data_main[Data],$A27, Data_main[Segment],$B27, Data_main[Scenario],$B$3))</f>
        <v>0</v>
      </c>
      <c r="AQ27" s="531">
        <f ca="1">IF($B$6="ON", IF(AQ26&gt;=covid_start, IF(AQ26&lt;covid_recovery,NA(),SUMIFS(INDIRECT("Data_main"&amp;"["&amp;AQ$8&amp;"]"),Data_main[Data],$A27, Data_main[Segment],$B27, Data_main[Scenario],$B$3)),SUMIFS(INDIRECT("Data_main"&amp;"["&amp;AQ$8&amp;"]"),Data_main[Data],$A27, Data_main[Segment],$B27, Data_main[Scenario],$B$3)),SUMIFS(INDIRECT("Data_main"&amp;"["&amp;AQ$8&amp;"]"),Data_main[Data],$A27, Data_main[Segment],$B27, Data_main[Scenario],$B$3))</f>
        <v>0</v>
      </c>
      <c r="AR27" s="531">
        <f ca="1">IF($B$6="ON", IF(AR26&gt;=covid_start, IF(AR26&lt;covid_recovery,NA(),SUMIFS(INDIRECT("Data_main"&amp;"["&amp;AR$8&amp;"]"),Data_main[Data],$A27, Data_main[Segment],$B27, Data_main[Scenario],$B$3)),SUMIFS(INDIRECT("Data_main"&amp;"["&amp;AR$8&amp;"]"),Data_main[Data],$A27, Data_main[Segment],$B27, Data_main[Scenario],$B$3)),SUMIFS(INDIRECT("Data_main"&amp;"["&amp;AR$8&amp;"]"),Data_main[Data],$A27, Data_main[Segment],$B27, Data_main[Scenario],$B$3))</f>
        <v>0</v>
      </c>
      <c r="AS27" s="531">
        <f ca="1">IF($B$6="ON", IF(AS26&gt;=covid_start, IF(AS26&lt;covid_recovery,NA(),SUMIFS(INDIRECT("Data_main"&amp;"["&amp;AS$8&amp;"]"),Data_main[Data],$A27, Data_main[Segment],$B27, Data_main[Scenario],$B$3)),SUMIFS(INDIRECT("Data_main"&amp;"["&amp;AS$8&amp;"]"),Data_main[Data],$A27, Data_main[Segment],$B27, Data_main[Scenario],$B$3)),SUMIFS(INDIRECT("Data_main"&amp;"["&amp;AS$8&amp;"]"),Data_main[Data],$A27, Data_main[Segment],$B27, Data_main[Scenario],$B$3))</f>
        <v>0</v>
      </c>
      <c r="AT27" s="531">
        <f ca="1">IF($B$6="ON", IF(AT26&gt;=covid_start, IF(AT26&lt;covid_recovery,NA(),SUMIFS(INDIRECT("Data_main"&amp;"["&amp;AT$8&amp;"]"),Data_main[Data],$A27, Data_main[Segment],$B27, Data_main[Scenario],$B$3)),SUMIFS(INDIRECT("Data_main"&amp;"["&amp;AT$8&amp;"]"),Data_main[Data],$A27, Data_main[Segment],$B27, Data_main[Scenario],$B$3)),SUMIFS(INDIRECT("Data_main"&amp;"["&amp;AT$8&amp;"]"),Data_main[Data],$A27, Data_main[Segment],$B27, Data_main[Scenario],$B$3))</f>
        <v>0</v>
      </c>
      <c r="AU27" s="531">
        <f ca="1">IF($B$6="ON", IF(AU26&gt;=covid_start, IF(AU26&lt;covid_recovery,NA(),SUMIFS(INDIRECT("Data_main"&amp;"["&amp;AU$8&amp;"]"),Data_main[Data],$A27, Data_main[Segment],$B27, Data_main[Scenario],$B$3)),SUMIFS(INDIRECT("Data_main"&amp;"["&amp;AU$8&amp;"]"),Data_main[Data],$A27, Data_main[Segment],$B27, Data_main[Scenario],$B$3)),SUMIFS(INDIRECT("Data_main"&amp;"["&amp;AU$8&amp;"]"),Data_main[Data],$A27, Data_main[Segment],$B27, Data_main[Scenario],$B$3))</f>
        <v>0</v>
      </c>
      <c r="AV27" s="531">
        <f ca="1">IF($B$6="ON", IF(AV26&gt;=covid_start, IF(AV26&lt;covid_recovery,NA(),SUMIFS(INDIRECT("Data_main"&amp;"["&amp;AV$8&amp;"]"),Data_main[Data],$A27, Data_main[Segment],$B27, Data_main[Scenario],$B$3)),SUMIFS(INDIRECT("Data_main"&amp;"["&amp;AV$8&amp;"]"),Data_main[Data],$A27, Data_main[Segment],$B27, Data_main[Scenario],$B$3)),SUMIFS(INDIRECT("Data_main"&amp;"["&amp;AV$8&amp;"]"),Data_main[Data],$A27, Data_main[Segment],$B27, Data_main[Scenario],$B$3))</f>
        <v>0</v>
      </c>
      <c r="AW27" s="531">
        <f ca="1">IF($B$6="ON", IF(AW26&gt;=covid_start, IF(AW26&lt;covid_recovery,NA(),SUMIFS(INDIRECT("Data_main"&amp;"["&amp;AW$8&amp;"]"),Data_main[Data],$A27, Data_main[Segment],$B27, Data_main[Scenario],$B$3)),SUMIFS(INDIRECT("Data_main"&amp;"["&amp;AW$8&amp;"]"),Data_main[Data],$A27, Data_main[Segment],$B27, Data_main[Scenario],$B$3)),SUMIFS(INDIRECT("Data_main"&amp;"["&amp;AW$8&amp;"]"),Data_main[Data],$A27, Data_main[Segment],$B27, Data_main[Scenario],$B$3))</f>
        <v>0</v>
      </c>
      <c r="AX27" s="531">
        <f ca="1">IF($B$6="ON", IF(AX26&gt;=covid_start, IF(AX26&lt;covid_recovery,NA(),SUMIFS(INDIRECT("Data_main"&amp;"["&amp;AX$8&amp;"]"),Data_main[Data],$A27, Data_main[Segment],$B27, Data_main[Scenario],$B$3)),SUMIFS(INDIRECT("Data_main"&amp;"["&amp;AX$8&amp;"]"),Data_main[Data],$A27, Data_main[Segment],$B27, Data_main[Scenario],$B$3)),SUMIFS(INDIRECT("Data_main"&amp;"["&amp;AX$8&amp;"]"),Data_main[Data],$A27, Data_main[Segment],$B27, Data_main[Scenario],$B$3))</f>
        <v>0</v>
      </c>
      <c r="AY27" s="531">
        <f ca="1">IF($B$6="ON", IF(AY26&gt;=covid_start, IF(AY26&lt;covid_recovery,NA(),SUMIFS(INDIRECT("Data_main"&amp;"["&amp;AY$8&amp;"]"),Data_main[Data],$A27, Data_main[Segment],$B27, Data_main[Scenario],$B$3)),SUMIFS(INDIRECT("Data_main"&amp;"["&amp;AY$8&amp;"]"),Data_main[Data],$A27, Data_main[Segment],$B27, Data_main[Scenario],$B$3)),SUMIFS(INDIRECT("Data_main"&amp;"["&amp;AY$8&amp;"]"),Data_main[Data],$A27, Data_main[Segment],$B27, Data_main[Scenario],$B$3))</f>
        <v>0</v>
      </c>
      <c r="AZ27" s="531">
        <f ca="1">IF($B$6="ON", IF(AZ26&gt;=covid_start, IF(AZ26&lt;covid_recovery,NA(),SUMIFS(INDIRECT("Data_main"&amp;"["&amp;AZ$8&amp;"]"),Data_main[Data],$A27, Data_main[Segment],$B27, Data_main[Scenario],$B$3)),SUMIFS(INDIRECT("Data_main"&amp;"["&amp;AZ$8&amp;"]"),Data_main[Data],$A27, Data_main[Segment],$B27, Data_main[Scenario],$B$3)),SUMIFS(INDIRECT("Data_main"&amp;"["&amp;AZ$8&amp;"]"),Data_main[Data],$A27, Data_main[Segment],$B27, Data_main[Scenario],$B$3))</f>
        <v>0</v>
      </c>
      <c r="BA27" s="531">
        <f ca="1">IF($B$6="ON", IF(BA26&gt;=covid_start, IF(BA26&lt;covid_recovery,NA(),SUMIFS(INDIRECT("Data_main"&amp;"["&amp;BA$8&amp;"]"),Data_main[Data],$A27, Data_main[Segment],$B27, Data_main[Scenario],$B$3)),SUMIFS(INDIRECT("Data_main"&amp;"["&amp;BA$8&amp;"]"),Data_main[Data],$A27, Data_main[Segment],$B27, Data_main[Scenario],$B$3)),SUMIFS(INDIRECT("Data_main"&amp;"["&amp;BA$8&amp;"]"),Data_main[Data],$A27, Data_main[Segment],$B27, Data_main[Scenario],$B$3))</f>
        <v>0</v>
      </c>
      <c r="BB27" s="531">
        <f ca="1">IF($B$6="ON", IF(BB26&gt;=covid_start, IF(BB26&lt;covid_recovery,NA(),SUMIFS(INDIRECT("Data_main"&amp;"["&amp;BB$8&amp;"]"),Data_main[Data],$A27, Data_main[Segment],$B27, Data_main[Scenario],$B$3)),SUMIFS(INDIRECT("Data_main"&amp;"["&amp;BB$8&amp;"]"),Data_main[Data],$A27, Data_main[Segment],$B27, Data_main[Scenario],$B$3)),SUMIFS(INDIRECT("Data_main"&amp;"["&amp;BB$8&amp;"]"),Data_main[Data],$A27, Data_main[Segment],$B27, Data_main[Scenario],$B$3))</f>
        <v>0</v>
      </c>
      <c r="BC27" s="531">
        <f ca="1">IF($B$6="ON", IF(BC26&gt;=covid_start, IF(BC26&lt;covid_recovery,NA(),SUMIFS(INDIRECT("Data_main"&amp;"["&amp;BC$8&amp;"]"),Data_main[Data],$A27, Data_main[Segment],$B27, Data_main[Scenario],$B$3)),SUMIFS(INDIRECT("Data_main"&amp;"["&amp;BC$8&amp;"]"),Data_main[Data],$A27, Data_main[Segment],$B27, Data_main[Scenario],$B$3)),SUMIFS(INDIRECT("Data_main"&amp;"["&amp;BC$8&amp;"]"),Data_main[Data],$A27, Data_main[Segment],$B27, Data_main[Scenario],$B$3))</f>
        <v>0</v>
      </c>
      <c r="BD27" s="531">
        <f ca="1">IF($B$6="ON", IF(BD26&gt;=covid_start, IF(BD26&lt;covid_recovery,NA(),SUMIFS(INDIRECT("Data_main"&amp;"["&amp;BD$8&amp;"]"),Data_main[Data],$A27, Data_main[Segment],$B27, Data_main[Scenario],$B$3)),SUMIFS(INDIRECT("Data_main"&amp;"["&amp;BD$8&amp;"]"),Data_main[Data],$A27, Data_main[Segment],$B27, Data_main[Scenario],$B$3)),SUMIFS(INDIRECT("Data_main"&amp;"["&amp;BD$8&amp;"]"),Data_main[Data],$A27, Data_main[Segment],$B27, Data_main[Scenario],$B$3))</f>
        <v>0</v>
      </c>
      <c r="BE27" s="531">
        <f ca="1">IF($B$6="ON", IF(BE26&gt;=covid_start, IF(BE26&lt;covid_recovery,NA(),SUMIFS(INDIRECT("Data_main"&amp;"["&amp;BE$8&amp;"]"),Data_main[Data],$A27, Data_main[Segment],$B27, Data_main[Scenario],$B$3)),SUMIFS(INDIRECT("Data_main"&amp;"["&amp;BE$8&amp;"]"),Data_main[Data],$A27, Data_main[Segment],$B27, Data_main[Scenario],$B$3)),SUMIFS(INDIRECT("Data_main"&amp;"["&amp;BE$8&amp;"]"),Data_main[Data],$A27, Data_main[Segment],$B27, Data_main[Scenario],$B$3))</f>
        <v>0</v>
      </c>
      <c r="BF27" s="531">
        <f ca="1">IF($B$6="ON", IF(BF26&gt;=covid_start, IF(BF26&lt;covid_recovery,NA(),SUMIFS(INDIRECT("Data_main"&amp;"["&amp;BF$8&amp;"]"),Data_main[Data],$A27, Data_main[Segment],$B27, Data_main[Scenario],$B$3)),SUMIFS(INDIRECT("Data_main"&amp;"["&amp;BF$8&amp;"]"),Data_main[Data],$A27, Data_main[Segment],$B27, Data_main[Scenario],$B$3)),SUMIFS(INDIRECT("Data_main"&amp;"["&amp;BF$8&amp;"]"),Data_main[Data],$A27, Data_main[Segment],$B27, Data_main[Scenario],$B$3))</f>
        <v>0</v>
      </c>
      <c r="BG27" s="531">
        <f ca="1">IF($B$6="ON", IF(BG26&gt;=covid_start, IF(BG26&lt;covid_recovery,NA(),SUMIFS(INDIRECT("Data_main"&amp;"["&amp;BG$8&amp;"]"),Data_main[Data],$A27, Data_main[Segment],$B27, Data_main[Scenario],$B$3)),SUMIFS(INDIRECT("Data_main"&amp;"["&amp;BG$8&amp;"]"),Data_main[Data],$A27, Data_main[Segment],$B27, Data_main[Scenario],$B$3)),SUMIFS(INDIRECT("Data_main"&amp;"["&amp;BG$8&amp;"]"),Data_main[Data],$A27, Data_main[Segment],$B27, Data_main[Scenario],$B$3))</f>
        <v>0</v>
      </c>
      <c r="BH27" s="531">
        <f ca="1">IF($B$6="ON", IF(BH26&gt;=covid_start, IF(BH26&lt;covid_recovery,NA(),SUMIFS(INDIRECT("Data_main"&amp;"["&amp;BH$8&amp;"]"),Data_main[Data],$A27, Data_main[Segment],$B27, Data_main[Scenario],$B$3)),SUMIFS(INDIRECT("Data_main"&amp;"["&amp;BH$8&amp;"]"),Data_main[Data],$A27, Data_main[Segment],$B27, Data_main[Scenario],$B$3)),SUMIFS(INDIRECT("Data_main"&amp;"["&amp;BH$8&amp;"]"),Data_main[Data],$A27, Data_main[Segment],$B27, Data_main[Scenario],$B$3))</f>
        <v>0</v>
      </c>
      <c r="BI27" s="531">
        <f ca="1">IF($B$6="ON", IF(BI26&gt;=covid_start, IF(BI26&lt;covid_recovery,NA(),SUMIFS(INDIRECT("Data_main"&amp;"["&amp;BI$8&amp;"]"),Data_main[Data],$A27, Data_main[Segment],$B27, Data_main[Scenario],$B$3)),SUMIFS(INDIRECT("Data_main"&amp;"["&amp;BI$8&amp;"]"),Data_main[Data],$A27, Data_main[Segment],$B27, Data_main[Scenario],$B$3)),SUMIFS(INDIRECT("Data_main"&amp;"["&amp;BI$8&amp;"]"),Data_main[Data],$A27, Data_main[Segment],$B27, Data_main[Scenario],$B$3))</f>
        <v>0</v>
      </c>
      <c r="BJ27" s="531">
        <f ca="1">IF($B$6="ON", IF(BJ26&gt;=covid_start, IF(BJ26&lt;covid_recovery,NA(),SUMIFS(INDIRECT("Data_main"&amp;"["&amp;BJ$8&amp;"]"),Data_main[Data],$A27, Data_main[Segment],$B27, Data_main[Scenario],$B$3)),SUMIFS(INDIRECT("Data_main"&amp;"["&amp;BJ$8&amp;"]"),Data_main[Data],$A27, Data_main[Segment],$B27, Data_main[Scenario],$B$3)),SUMIFS(INDIRECT("Data_main"&amp;"["&amp;BJ$8&amp;"]"),Data_main[Data],$A27, Data_main[Segment],$B27, Data_main[Scenario],$B$3))</f>
        <v>0</v>
      </c>
      <c r="BK27" s="531">
        <f ca="1">IF($B$6="ON", IF(BK26&gt;=covid_start, IF(BK26&lt;covid_recovery,NA(),SUMIFS(INDIRECT("Data_main"&amp;"["&amp;BK$8&amp;"]"),Data_main[Data],$A27, Data_main[Segment],$B27, Data_main[Scenario],$B$3)),SUMIFS(INDIRECT("Data_main"&amp;"["&amp;BK$8&amp;"]"),Data_main[Data],$A27, Data_main[Segment],$B27, Data_main[Scenario],$B$3)),SUMIFS(INDIRECT("Data_main"&amp;"["&amp;BK$8&amp;"]"),Data_main[Data],$A27, Data_main[Segment],$B27, Data_main[Scenario],$B$3))</f>
        <v>0</v>
      </c>
      <c r="BL27" s="531">
        <f ca="1">IF($B$6="ON", IF(BL26&gt;=covid_start, IF(BL26&lt;covid_recovery,NA(),SUMIFS(INDIRECT("Data_main"&amp;"["&amp;BL$8&amp;"]"),Data_main[Data],$A27, Data_main[Segment],$B27, Data_main[Scenario],$B$3)),SUMIFS(INDIRECT("Data_main"&amp;"["&amp;BL$8&amp;"]"),Data_main[Data],$A27, Data_main[Segment],$B27, Data_main[Scenario],$B$3)),SUMIFS(INDIRECT("Data_main"&amp;"["&amp;BL$8&amp;"]"),Data_main[Data],$A27, Data_main[Segment],$B27, Data_main[Scenario],$B$3))</f>
        <v>0</v>
      </c>
      <c r="BM27" s="531">
        <f ca="1">IF($B$6="ON", IF(BM26&gt;=covid_start, IF(BM26&lt;covid_recovery,NA(),SUMIFS(INDIRECT("Data_main"&amp;"["&amp;BM$8&amp;"]"),Data_main[Data],$A27, Data_main[Segment],$B27, Data_main[Scenario],$B$3)),SUMIFS(INDIRECT("Data_main"&amp;"["&amp;BM$8&amp;"]"),Data_main[Data],$A27, Data_main[Segment],$B27, Data_main[Scenario],$B$3)),SUMIFS(INDIRECT("Data_main"&amp;"["&amp;BM$8&amp;"]"),Data_main[Data],$A27, Data_main[Segment],$B27, Data_main[Scenario],$B$3))</f>
        <v>0</v>
      </c>
      <c r="BN27" s="531">
        <f ca="1">IF($B$6="ON", IF(BN26&gt;=covid_start, IF(BN26&lt;covid_recovery,NA(),SUMIFS(INDIRECT("Data_main"&amp;"["&amp;BN$8&amp;"]"),Data_main[Data],$A27, Data_main[Segment],$B27, Data_main[Scenario],$B$3)),SUMIFS(INDIRECT("Data_main"&amp;"["&amp;BN$8&amp;"]"),Data_main[Data],$A27, Data_main[Segment],$B27, Data_main[Scenario],$B$3)),SUMIFS(INDIRECT("Data_main"&amp;"["&amp;BN$8&amp;"]"),Data_main[Data],$A27, Data_main[Segment],$B27, Data_main[Scenario],$B$3))</f>
        <v>0</v>
      </c>
      <c r="BO27" s="531">
        <f ca="1">IF($B$6="ON", IF(BO26&gt;=covid_start, IF(BO26&lt;covid_recovery,NA(),SUMIFS(INDIRECT("Data_main"&amp;"["&amp;BO$8&amp;"]"),Data_main[Data],$A27, Data_main[Segment],$B27, Data_main[Scenario],$B$3)),SUMIFS(INDIRECT("Data_main"&amp;"["&amp;BO$8&amp;"]"),Data_main[Data],$A27, Data_main[Segment],$B27, Data_main[Scenario],$B$3)),SUMIFS(INDIRECT("Data_main"&amp;"["&amp;BO$8&amp;"]"),Data_main[Data],$A27, Data_main[Segment],$B27, Data_main[Scenario],$B$3))</f>
        <v>0</v>
      </c>
      <c r="BP27" s="531">
        <f ca="1">IF($B$6="ON", IF(BP26&gt;=covid_start, IF(BP26&lt;covid_recovery,NA(),SUMIFS(INDIRECT("Data_main"&amp;"["&amp;BP$8&amp;"]"),Data_main[Data],$A27, Data_main[Segment],$B27, Data_main[Scenario],$B$3)),SUMIFS(INDIRECT("Data_main"&amp;"["&amp;BP$8&amp;"]"),Data_main[Data],$A27, Data_main[Segment],$B27, Data_main[Scenario],$B$3)),SUMIFS(INDIRECT("Data_main"&amp;"["&amp;BP$8&amp;"]"),Data_main[Data],$A27, Data_main[Segment],$B27, Data_main[Scenario],$B$3))</f>
        <v>0</v>
      </c>
      <c r="BQ27" s="531">
        <f ca="1">IF($B$6="ON", IF(BQ26&gt;=covid_start, IF(BQ26&lt;covid_recovery,NA(),SUMIFS(INDIRECT("Data_main"&amp;"["&amp;BQ$8&amp;"]"),Data_main[Data],$A27, Data_main[Segment],$B27, Data_main[Scenario],$B$3)),SUMIFS(INDIRECT("Data_main"&amp;"["&amp;BQ$8&amp;"]"),Data_main[Data],$A27, Data_main[Segment],$B27, Data_main[Scenario],$B$3)),SUMIFS(INDIRECT("Data_main"&amp;"["&amp;BQ$8&amp;"]"),Data_main[Data],$A27, Data_main[Segment],$B27, Data_main[Scenario],$B$3))</f>
        <v>0</v>
      </c>
      <c r="BR27" s="531">
        <f ca="1">IF($B$6="ON", IF(BR26&gt;=covid_start, IF(BR26&lt;covid_recovery,NA(),SUMIFS(INDIRECT("Data_main"&amp;"["&amp;BR$8&amp;"]"),Data_main[Data],$A27, Data_main[Segment],$B27, Data_main[Scenario],$B$3)),SUMIFS(INDIRECT("Data_main"&amp;"["&amp;BR$8&amp;"]"),Data_main[Data],$A27, Data_main[Segment],$B27, Data_main[Scenario],$B$3)),SUMIFS(INDIRECT("Data_main"&amp;"["&amp;BR$8&amp;"]"),Data_main[Data],$A27, Data_main[Segment],$B27, Data_main[Scenario],$B$3))</f>
        <v>0</v>
      </c>
      <c r="BS27" s="531">
        <f ca="1">IF($B$6="ON", IF(BS26&gt;=covid_start, IF(BS26&lt;covid_recovery,NA(),SUMIFS(INDIRECT("Data_main"&amp;"["&amp;BS$8&amp;"]"),Data_main[Data],$A27, Data_main[Segment],$B27, Data_main[Scenario],$B$3)),SUMIFS(INDIRECT("Data_main"&amp;"["&amp;BS$8&amp;"]"),Data_main[Data],$A27, Data_main[Segment],$B27, Data_main[Scenario],$B$3)),SUMIFS(INDIRECT("Data_main"&amp;"["&amp;BS$8&amp;"]"),Data_main[Data],$A27, Data_main[Segment],$B27, Data_main[Scenario],$B$3))</f>
        <v>0</v>
      </c>
      <c r="BT27" s="531">
        <f ca="1">IF($B$6="ON", IF(BT26&gt;=covid_start, IF(BT26&lt;covid_recovery,NA(),SUMIFS(INDIRECT("Data_main"&amp;"["&amp;BT$8&amp;"]"),Data_main[Data],$A27, Data_main[Segment],$B27, Data_main[Scenario],$B$3)),SUMIFS(INDIRECT("Data_main"&amp;"["&amp;BT$8&amp;"]"),Data_main[Data],$A27, Data_main[Segment],$B27, Data_main[Scenario],$B$3)),SUMIFS(INDIRECT("Data_main"&amp;"["&amp;BT$8&amp;"]"),Data_main[Data],$A27, Data_main[Segment],$B27, Data_main[Scenario],$B$3))</f>
        <v>0</v>
      </c>
      <c r="BU27" s="531">
        <f ca="1">IF($B$6="ON", IF(BU26&gt;=covid_start, IF(BU26&lt;covid_recovery,NA(),SUMIFS(INDIRECT("Data_main"&amp;"["&amp;BU$8&amp;"]"),Data_main[Data],$A27, Data_main[Segment],$B27, Data_main[Scenario],$B$3)),SUMIFS(INDIRECT("Data_main"&amp;"["&amp;BU$8&amp;"]"),Data_main[Data],$A27, Data_main[Segment],$B27, Data_main[Scenario],$B$3)),SUMIFS(INDIRECT("Data_main"&amp;"["&amp;BU$8&amp;"]"),Data_main[Data],$A27, Data_main[Segment],$B27, Data_main[Scenario],$B$3))</f>
        <v>0</v>
      </c>
      <c r="BV27" s="531">
        <f ca="1">IF($B$6="ON", IF(BV26&gt;=covid_start, IF(BV26&lt;covid_recovery,NA(),SUMIFS(INDIRECT("Data_main"&amp;"["&amp;BV$8&amp;"]"),Data_main[Data],$A27, Data_main[Segment],$B27, Data_main[Scenario],$B$3)),SUMIFS(INDIRECT("Data_main"&amp;"["&amp;BV$8&amp;"]"),Data_main[Data],$A27, Data_main[Segment],$B27, Data_main[Scenario],$B$3)),SUMIFS(INDIRECT("Data_main"&amp;"["&amp;BV$8&amp;"]"),Data_main[Data],$A27, Data_main[Segment],$B27, Data_main[Scenario],$B$3))</f>
        <v>0</v>
      </c>
      <c r="BW27" s="531">
        <f ca="1">IF($B$6="ON", IF(BW26&gt;=covid_start, IF(BW26&lt;covid_recovery,NA(),SUMIFS(INDIRECT("Data_main"&amp;"["&amp;BW$8&amp;"]"),Data_main[Data],$A27, Data_main[Segment],$B27, Data_main[Scenario],$B$3)),SUMIFS(INDIRECT("Data_main"&amp;"["&amp;BW$8&amp;"]"),Data_main[Data],$A27, Data_main[Segment],$B27, Data_main[Scenario],$B$3)),SUMIFS(INDIRECT("Data_main"&amp;"["&amp;BW$8&amp;"]"),Data_main[Data],$A27, Data_main[Segment],$B27, Data_main[Scenario],$B$3))</f>
        <v>0</v>
      </c>
      <c r="BX27" s="531">
        <f ca="1">IF($B$6="ON", IF(BX26&gt;=covid_start, IF(BX26&lt;covid_recovery,NA(),SUMIFS(INDIRECT("Data_main"&amp;"["&amp;BX$8&amp;"]"),Data_main[Data],$A27, Data_main[Segment],$B27, Data_main[Scenario],$B$3)),SUMIFS(INDIRECT("Data_main"&amp;"["&amp;BX$8&amp;"]"),Data_main[Data],$A27, Data_main[Segment],$B27, Data_main[Scenario],$B$3)),SUMIFS(INDIRECT("Data_main"&amp;"["&amp;BX$8&amp;"]"),Data_main[Data],$A27, Data_main[Segment],$B27, Data_main[Scenario],$B$3))</f>
        <v>0</v>
      </c>
      <c r="BY27" s="531">
        <f ca="1">IF($B$6="ON", IF(BY26&gt;=covid_start, IF(BY26&lt;covid_recovery,NA(),SUMIFS(INDIRECT("Data_main"&amp;"["&amp;BY$8&amp;"]"),Data_main[Data],$A27, Data_main[Segment],$B27, Data_main[Scenario],$B$3)),SUMIFS(INDIRECT("Data_main"&amp;"["&amp;BY$8&amp;"]"),Data_main[Data],$A27, Data_main[Segment],$B27, Data_main[Scenario],$B$3)),SUMIFS(INDIRECT("Data_main"&amp;"["&amp;BY$8&amp;"]"),Data_main[Data],$A27, Data_main[Segment],$B27, Data_main[Scenario],$B$3))</f>
        <v>0</v>
      </c>
      <c r="BZ27" s="531">
        <f ca="1">IF($B$6="ON", IF(BZ26&gt;=covid_start, IF(BZ26&lt;covid_recovery,NA(),SUMIFS(INDIRECT("Data_main"&amp;"["&amp;BZ$8&amp;"]"),Data_main[Data],$A27, Data_main[Segment],$B27, Data_main[Scenario],$B$3)),SUMIFS(INDIRECT("Data_main"&amp;"["&amp;BZ$8&amp;"]"),Data_main[Data],$A27, Data_main[Segment],$B27, Data_main[Scenario],$B$3)),SUMIFS(INDIRECT("Data_main"&amp;"["&amp;BZ$8&amp;"]"),Data_main[Data],$A27, Data_main[Segment],$B27, Data_main[Scenario],$B$3))</f>
        <v>0</v>
      </c>
      <c r="CA27" s="531">
        <f ca="1">IF($B$6="ON", IF(CA26&gt;=covid_start, IF(CA26&lt;covid_recovery,NA(),SUMIFS(INDIRECT("Data_main"&amp;"["&amp;CA$8&amp;"]"),Data_main[Data],$A27, Data_main[Segment],$B27, Data_main[Scenario],$B$3)),SUMIFS(INDIRECT("Data_main"&amp;"["&amp;CA$8&amp;"]"),Data_main[Data],$A27, Data_main[Segment],$B27, Data_main[Scenario],$B$3)),SUMIFS(INDIRECT("Data_main"&amp;"["&amp;CA$8&amp;"]"),Data_main[Data],$A27, Data_main[Segment],$B27, Data_main[Scenario],$B$3))</f>
        <v>0</v>
      </c>
      <c r="CB27" s="531">
        <f ca="1">IF($B$6="ON", IF(CB26&gt;=covid_start, IF(CB26&lt;covid_recovery,NA(),SUMIFS(INDIRECT("Data_main"&amp;"["&amp;CB$8&amp;"]"),Data_main[Data],$A27, Data_main[Segment],$B27, Data_main[Scenario],$B$3)),SUMIFS(INDIRECT("Data_main"&amp;"["&amp;CB$8&amp;"]"),Data_main[Data],$A27, Data_main[Segment],$B27, Data_main[Scenario],$B$3)),SUMIFS(INDIRECT("Data_main"&amp;"["&amp;CB$8&amp;"]"),Data_main[Data],$A27, Data_main[Segment],$B27, Data_main[Scenario],$B$3))</f>
        <v>0</v>
      </c>
      <c r="CC27" s="531">
        <f ca="1">IF($B$6="ON", IF(CC26&gt;=covid_start, IF(CC26&lt;covid_recovery,NA(),SUMIFS(INDIRECT("Data_main"&amp;"["&amp;CC$8&amp;"]"),Data_main[Data],$A27, Data_main[Segment],$B27, Data_main[Scenario],$B$3)),SUMIFS(INDIRECT("Data_main"&amp;"["&amp;CC$8&amp;"]"),Data_main[Data],$A27, Data_main[Segment],$B27, Data_main[Scenario],$B$3)),SUMIFS(INDIRECT("Data_main"&amp;"["&amp;CC$8&amp;"]"),Data_main[Data],$A27, Data_main[Segment],$B27, Data_main[Scenario],$B$3))</f>
        <v>0</v>
      </c>
      <c r="CD27" s="531">
        <f ca="1">IF($B$6="ON", IF(CD26&gt;=covid_start, IF(CD26&lt;covid_recovery,NA(),SUMIFS(INDIRECT("Data_main"&amp;"["&amp;CD$8&amp;"]"),Data_main[Data],$A27, Data_main[Segment],$B27, Data_main[Scenario],$B$3)),SUMIFS(INDIRECT("Data_main"&amp;"["&amp;CD$8&amp;"]"),Data_main[Data],$A27, Data_main[Segment],$B27, Data_main[Scenario],$B$3)),SUMIFS(INDIRECT("Data_main"&amp;"["&amp;CD$8&amp;"]"),Data_main[Data],$A27, Data_main[Segment],$B27, Data_main[Scenario],$B$3))</f>
        <v>0</v>
      </c>
      <c r="CE27" s="531">
        <f ca="1">IF($B$6="ON", IF(CE26&gt;=covid_start, IF(CE26&lt;covid_recovery,NA(),SUMIFS(INDIRECT("Data_main"&amp;"["&amp;CE$8&amp;"]"),Data_main[Data],$A27, Data_main[Segment],$B27, Data_main[Scenario],$B$3)),SUMIFS(INDIRECT("Data_main"&amp;"["&amp;CE$8&amp;"]"),Data_main[Data],$A27, Data_main[Segment],$B27, Data_main[Scenario],$B$3)),SUMIFS(INDIRECT("Data_main"&amp;"["&amp;CE$8&amp;"]"),Data_main[Data],$A27, Data_main[Segment],$B27, Data_main[Scenario],$B$3))</f>
        <v>0</v>
      </c>
      <c r="CF27" s="531">
        <f ca="1">IF($B$6="ON", IF(CF26&gt;=covid_start, IF(CF26&lt;covid_recovery,NA(),SUMIFS(INDIRECT("Data_main"&amp;"["&amp;CF$8&amp;"]"),Data_main[Data],$A27, Data_main[Segment],$B27, Data_main[Scenario],$B$3)),SUMIFS(INDIRECT("Data_main"&amp;"["&amp;CF$8&amp;"]"),Data_main[Data],$A27, Data_main[Segment],$B27, Data_main[Scenario],$B$3)),SUMIFS(INDIRECT("Data_main"&amp;"["&amp;CF$8&amp;"]"),Data_main[Data],$A27, Data_main[Segment],$B27, Data_main[Scenario],$B$3))</f>
        <v>0</v>
      </c>
      <c r="CG27" s="531">
        <f ca="1">IF($B$6="ON", IF(CG26&gt;=covid_start, IF(CG26&lt;covid_recovery,NA(),SUMIFS(INDIRECT("Data_main"&amp;"["&amp;CG$8&amp;"]"),Data_main[Data],$A27, Data_main[Segment],$B27, Data_main[Scenario],$B$3)),SUMIFS(INDIRECT("Data_main"&amp;"["&amp;CG$8&amp;"]"),Data_main[Data],$A27, Data_main[Segment],$B27, Data_main[Scenario],$B$3)),SUMIFS(INDIRECT("Data_main"&amp;"["&amp;CG$8&amp;"]"),Data_main[Data],$A27, Data_main[Segment],$B27, Data_main[Scenario],$B$3))</f>
        <v>0</v>
      </c>
      <c r="CH27" s="531">
        <f ca="1">IF($B$6="ON", IF(CH26&gt;=covid_start, IF(CH26&lt;covid_recovery,NA(),SUMIFS(INDIRECT("Data_main"&amp;"["&amp;CH$8&amp;"]"),Data_main[Data],$A27, Data_main[Segment],$B27, Data_main[Scenario],$B$3)),SUMIFS(INDIRECT("Data_main"&amp;"["&amp;CH$8&amp;"]"),Data_main[Data],$A27, Data_main[Segment],$B27, Data_main[Scenario],$B$3)),SUMIFS(INDIRECT("Data_main"&amp;"["&amp;CH$8&amp;"]"),Data_main[Data],$A27, Data_main[Segment],$B27, Data_main[Scenario],$B$3))</f>
        <v>0</v>
      </c>
      <c r="CI27" s="531">
        <f ca="1">IF($B$6="ON", IF(CI26&gt;=covid_start, IF(CI26&lt;covid_recovery,NA(),SUMIFS(INDIRECT("Data_main"&amp;"["&amp;CI$8&amp;"]"),Data_main[Data],$A27, Data_main[Segment],$B27, Data_main[Scenario],$B$3)),SUMIFS(INDIRECT("Data_main"&amp;"["&amp;CI$8&amp;"]"),Data_main[Data],$A27, Data_main[Segment],$B27, Data_main[Scenario],$B$3)),SUMIFS(INDIRECT("Data_main"&amp;"["&amp;CI$8&amp;"]"),Data_main[Data],$A27, Data_main[Segment],$B27, Data_main[Scenario],$B$3))</f>
        <v>0</v>
      </c>
      <c r="CJ27" s="531">
        <f ca="1">IF($B$6="ON", IF(CJ26&gt;=covid_start, IF(CJ26&lt;covid_recovery,NA(),SUMIFS(INDIRECT("Data_main"&amp;"["&amp;CJ$8&amp;"]"),Data_main[Data],$A27, Data_main[Segment],$B27, Data_main[Scenario],$B$3)),SUMIFS(INDIRECT("Data_main"&amp;"["&amp;CJ$8&amp;"]"),Data_main[Data],$A27, Data_main[Segment],$B27, Data_main[Scenario],$B$3)),SUMIFS(INDIRECT("Data_main"&amp;"["&amp;CJ$8&amp;"]"),Data_main[Data],$A27, Data_main[Segment],$B27, Data_main[Scenario],$B$3))</f>
        <v>0</v>
      </c>
      <c r="CK27" s="531">
        <f ca="1">IF($B$6="ON", IF(CK26&gt;=covid_start, IF(CK26&lt;covid_recovery,NA(),SUMIFS(INDIRECT("Data_main"&amp;"["&amp;CK$8&amp;"]"),Data_main[Data],$A27, Data_main[Segment],$B27, Data_main[Scenario],$B$3)),SUMIFS(INDIRECT("Data_main"&amp;"["&amp;CK$8&amp;"]"),Data_main[Data],$A27, Data_main[Segment],$B27, Data_main[Scenario],$B$3)),SUMIFS(INDIRECT("Data_main"&amp;"["&amp;CK$8&amp;"]"),Data_main[Data],$A27, Data_main[Segment],$B27, Data_main[Scenario],$B$3))</f>
        <v>0</v>
      </c>
      <c r="CL27" s="531">
        <f ca="1">IF($B$6="ON", IF(CL26&gt;=covid_start, IF(CL26&lt;covid_recovery,NA(),SUMIFS(INDIRECT("Data_main"&amp;"["&amp;CL$8&amp;"]"),Data_main[Data],$A27, Data_main[Segment],$B27, Data_main[Scenario],$B$3)),SUMIFS(INDIRECT("Data_main"&amp;"["&amp;CL$8&amp;"]"),Data_main[Data],$A27, Data_main[Segment],$B27, Data_main[Scenario],$B$3)),SUMIFS(INDIRECT("Data_main"&amp;"["&amp;CL$8&amp;"]"),Data_main[Data],$A27, Data_main[Segment],$B27, Data_main[Scenario],$B$3))</f>
        <v>0</v>
      </c>
      <c r="CN27" s="613">
        <f ca="1">IFERROR((Y27/H27)^(1/17)-1,"")</f>
        <v>-8.8564932179258093E-3</v>
      </c>
      <c r="CO27" s="613">
        <f ca="1">IFERROR((AN27/Y27)^(1/15)-1,"")</f>
        <v>-6.9993037866263874E-3</v>
      </c>
      <c r="CP27" s="613">
        <f ca="1">IFERROR((AN27/H27)^(1/32)-1,"")</f>
        <v>-7.9863685554966146E-3</v>
      </c>
    </row>
    <row r="28" spans="1:94" outlineLevel="1">
      <c r="A28" s="532" t="s">
        <v>157</v>
      </c>
      <c r="B28" s="532" t="str">
        <f t="shared" ref="B28:B29" si="63">$A$26</f>
        <v>Ded-long</v>
      </c>
      <c r="C28" s="533" t="s">
        <v>311</v>
      </c>
      <c r="D28" s="530"/>
      <c r="E28" s="531">
        <f ca="1">IF($B$6="ON", IF(E26&gt;=covid_start, IF(E26&lt;covid_recovery,NA(),SUMIFS(INDIRECT("Data_main"&amp;"["&amp;E$8&amp;"]"),Data_main[Data],$A28, Data_main[Segment],$B28, Data_main[Scenario],$B$3)),SUMIFS(INDIRECT("Data_main"&amp;"["&amp;E$8&amp;"]"),Data_main[Data],$A28, Data_main[Segment],$B28, Data_main[Scenario],$B$3)),SUMIFS(INDIRECT("Data_main"&amp;"["&amp;E$8&amp;"]"),Data_main[Data],$A28, Data_main[Segment],$B28, Data_main[Scenario],$B$3))</f>
        <v>106.11366620800401</v>
      </c>
      <c r="F28" s="531">
        <f ca="1">IF($B$6="ON", IF(F26&gt;=covid_start, IF(F26&lt;covid_recovery,NA(),SUMIFS(INDIRECT("Data_main"&amp;"["&amp;F$8&amp;"]"),Data_main[Data],$A28, Data_main[Segment],$B28, Data_main[Scenario],$B$3)),SUMIFS(INDIRECT("Data_main"&amp;"["&amp;F$8&amp;"]"),Data_main[Data],$A28, Data_main[Segment],$B28, Data_main[Scenario],$B$3)),SUMIFS(INDIRECT("Data_main"&amp;"["&amp;F$8&amp;"]"),Data_main[Data],$A28, Data_main[Segment],$B28, Data_main[Scenario],$B$3))</f>
        <v>112.90224450195599</v>
      </c>
      <c r="G28" s="531">
        <f ca="1">IF($B$6="ON", IF(G26&gt;=covid_start, IF(G26&lt;covid_recovery,NA(),SUMIFS(INDIRECT("Data_main"&amp;"["&amp;G$8&amp;"]"),Data_main[Data],$A28, Data_main[Segment],$B28, Data_main[Scenario],$B$3)),SUMIFS(INDIRECT("Data_main"&amp;"["&amp;G$8&amp;"]"),Data_main[Data],$A28, Data_main[Segment],$B28, Data_main[Scenario],$B$3)),SUMIFS(INDIRECT("Data_main"&amp;"["&amp;G$8&amp;"]"),Data_main[Data],$A28, Data_main[Segment],$B28, Data_main[Scenario],$B$3))</f>
        <v>119.69082279590801</v>
      </c>
      <c r="H28" s="531">
        <f ca="1">IF($B$6="ON", IF(H26&gt;=covid_start, IF(H26&lt;covid_recovery,NA(),SUMIFS(INDIRECT("Data_main"&amp;"["&amp;H$8&amp;"]"),Data_main[Data],$A28, Data_main[Segment],$B28, Data_main[Scenario],$B$3)),SUMIFS(INDIRECT("Data_main"&amp;"["&amp;H$8&amp;"]"),Data_main[Data],$A28, Data_main[Segment],$B28, Data_main[Scenario],$B$3)),SUMIFS(INDIRECT("Data_main"&amp;"["&amp;H$8&amp;"]"),Data_main[Data],$A28, Data_main[Segment],$B28, Data_main[Scenario],$B$3))</f>
        <v>126.47940108986</v>
      </c>
      <c r="I28" s="531">
        <f ca="1">IF($B$6="ON", IF(I26&gt;=covid_start, IF(I26&lt;covid_recovery,NA(),SUMIFS(INDIRECT("Data_main"&amp;"["&amp;I$8&amp;"]"),Data_main[Data],$A28, Data_main[Segment],$B28, Data_main[Scenario],$B$3)),SUMIFS(INDIRECT("Data_main"&amp;"["&amp;I$8&amp;"]"),Data_main[Data],$A28, Data_main[Segment],$B28, Data_main[Scenario],$B$3)),SUMIFS(INDIRECT("Data_main"&amp;"["&amp;I$8&amp;"]"),Data_main[Data],$A28, Data_main[Segment],$B28, Data_main[Scenario],$B$3))</f>
        <v>114.76953638423001</v>
      </c>
      <c r="J28" s="531" t="e">
        <f ca="1">IF($B$6="ON", IF(J26&gt;=covid_start, IF(J26&lt;covid_recovery,NA(),SUMIFS(INDIRECT("Data_main"&amp;"["&amp;J$8&amp;"]"),Data_main[Data],$A28, Data_main[Segment],$B28, Data_main[Scenario],$B$3)),SUMIFS(INDIRECT("Data_main"&amp;"["&amp;J$8&amp;"]"),Data_main[Data],$A28, Data_main[Segment],$B28, Data_main[Scenario],$B$3)),SUMIFS(INDIRECT("Data_main"&amp;"["&amp;J$8&amp;"]"),Data_main[Data],$A28, Data_main[Segment],$B28, Data_main[Scenario],$B$3))</f>
        <v>#N/A</v>
      </c>
      <c r="K28" s="531" t="e">
        <f ca="1">IF($B$6="ON", IF(K26&gt;=covid_start, IF(K26&lt;covid_recovery,NA(),SUMIFS(INDIRECT("Data_main"&amp;"["&amp;K$8&amp;"]"),Data_main[Data],$A28, Data_main[Segment],$B28, Data_main[Scenario],$B$3)),SUMIFS(INDIRECT("Data_main"&amp;"["&amp;K$8&amp;"]"),Data_main[Data],$A28, Data_main[Segment],$B28, Data_main[Scenario],$B$3)),SUMIFS(INDIRECT("Data_main"&amp;"["&amp;K$8&amp;"]"),Data_main[Data],$A28, Data_main[Segment],$B28, Data_main[Scenario],$B$3))</f>
        <v>#N/A</v>
      </c>
      <c r="L28" s="531" t="e">
        <f ca="1">IF($B$6="ON", IF(L26&gt;=covid_start, IF(L26&lt;covid_recovery,NA(),SUMIFS(INDIRECT("Data_main"&amp;"["&amp;L$8&amp;"]"),Data_main[Data],$A28, Data_main[Segment],$B28, Data_main[Scenario],$B$3)),SUMIFS(INDIRECT("Data_main"&amp;"["&amp;L$8&amp;"]"),Data_main[Data],$A28, Data_main[Segment],$B28, Data_main[Scenario],$B$3)),SUMIFS(INDIRECT("Data_main"&amp;"["&amp;L$8&amp;"]"),Data_main[Data],$A28, Data_main[Segment],$B28, Data_main[Scenario],$B$3))</f>
        <v>#N/A</v>
      </c>
      <c r="M28" s="531">
        <f ca="1">IF($B$6="ON", IF(M26&gt;=covid_start, IF(M26&lt;covid_recovery,NA(),SUMIFS(INDIRECT("Data_main"&amp;"["&amp;M$8&amp;"]"),Data_main[Data],$A28, Data_main[Segment],$B28, Data_main[Scenario],$B$3)),SUMIFS(INDIRECT("Data_main"&amp;"["&amp;M$8&amp;"]"),Data_main[Data],$A28, Data_main[Segment],$B28, Data_main[Scenario],$B$3)),SUMIFS(INDIRECT("Data_main"&amp;"["&amp;M$8&amp;"]"),Data_main[Data],$A28, Data_main[Segment],$B28, Data_main[Scenario],$B$3))</f>
        <v>129.6890767599657</v>
      </c>
      <c r="N28" s="531">
        <f ca="1">IF($B$6="ON", IF(N26&gt;=covid_start, IF(N26&lt;covid_recovery,NA(),SUMIFS(INDIRECT("Data_main"&amp;"["&amp;N$8&amp;"]"),Data_main[Data],$A28, Data_main[Segment],$B28, Data_main[Scenario],$B$3)),SUMIFS(INDIRECT("Data_main"&amp;"["&amp;N$8&amp;"]"),Data_main[Data],$A28, Data_main[Segment],$B28, Data_main[Scenario],$B$3)),SUMIFS(INDIRECT("Data_main"&amp;"["&amp;N$8&amp;"]"),Data_main[Data],$A28, Data_main[Segment],$B28, Data_main[Scenario],$B$3))</f>
        <v>133.41896185389967</v>
      </c>
      <c r="O28" s="531">
        <f ca="1">IF($B$6="ON", IF(O26&gt;=covid_start, IF(O26&lt;covid_recovery,NA(),SUMIFS(INDIRECT("Data_main"&amp;"["&amp;O$8&amp;"]"),Data_main[Data],$A28, Data_main[Segment],$B28, Data_main[Scenario],$B$3)),SUMIFS(INDIRECT("Data_main"&amp;"["&amp;O$8&amp;"]"),Data_main[Data],$A28, Data_main[Segment],$B28, Data_main[Scenario],$B$3)),SUMIFS(INDIRECT("Data_main"&amp;"["&amp;O$8&amp;"]"),Data_main[Data],$A28, Data_main[Segment],$B28, Data_main[Scenario],$B$3))</f>
        <v>137.14884694783362</v>
      </c>
      <c r="P28" s="531">
        <f ca="1">IF($B$6="ON", IF(P26&gt;=covid_start, IF(P26&lt;covid_recovery,NA(),SUMIFS(INDIRECT("Data_main"&amp;"["&amp;P$8&amp;"]"),Data_main[Data],$A28, Data_main[Segment],$B28, Data_main[Scenario],$B$3)),SUMIFS(INDIRECT("Data_main"&amp;"["&amp;P$8&amp;"]"),Data_main[Data],$A28, Data_main[Segment],$B28, Data_main[Scenario],$B$3)),SUMIFS(INDIRECT("Data_main"&amp;"["&amp;P$8&amp;"]"),Data_main[Data],$A28, Data_main[Segment],$B28, Data_main[Scenario],$B$3))</f>
        <v>140.87873204176742</v>
      </c>
      <c r="Q28" s="531">
        <f ca="1">IF($B$6="ON", IF(Q26&gt;=covid_start, IF(Q26&lt;covid_recovery,NA(),SUMIFS(INDIRECT("Data_main"&amp;"["&amp;Q$8&amp;"]"),Data_main[Data],$A28, Data_main[Segment],$B28, Data_main[Scenario],$B$3)),SUMIFS(INDIRECT("Data_main"&amp;"["&amp;Q$8&amp;"]"),Data_main[Data],$A28, Data_main[Segment],$B28, Data_main[Scenario],$B$3)),SUMIFS(INDIRECT("Data_main"&amp;"["&amp;Q$8&amp;"]"),Data_main[Data],$A28, Data_main[Segment],$B28, Data_main[Scenario],$B$3))</f>
        <v>144.60861713570139</v>
      </c>
      <c r="R28" s="531">
        <f ca="1">IF($B$6="ON", IF(R26&gt;=covid_start, IF(R26&lt;covid_recovery,NA(),SUMIFS(INDIRECT("Data_main"&amp;"["&amp;R$8&amp;"]"),Data_main[Data],$A28, Data_main[Segment],$B28, Data_main[Scenario],$B$3)),SUMIFS(INDIRECT("Data_main"&amp;"["&amp;R$8&amp;"]"),Data_main[Data],$A28, Data_main[Segment],$B28, Data_main[Scenario],$B$3)),SUMIFS(INDIRECT("Data_main"&amp;"["&amp;R$8&amp;"]"),Data_main[Data],$A28, Data_main[Segment],$B28, Data_main[Scenario],$B$3))</f>
        <v>148.33850222963534</v>
      </c>
      <c r="S28" s="531">
        <f ca="1">IF($B$6="ON", IF(S26&gt;=covid_start, IF(S26&lt;covid_recovery,NA(),SUMIFS(INDIRECT("Data_main"&amp;"["&amp;S$8&amp;"]"),Data_main[Data],$A28, Data_main[Segment],$B28, Data_main[Scenario],$B$3)),SUMIFS(INDIRECT("Data_main"&amp;"["&amp;S$8&amp;"]"),Data_main[Data],$A28, Data_main[Segment],$B28, Data_main[Scenario],$B$3)),SUMIFS(INDIRECT("Data_main"&amp;"["&amp;S$8&amp;"]"),Data_main[Data],$A28, Data_main[Segment],$B28, Data_main[Scenario],$B$3))</f>
        <v>152.06838732356928</v>
      </c>
      <c r="T28" s="531">
        <f ca="1">IF($B$6="ON", IF(T26&gt;=covid_start, IF(T26&lt;covid_recovery,NA(),SUMIFS(INDIRECT("Data_main"&amp;"["&amp;T$8&amp;"]"),Data_main[Data],$A28, Data_main[Segment],$B28, Data_main[Scenario],$B$3)),SUMIFS(INDIRECT("Data_main"&amp;"["&amp;T$8&amp;"]"),Data_main[Data],$A28, Data_main[Segment],$B28, Data_main[Scenario],$B$3)),SUMIFS(INDIRECT("Data_main"&amp;"["&amp;T$8&amp;"]"),Data_main[Data],$A28, Data_main[Segment],$B28, Data_main[Scenario],$B$3))</f>
        <v>155.79827241750326</v>
      </c>
      <c r="U28" s="531">
        <f ca="1">IF($B$6="ON", IF(U26&gt;=covid_start, IF(U26&lt;covid_recovery,NA(),SUMIFS(INDIRECT("Data_main"&amp;"["&amp;U$8&amp;"]"),Data_main[Data],$A28, Data_main[Segment],$B28, Data_main[Scenario],$B$3)),SUMIFS(INDIRECT("Data_main"&amp;"["&amp;U$8&amp;"]"),Data_main[Data],$A28, Data_main[Segment],$B28, Data_main[Scenario],$B$3)),SUMIFS(INDIRECT("Data_main"&amp;"["&amp;U$8&amp;"]"),Data_main[Data],$A28, Data_main[Segment],$B28, Data_main[Scenario],$B$3))</f>
        <v>160.52802948358629</v>
      </c>
      <c r="V28" s="531">
        <f ca="1">IF($B$6="ON", IF(V26&gt;=covid_start, IF(V26&lt;covid_recovery,NA(),SUMIFS(INDIRECT("Data_main"&amp;"["&amp;V$8&amp;"]"),Data_main[Data],$A28, Data_main[Segment],$B28, Data_main[Scenario],$B$3)),SUMIFS(INDIRECT("Data_main"&amp;"["&amp;V$8&amp;"]"),Data_main[Data],$A28, Data_main[Segment],$B28, Data_main[Scenario],$B$3)),SUMIFS(INDIRECT("Data_main"&amp;"["&amp;V$8&amp;"]"),Data_main[Data],$A28, Data_main[Segment],$B28, Data_main[Scenario],$B$3))</f>
        <v>165.25778654966948</v>
      </c>
      <c r="W28" s="531">
        <f ca="1">IF($B$6="ON", IF(W26&gt;=covid_start, IF(W26&lt;covid_recovery,NA(),SUMIFS(INDIRECT("Data_main"&amp;"["&amp;W$8&amp;"]"),Data_main[Data],$A28, Data_main[Segment],$B28, Data_main[Scenario],$B$3)),SUMIFS(INDIRECT("Data_main"&amp;"["&amp;W$8&amp;"]"),Data_main[Data],$A28, Data_main[Segment],$B28, Data_main[Scenario],$B$3)),SUMIFS(INDIRECT("Data_main"&amp;"["&amp;W$8&amp;"]"),Data_main[Data],$A28, Data_main[Segment],$B28, Data_main[Scenario],$B$3))</f>
        <v>169.98754361575251</v>
      </c>
      <c r="X28" s="531">
        <f ca="1">IF($B$6="ON", IF(X26&gt;=covid_start, IF(X26&lt;covid_recovery,NA(),SUMIFS(INDIRECT("Data_main"&amp;"["&amp;X$8&amp;"]"),Data_main[Data],$A28, Data_main[Segment],$B28, Data_main[Scenario],$B$3)),SUMIFS(INDIRECT("Data_main"&amp;"["&amp;X$8&amp;"]"),Data_main[Data],$A28, Data_main[Segment],$B28, Data_main[Scenario],$B$3)),SUMIFS(INDIRECT("Data_main"&amp;"["&amp;X$8&amp;"]"),Data_main[Data],$A28, Data_main[Segment],$B28, Data_main[Scenario],$B$3))</f>
        <v>174.71730068183552</v>
      </c>
      <c r="Y28" s="531">
        <f ca="1">IF($B$6="ON", IF(Y26&gt;=covid_start, IF(Y26&lt;covid_recovery,NA(),SUMIFS(INDIRECT("Data_main"&amp;"["&amp;Y$8&amp;"]"),Data_main[Data],$A28, Data_main[Segment],$B28, Data_main[Scenario],$B$3)),SUMIFS(INDIRECT("Data_main"&amp;"["&amp;Y$8&amp;"]"),Data_main[Data],$A28, Data_main[Segment],$B28, Data_main[Scenario],$B$3)),SUMIFS(INDIRECT("Data_main"&amp;"["&amp;Y$8&amp;"]"),Data_main[Data],$A28, Data_main[Segment],$B28, Data_main[Scenario],$B$3))</f>
        <v>179.44705774791856</v>
      </c>
      <c r="Z28" s="531">
        <f ca="1">IF($B$6="ON", IF(Z26&gt;=covid_start, IF(Z26&lt;covid_recovery,NA(),SUMIFS(INDIRECT("Data_main"&amp;"["&amp;Z$8&amp;"]"),Data_main[Data],$A28, Data_main[Segment],$B28, Data_main[Scenario],$B$3)),SUMIFS(INDIRECT("Data_main"&amp;"["&amp;Z$8&amp;"]"),Data_main[Data],$A28, Data_main[Segment],$B28, Data_main[Scenario],$B$3)),SUMIFS(INDIRECT("Data_main"&amp;"["&amp;Z$8&amp;"]"),Data_main[Data],$A28, Data_main[Segment],$B28, Data_main[Scenario],$B$3))</f>
        <v>184.1768148140016</v>
      </c>
      <c r="AA28" s="531">
        <f ca="1">IF($B$6="ON", IF(AA26&gt;=covid_start, IF(AA26&lt;covid_recovery,NA(),SUMIFS(INDIRECT("Data_main"&amp;"["&amp;AA$8&amp;"]"),Data_main[Data],$A28, Data_main[Segment],$B28, Data_main[Scenario],$B$3)),SUMIFS(INDIRECT("Data_main"&amp;"["&amp;AA$8&amp;"]"),Data_main[Data],$A28, Data_main[Segment],$B28, Data_main[Scenario],$B$3)),SUMIFS(INDIRECT("Data_main"&amp;"["&amp;AA$8&amp;"]"),Data_main[Data],$A28, Data_main[Segment],$B28, Data_main[Scenario],$B$3))</f>
        <v>188.90657188008478</v>
      </c>
      <c r="AB28" s="531">
        <f ca="1">IF($B$6="ON", IF(AB26&gt;=covid_start, IF(AB26&lt;covid_recovery,NA(),SUMIFS(INDIRECT("Data_main"&amp;"["&amp;AB$8&amp;"]"),Data_main[Data],$A28, Data_main[Segment],$B28, Data_main[Scenario],$B$3)),SUMIFS(INDIRECT("Data_main"&amp;"["&amp;AB$8&amp;"]"),Data_main[Data],$A28, Data_main[Segment],$B28, Data_main[Scenario],$B$3)),SUMIFS(INDIRECT("Data_main"&amp;"["&amp;AB$8&amp;"]"),Data_main[Data],$A28, Data_main[Segment],$B28, Data_main[Scenario],$B$3))</f>
        <v>193.63632894616779</v>
      </c>
      <c r="AC28" s="531">
        <f ca="1">IF($B$6="ON", IF(AC26&gt;=covid_start, IF(AC26&lt;covid_recovery,NA(),SUMIFS(INDIRECT("Data_main"&amp;"["&amp;AC$8&amp;"]"),Data_main[Data],$A28, Data_main[Segment],$B28, Data_main[Scenario],$B$3)),SUMIFS(INDIRECT("Data_main"&amp;"["&amp;AC$8&amp;"]"),Data_main[Data],$A28, Data_main[Segment],$B28, Data_main[Scenario],$B$3)),SUMIFS(INDIRECT("Data_main"&amp;"["&amp;AC$8&amp;"]"),Data_main[Data],$A28, Data_main[Segment],$B28, Data_main[Scenario],$B$3))</f>
        <v>198.36608601225086</v>
      </c>
      <c r="AD28" s="531">
        <f ca="1">IF($B$6="ON", IF(AD26&gt;=covid_start, IF(AD26&lt;covid_recovery,NA(),SUMIFS(INDIRECT("Data_main"&amp;"["&amp;AD$8&amp;"]"),Data_main[Data],$A28, Data_main[Segment],$B28, Data_main[Scenario],$B$3)),SUMIFS(INDIRECT("Data_main"&amp;"["&amp;AD$8&amp;"]"),Data_main[Data],$A28, Data_main[Segment],$B28, Data_main[Scenario],$B$3)),SUMIFS(INDIRECT("Data_main"&amp;"["&amp;AD$8&amp;"]"),Data_main[Data],$A28, Data_main[Segment],$B28, Data_main[Scenario],$B$3))</f>
        <v>203.0958430783339</v>
      </c>
      <c r="AE28" s="531">
        <f ca="1">IF($B$6="ON", IF(AE26&gt;=covid_start, IF(AE26&lt;covid_recovery,NA(),SUMIFS(INDIRECT("Data_main"&amp;"["&amp;AE$8&amp;"]"),Data_main[Data],$A28, Data_main[Segment],$B28, Data_main[Scenario],$B$3)),SUMIFS(INDIRECT("Data_main"&amp;"["&amp;AE$8&amp;"]"),Data_main[Data],$A28, Data_main[Segment],$B28, Data_main[Scenario],$B$3)),SUMIFS(INDIRECT("Data_main"&amp;"["&amp;AE$8&amp;"]"),Data_main[Data],$A28, Data_main[Segment],$B28, Data_main[Scenario],$B$3))</f>
        <v>209.6642538736524</v>
      </c>
      <c r="AF28" s="531">
        <f ca="1">IF($B$6="ON", IF(AF26&gt;=covid_start, IF(AF26&lt;covid_recovery,NA(),SUMIFS(INDIRECT("Data_main"&amp;"["&amp;AF$8&amp;"]"),Data_main[Data],$A28, Data_main[Segment],$B28, Data_main[Scenario],$B$3)),SUMIFS(INDIRECT("Data_main"&amp;"["&amp;AF$8&amp;"]"),Data_main[Data],$A28, Data_main[Segment],$B28, Data_main[Scenario],$B$3)),SUMIFS(INDIRECT("Data_main"&amp;"["&amp;AF$8&amp;"]"),Data_main[Data],$A28, Data_main[Segment],$B28, Data_main[Scenario],$B$3))</f>
        <v>216.23266466897073</v>
      </c>
      <c r="AG28" s="531">
        <f ca="1">IF($B$6="ON", IF(AG26&gt;=covid_start, IF(AG26&lt;covid_recovery,NA(),SUMIFS(INDIRECT("Data_main"&amp;"["&amp;AG$8&amp;"]"),Data_main[Data],$A28, Data_main[Segment],$B28, Data_main[Scenario],$B$3)),SUMIFS(INDIRECT("Data_main"&amp;"["&amp;AG$8&amp;"]"),Data_main[Data],$A28, Data_main[Segment],$B28, Data_main[Scenario],$B$3)),SUMIFS(INDIRECT("Data_main"&amp;"["&amp;AG$8&amp;"]"),Data_main[Data],$A28, Data_main[Segment],$B28, Data_main[Scenario],$B$3))</f>
        <v>222.80107546428894</v>
      </c>
      <c r="AH28" s="531">
        <f ca="1">IF($B$6="ON", IF(AH26&gt;=covid_start, IF(AH26&lt;covid_recovery,NA(),SUMIFS(INDIRECT("Data_main"&amp;"["&amp;AH$8&amp;"]"),Data_main[Data],$A28, Data_main[Segment],$B28, Data_main[Scenario],$B$3)),SUMIFS(INDIRECT("Data_main"&amp;"["&amp;AH$8&amp;"]"),Data_main[Data],$A28, Data_main[Segment],$B28, Data_main[Scenario],$B$3)),SUMIFS(INDIRECT("Data_main"&amp;"["&amp;AH$8&amp;"]"),Data_main[Data],$A28, Data_main[Segment],$B28, Data_main[Scenario],$B$3))</f>
        <v>229.36948625960727</v>
      </c>
      <c r="AI28" s="531">
        <f ca="1">IF($B$6="ON", IF(AI26&gt;=covid_start, IF(AI26&lt;covid_recovery,NA(),SUMIFS(INDIRECT("Data_main"&amp;"["&amp;AI$8&amp;"]"),Data_main[Data],$A28, Data_main[Segment],$B28, Data_main[Scenario],$B$3)),SUMIFS(INDIRECT("Data_main"&amp;"["&amp;AI$8&amp;"]"),Data_main[Data],$A28, Data_main[Segment],$B28, Data_main[Scenario],$B$3)),SUMIFS(INDIRECT("Data_main"&amp;"["&amp;AI$8&amp;"]"),Data_main[Data],$A28, Data_main[Segment],$B28, Data_main[Scenario],$B$3))</f>
        <v>235.93789705492549</v>
      </c>
      <c r="AJ28" s="531">
        <f ca="1">IF($B$6="ON", IF(AJ26&gt;=covid_start, IF(AJ26&lt;covid_recovery,NA(),SUMIFS(INDIRECT("Data_main"&amp;"["&amp;AJ$8&amp;"]"),Data_main[Data],$A28, Data_main[Segment],$B28, Data_main[Scenario],$B$3)),SUMIFS(INDIRECT("Data_main"&amp;"["&amp;AJ$8&amp;"]"),Data_main[Data],$A28, Data_main[Segment],$B28, Data_main[Scenario],$B$3)),SUMIFS(INDIRECT("Data_main"&amp;"["&amp;AJ$8&amp;"]"),Data_main[Data],$A28, Data_main[Segment],$B28, Data_main[Scenario],$B$3))</f>
        <v>242.50630785024401</v>
      </c>
      <c r="AK28" s="531">
        <f ca="1">IF($B$6="ON", IF(AK26&gt;=covid_start, IF(AK26&lt;covid_recovery,NA(),SUMIFS(INDIRECT("Data_main"&amp;"["&amp;AK$8&amp;"]"),Data_main[Data],$A28, Data_main[Segment],$B28, Data_main[Scenario],$B$3)),SUMIFS(INDIRECT("Data_main"&amp;"["&amp;AK$8&amp;"]"),Data_main[Data],$A28, Data_main[Segment],$B28, Data_main[Scenario],$B$3)),SUMIFS(INDIRECT("Data_main"&amp;"["&amp;AK$8&amp;"]"),Data_main[Data],$A28, Data_main[Segment],$B28, Data_main[Scenario],$B$3))</f>
        <v>249.07471864556251</v>
      </c>
      <c r="AL28" s="531">
        <f ca="1">IF($B$6="ON", IF(AL26&gt;=covid_start, IF(AL26&lt;covid_recovery,NA(),SUMIFS(INDIRECT("Data_main"&amp;"["&amp;AL$8&amp;"]"),Data_main[Data],$A28, Data_main[Segment],$B28, Data_main[Scenario],$B$3)),SUMIFS(INDIRECT("Data_main"&amp;"["&amp;AL$8&amp;"]"),Data_main[Data],$A28, Data_main[Segment],$B28, Data_main[Scenario],$B$3)),SUMIFS(INDIRECT("Data_main"&amp;"["&amp;AL$8&amp;"]"),Data_main[Data],$A28, Data_main[Segment],$B28, Data_main[Scenario],$B$3))</f>
        <v>255.6431294408807</v>
      </c>
      <c r="AM28" s="531">
        <f ca="1">IF($B$6="ON", IF(AM26&gt;=covid_start, IF(AM26&lt;covid_recovery,NA(),SUMIFS(INDIRECT("Data_main"&amp;"["&amp;AM$8&amp;"]"),Data_main[Data],$A28, Data_main[Segment],$B28, Data_main[Scenario],$B$3)),SUMIFS(INDIRECT("Data_main"&amp;"["&amp;AM$8&amp;"]"),Data_main[Data],$A28, Data_main[Segment],$B28, Data_main[Scenario],$B$3)),SUMIFS(INDIRECT("Data_main"&amp;"["&amp;AM$8&amp;"]"),Data_main[Data],$A28, Data_main[Segment],$B28, Data_main[Scenario],$B$3))</f>
        <v>262.21154023619891</v>
      </c>
      <c r="AN28" s="531">
        <f ca="1">IF($B$6="ON", IF(AN26&gt;=covid_start, IF(AN26&lt;covid_recovery,NA(),SUMIFS(INDIRECT("Data_main"&amp;"["&amp;AN$8&amp;"]"),Data_main[Data],$A28, Data_main[Segment],$B28, Data_main[Scenario],$B$3)),SUMIFS(INDIRECT("Data_main"&amp;"["&amp;AN$8&amp;"]"),Data_main[Data],$A28, Data_main[Segment],$B28, Data_main[Scenario],$B$3)),SUMIFS(INDIRECT("Data_main"&amp;"["&amp;AN$8&amp;"]"),Data_main[Data],$A28, Data_main[Segment],$B28, Data_main[Scenario],$B$3))</f>
        <v>268.77995103151738</v>
      </c>
      <c r="AO28" s="531">
        <f ca="1">IF($B$6="ON", IF(AO26&gt;=covid_start, IF(AO26&lt;covid_recovery,NA(),SUMIFS(INDIRECT("Data_main"&amp;"["&amp;AO$8&amp;"]"),Data_main[Data],$A28, Data_main[Segment],$B28, Data_main[Scenario],$B$3)),SUMIFS(INDIRECT("Data_main"&amp;"["&amp;AO$8&amp;"]"),Data_main[Data],$A28, Data_main[Segment],$B28, Data_main[Scenario],$B$3)),SUMIFS(INDIRECT("Data_main"&amp;"["&amp;AO$8&amp;"]"),Data_main[Data],$A28, Data_main[Segment],$B28, Data_main[Scenario],$B$3))</f>
        <v>0</v>
      </c>
      <c r="AP28" s="531">
        <f ca="1">IF($B$6="ON", IF(AP26&gt;=covid_start, IF(AP26&lt;covid_recovery,NA(),SUMIFS(INDIRECT("Data_main"&amp;"["&amp;AP$8&amp;"]"),Data_main[Data],$A28, Data_main[Segment],$B28, Data_main[Scenario],$B$3)),SUMIFS(INDIRECT("Data_main"&amp;"["&amp;AP$8&amp;"]"),Data_main[Data],$A28, Data_main[Segment],$B28, Data_main[Scenario],$B$3)),SUMIFS(INDIRECT("Data_main"&amp;"["&amp;AP$8&amp;"]"),Data_main[Data],$A28, Data_main[Segment],$B28, Data_main[Scenario],$B$3))</f>
        <v>0</v>
      </c>
      <c r="AQ28" s="531">
        <f ca="1">IF($B$6="ON", IF(AQ26&gt;=covid_start, IF(AQ26&lt;covid_recovery,NA(),SUMIFS(INDIRECT("Data_main"&amp;"["&amp;AQ$8&amp;"]"),Data_main[Data],$A28, Data_main[Segment],$B28, Data_main[Scenario],$B$3)),SUMIFS(INDIRECT("Data_main"&amp;"["&amp;AQ$8&amp;"]"),Data_main[Data],$A28, Data_main[Segment],$B28, Data_main[Scenario],$B$3)),SUMIFS(INDIRECT("Data_main"&amp;"["&amp;AQ$8&amp;"]"),Data_main[Data],$A28, Data_main[Segment],$B28, Data_main[Scenario],$B$3))</f>
        <v>0</v>
      </c>
      <c r="AR28" s="531">
        <f ca="1">IF($B$6="ON", IF(AR26&gt;=covid_start, IF(AR26&lt;covid_recovery,NA(),SUMIFS(INDIRECT("Data_main"&amp;"["&amp;AR$8&amp;"]"),Data_main[Data],$A28, Data_main[Segment],$B28, Data_main[Scenario],$B$3)),SUMIFS(INDIRECT("Data_main"&amp;"["&amp;AR$8&amp;"]"),Data_main[Data],$A28, Data_main[Segment],$B28, Data_main[Scenario],$B$3)),SUMIFS(INDIRECT("Data_main"&amp;"["&amp;AR$8&amp;"]"),Data_main[Data],$A28, Data_main[Segment],$B28, Data_main[Scenario],$B$3))</f>
        <v>0</v>
      </c>
      <c r="AS28" s="531">
        <f ca="1">IF($B$6="ON", IF(AS26&gt;=covid_start, IF(AS26&lt;covid_recovery,NA(),SUMIFS(INDIRECT("Data_main"&amp;"["&amp;AS$8&amp;"]"),Data_main[Data],$A28, Data_main[Segment],$B28, Data_main[Scenario],$B$3)),SUMIFS(INDIRECT("Data_main"&amp;"["&amp;AS$8&amp;"]"),Data_main[Data],$A28, Data_main[Segment],$B28, Data_main[Scenario],$B$3)),SUMIFS(INDIRECT("Data_main"&amp;"["&amp;AS$8&amp;"]"),Data_main[Data],$A28, Data_main[Segment],$B28, Data_main[Scenario],$B$3))</f>
        <v>0</v>
      </c>
      <c r="AT28" s="531">
        <f ca="1">IF($B$6="ON", IF(AT26&gt;=covid_start, IF(AT26&lt;covid_recovery,NA(),SUMIFS(INDIRECT("Data_main"&amp;"["&amp;AT$8&amp;"]"),Data_main[Data],$A28, Data_main[Segment],$B28, Data_main[Scenario],$B$3)),SUMIFS(INDIRECT("Data_main"&amp;"["&amp;AT$8&amp;"]"),Data_main[Data],$A28, Data_main[Segment],$B28, Data_main[Scenario],$B$3)),SUMIFS(INDIRECT("Data_main"&amp;"["&amp;AT$8&amp;"]"),Data_main[Data],$A28, Data_main[Segment],$B28, Data_main[Scenario],$B$3))</f>
        <v>0</v>
      </c>
      <c r="AU28" s="531">
        <f ca="1">IF($B$6="ON", IF(AU26&gt;=covid_start, IF(AU26&lt;covid_recovery,NA(),SUMIFS(INDIRECT("Data_main"&amp;"["&amp;AU$8&amp;"]"),Data_main[Data],$A28, Data_main[Segment],$B28, Data_main[Scenario],$B$3)),SUMIFS(INDIRECT("Data_main"&amp;"["&amp;AU$8&amp;"]"),Data_main[Data],$A28, Data_main[Segment],$B28, Data_main[Scenario],$B$3)),SUMIFS(INDIRECT("Data_main"&amp;"["&amp;AU$8&amp;"]"),Data_main[Data],$A28, Data_main[Segment],$B28, Data_main[Scenario],$B$3))</f>
        <v>0</v>
      </c>
      <c r="AV28" s="531">
        <f ca="1">IF($B$6="ON", IF(AV26&gt;=covid_start, IF(AV26&lt;covid_recovery,NA(),SUMIFS(INDIRECT("Data_main"&amp;"["&amp;AV$8&amp;"]"),Data_main[Data],$A28, Data_main[Segment],$B28, Data_main[Scenario],$B$3)),SUMIFS(INDIRECT("Data_main"&amp;"["&amp;AV$8&amp;"]"),Data_main[Data],$A28, Data_main[Segment],$B28, Data_main[Scenario],$B$3)),SUMIFS(INDIRECT("Data_main"&amp;"["&amp;AV$8&amp;"]"),Data_main[Data],$A28, Data_main[Segment],$B28, Data_main[Scenario],$B$3))</f>
        <v>0</v>
      </c>
      <c r="AW28" s="531">
        <f ca="1">IF($B$6="ON", IF(AW26&gt;=covid_start, IF(AW26&lt;covid_recovery,NA(),SUMIFS(INDIRECT("Data_main"&amp;"["&amp;AW$8&amp;"]"),Data_main[Data],$A28, Data_main[Segment],$B28, Data_main[Scenario],$B$3)),SUMIFS(INDIRECT("Data_main"&amp;"["&amp;AW$8&amp;"]"),Data_main[Data],$A28, Data_main[Segment],$B28, Data_main[Scenario],$B$3)),SUMIFS(INDIRECT("Data_main"&amp;"["&amp;AW$8&amp;"]"),Data_main[Data],$A28, Data_main[Segment],$B28, Data_main[Scenario],$B$3))</f>
        <v>0</v>
      </c>
      <c r="AX28" s="531">
        <f ca="1">IF($B$6="ON", IF(AX26&gt;=covid_start, IF(AX26&lt;covid_recovery,NA(),SUMIFS(INDIRECT("Data_main"&amp;"["&amp;AX$8&amp;"]"),Data_main[Data],$A28, Data_main[Segment],$B28, Data_main[Scenario],$B$3)),SUMIFS(INDIRECT("Data_main"&amp;"["&amp;AX$8&amp;"]"),Data_main[Data],$A28, Data_main[Segment],$B28, Data_main[Scenario],$B$3)),SUMIFS(INDIRECT("Data_main"&amp;"["&amp;AX$8&amp;"]"),Data_main[Data],$A28, Data_main[Segment],$B28, Data_main[Scenario],$B$3))</f>
        <v>0</v>
      </c>
      <c r="AY28" s="531">
        <f ca="1">IF($B$6="ON", IF(AY26&gt;=covid_start, IF(AY26&lt;covid_recovery,NA(),SUMIFS(INDIRECT("Data_main"&amp;"["&amp;AY$8&amp;"]"),Data_main[Data],$A28, Data_main[Segment],$B28, Data_main[Scenario],$B$3)),SUMIFS(INDIRECT("Data_main"&amp;"["&amp;AY$8&amp;"]"),Data_main[Data],$A28, Data_main[Segment],$B28, Data_main[Scenario],$B$3)),SUMIFS(INDIRECT("Data_main"&amp;"["&amp;AY$8&amp;"]"),Data_main[Data],$A28, Data_main[Segment],$B28, Data_main[Scenario],$B$3))</f>
        <v>0</v>
      </c>
      <c r="AZ28" s="531">
        <f ca="1">IF($B$6="ON", IF(AZ26&gt;=covid_start, IF(AZ26&lt;covid_recovery,NA(),SUMIFS(INDIRECT("Data_main"&amp;"["&amp;AZ$8&amp;"]"),Data_main[Data],$A28, Data_main[Segment],$B28, Data_main[Scenario],$B$3)),SUMIFS(INDIRECT("Data_main"&amp;"["&amp;AZ$8&amp;"]"),Data_main[Data],$A28, Data_main[Segment],$B28, Data_main[Scenario],$B$3)),SUMIFS(INDIRECT("Data_main"&amp;"["&amp;AZ$8&amp;"]"),Data_main[Data],$A28, Data_main[Segment],$B28, Data_main[Scenario],$B$3))</f>
        <v>0</v>
      </c>
      <c r="BA28" s="531">
        <f ca="1">IF($B$6="ON", IF(BA26&gt;=covid_start, IF(BA26&lt;covid_recovery,NA(),SUMIFS(INDIRECT("Data_main"&amp;"["&amp;BA$8&amp;"]"),Data_main[Data],$A28, Data_main[Segment],$B28, Data_main[Scenario],$B$3)),SUMIFS(INDIRECT("Data_main"&amp;"["&amp;BA$8&amp;"]"),Data_main[Data],$A28, Data_main[Segment],$B28, Data_main[Scenario],$B$3)),SUMIFS(INDIRECT("Data_main"&amp;"["&amp;BA$8&amp;"]"),Data_main[Data],$A28, Data_main[Segment],$B28, Data_main[Scenario],$B$3))</f>
        <v>0</v>
      </c>
      <c r="BB28" s="531">
        <f ca="1">IF($B$6="ON", IF(BB26&gt;=covid_start, IF(BB26&lt;covid_recovery,NA(),SUMIFS(INDIRECT("Data_main"&amp;"["&amp;BB$8&amp;"]"),Data_main[Data],$A28, Data_main[Segment],$B28, Data_main[Scenario],$B$3)),SUMIFS(INDIRECT("Data_main"&amp;"["&amp;BB$8&amp;"]"),Data_main[Data],$A28, Data_main[Segment],$B28, Data_main[Scenario],$B$3)),SUMIFS(INDIRECT("Data_main"&amp;"["&amp;BB$8&amp;"]"),Data_main[Data],$A28, Data_main[Segment],$B28, Data_main[Scenario],$B$3))</f>
        <v>0</v>
      </c>
      <c r="BC28" s="531">
        <f ca="1">IF($B$6="ON", IF(BC26&gt;=covid_start, IF(BC26&lt;covid_recovery,NA(),SUMIFS(INDIRECT("Data_main"&amp;"["&amp;BC$8&amp;"]"),Data_main[Data],$A28, Data_main[Segment],$B28, Data_main[Scenario],$B$3)),SUMIFS(INDIRECT("Data_main"&amp;"["&amp;BC$8&amp;"]"),Data_main[Data],$A28, Data_main[Segment],$B28, Data_main[Scenario],$B$3)),SUMIFS(INDIRECT("Data_main"&amp;"["&amp;BC$8&amp;"]"),Data_main[Data],$A28, Data_main[Segment],$B28, Data_main[Scenario],$B$3))</f>
        <v>0</v>
      </c>
      <c r="BD28" s="531">
        <f ca="1">IF($B$6="ON", IF(BD26&gt;=covid_start, IF(BD26&lt;covid_recovery,NA(),SUMIFS(INDIRECT("Data_main"&amp;"["&amp;BD$8&amp;"]"),Data_main[Data],$A28, Data_main[Segment],$B28, Data_main[Scenario],$B$3)),SUMIFS(INDIRECT("Data_main"&amp;"["&amp;BD$8&amp;"]"),Data_main[Data],$A28, Data_main[Segment],$B28, Data_main[Scenario],$B$3)),SUMIFS(INDIRECT("Data_main"&amp;"["&amp;BD$8&amp;"]"),Data_main[Data],$A28, Data_main[Segment],$B28, Data_main[Scenario],$B$3))</f>
        <v>0</v>
      </c>
      <c r="BE28" s="531">
        <f ca="1">IF($B$6="ON", IF(BE26&gt;=covid_start, IF(BE26&lt;covid_recovery,NA(),SUMIFS(INDIRECT("Data_main"&amp;"["&amp;BE$8&amp;"]"),Data_main[Data],$A28, Data_main[Segment],$B28, Data_main[Scenario],$B$3)),SUMIFS(INDIRECT("Data_main"&amp;"["&amp;BE$8&amp;"]"),Data_main[Data],$A28, Data_main[Segment],$B28, Data_main[Scenario],$B$3)),SUMIFS(INDIRECT("Data_main"&amp;"["&amp;BE$8&amp;"]"),Data_main[Data],$A28, Data_main[Segment],$B28, Data_main[Scenario],$B$3))</f>
        <v>0</v>
      </c>
      <c r="BF28" s="531">
        <f ca="1">IF($B$6="ON", IF(BF26&gt;=covid_start, IF(BF26&lt;covid_recovery,NA(),SUMIFS(INDIRECT("Data_main"&amp;"["&amp;BF$8&amp;"]"),Data_main[Data],$A28, Data_main[Segment],$B28, Data_main[Scenario],$B$3)),SUMIFS(INDIRECT("Data_main"&amp;"["&amp;BF$8&amp;"]"),Data_main[Data],$A28, Data_main[Segment],$B28, Data_main[Scenario],$B$3)),SUMIFS(INDIRECT("Data_main"&amp;"["&amp;BF$8&amp;"]"),Data_main[Data],$A28, Data_main[Segment],$B28, Data_main[Scenario],$B$3))</f>
        <v>0</v>
      </c>
      <c r="BG28" s="531">
        <f ca="1">IF($B$6="ON", IF(BG26&gt;=covid_start, IF(BG26&lt;covid_recovery,NA(),SUMIFS(INDIRECT("Data_main"&amp;"["&amp;BG$8&amp;"]"),Data_main[Data],$A28, Data_main[Segment],$B28, Data_main[Scenario],$B$3)),SUMIFS(INDIRECT("Data_main"&amp;"["&amp;BG$8&amp;"]"),Data_main[Data],$A28, Data_main[Segment],$B28, Data_main[Scenario],$B$3)),SUMIFS(INDIRECT("Data_main"&amp;"["&amp;BG$8&amp;"]"),Data_main[Data],$A28, Data_main[Segment],$B28, Data_main[Scenario],$B$3))</f>
        <v>0</v>
      </c>
      <c r="BH28" s="531">
        <f ca="1">IF($B$6="ON", IF(BH26&gt;=covid_start, IF(BH26&lt;covid_recovery,NA(),SUMIFS(INDIRECT("Data_main"&amp;"["&amp;BH$8&amp;"]"),Data_main[Data],$A28, Data_main[Segment],$B28, Data_main[Scenario],$B$3)),SUMIFS(INDIRECT("Data_main"&amp;"["&amp;BH$8&amp;"]"),Data_main[Data],$A28, Data_main[Segment],$B28, Data_main[Scenario],$B$3)),SUMIFS(INDIRECT("Data_main"&amp;"["&amp;BH$8&amp;"]"),Data_main[Data],$A28, Data_main[Segment],$B28, Data_main[Scenario],$B$3))</f>
        <v>0</v>
      </c>
      <c r="BI28" s="531">
        <f ca="1">IF($B$6="ON", IF(BI26&gt;=covid_start, IF(BI26&lt;covid_recovery,NA(),SUMIFS(INDIRECT("Data_main"&amp;"["&amp;BI$8&amp;"]"),Data_main[Data],$A28, Data_main[Segment],$B28, Data_main[Scenario],$B$3)),SUMIFS(INDIRECT("Data_main"&amp;"["&amp;BI$8&amp;"]"),Data_main[Data],$A28, Data_main[Segment],$B28, Data_main[Scenario],$B$3)),SUMIFS(INDIRECT("Data_main"&amp;"["&amp;BI$8&amp;"]"),Data_main[Data],$A28, Data_main[Segment],$B28, Data_main[Scenario],$B$3))</f>
        <v>0</v>
      </c>
      <c r="BJ28" s="531">
        <f ca="1">IF($B$6="ON", IF(BJ26&gt;=covid_start, IF(BJ26&lt;covid_recovery,NA(),SUMIFS(INDIRECT("Data_main"&amp;"["&amp;BJ$8&amp;"]"),Data_main[Data],$A28, Data_main[Segment],$B28, Data_main[Scenario],$B$3)),SUMIFS(INDIRECT("Data_main"&amp;"["&amp;BJ$8&amp;"]"),Data_main[Data],$A28, Data_main[Segment],$B28, Data_main[Scenario],$B$3)),SUMIFS(INDIRECT("Data_main"&amp;"["&amp;BJ$8&amp;"]"),Data_main[Data],$A28, Data_main[Segment],$B28, Data_main[Scenario],$B$3))</f>
        <v>0</v>
      </c>
      <c r="BK28" s="531">
        <f ca="1">IF($B$6="ON", IF(BK26&gt;=covid_start, IF(BK26&lt;covid_recovery,NA(),SUMIFS(INDIRECT("Data_main"&amp;"["&amp;BK$8&amp;"]"),Data_main[Data],$A28, Data_main[Segment],$B28, Data_main[Scenario],$B$3)),SUMIFS(INDIRECT("Data_main"&amp;"["&amp;BK$8&amp;"]"),Data_main[Data],$A28, Data_main[Segment],$B28, Data_main[Scenario],$B$3)),SUMIFS(INDIRECT("Data_main"&amp;"["&amp;BK$8&amp;"]"),Data_main[Data],$A28, Data_main[Segment],$B28, Data_main[Scenario],$B$3))</f>
        <v>0</v>
      </c>
      <c r="BL28" s="531">
        <f ca="1">IF($B$6="ON", IF(BL26&gt;=covid_start, IF(BL26&lt;covid_recovery,NA(),SUMIFS(INDIRECT("Data_main"&amp;"["&amp;BL$8&amp;"]"),Data_main[Data],$A28, Data_main[Segment],$B28, Data_main[Scenario],$B$3)),SUMIFS(INDIRECT("Data_main"&amp;"["&amp;BL$8&amp;"]"),Data_main[Data],$A28, Data_main[Segment],$B28, Data_main[Scenario],$B$3)),SUMIFS(INDIRECT("Data_main"&amp;"["&amp;BL$8&amp;"]"),Data_main[Data],$A28, Data_main[Segment],$B28, Data_main[Scenario],$B$3))</f>
        <v>0</v>
      </c>
      <c r="BM28" s="531">
        <f ca="1">IF($B$6="ON", IF(BM26&gt;=covid_start, IF(BM26&lt;covid_recovery,NA(),SUMIFS(INDIRECT("Data_main"&amp;"["&amp;BM$8&amp;"]"),Data_main[Data],$A28, Data_main[Segment],$B28, Data_main[Scenario],$B$3)),SUMIFS(INDIRECT("Data_main"&amp;"["&amp;BM$8&amp;"]"),Data_main[Data],$A28, Data_main[Segment],$B28, Data_main[Scenario],$B$3)),SUMIFS(INDIRECT("Data_main"&amp;"["&amp;BM$8&amp;"]"),Data_main[Data],$A28, Data_main[Segment],$B28, Data_main[Scenario],$B$3))</f>
        <v>0</v>
      </c>
      <c r="BN28" s="531">
        <f ca="1">IF($B$6="ON", IF(BN26&gt;=covid_start, IF(BN26&lt;covid_recovery,NA(),SUMIFS(INDIRECT("Data_main"&amp;"["&amp;BN$8&amp;"]"),Data_main[Data],$A28, Data_main[Segment],$B28, Data_main[Scenario],$B$3)),SUMIFS(INDIRECT("Data_main"&amp;"["&amp;BN$8&amp;"]"),Data_main[Data],$A28, Data_main[Segment],$B28, Data_main[Scenario],$B$3)),SUMIFS(INDIRECT("Data_main"&amp;"["&amp;BN$8&amp;"]"),Data_main[Data],$A28, Data_main[Segment],$B28, Data_main[Scenario],$B$3))</f>
        <v>0</v>
      </c>
      <c r="BO28" s="531">
        <f ca="1">IF($B$6="ON", IF(BO26&gt;=covid_start, IF(BO26&lt;covid_recovery,NA(),SUMIFS(INDIRECT("Data_main"&amp;"["&amp;BO$8&amp;"]"),Data_main[Data],$A28, Data_main[Segment],$B28, Data_main[Scenario],$B$3)),SUMIFS(INDIRECT("Data_main"&amp;"["&amp;BO$8&amp;"]"),Data_main[Data],$A28, Data_main[Segment],$B28, Data_main[Scenario],$B$3)),SUMIFS(INDIRECT("Data_main"&amp;"["&amp;BO$8&amp;"]"),Data_main[Data],$A28, Data_main[Segment],$B28, Data_main[Scenario],$B$3))</f>
        <v>0</v>
      </c>
      <c r="BP28" s="531">
        <f ca="1">IF($B$6="ON", IF(BP26&gt;=covid_start, IF(BP26&lt;covid_recovery,NA(),SUMIFS(INDIRECT("Data_main"&amp;"["&amp;BP$8&amp;"]"),Data_main[Data],$A28, Data_main[Segment],$B28, Data_main[Scenario],$B$3)),SUMIFS(INDIRECT("Data_main"&amp;"["&amp;BP$8&amp;"]"),Data_main[Data],$A28, Data_main[Segment],$B28, Data_main[Scenario],$B$3)),SUMIFS(INDIRECT("Data_main"&amp;"["&amp;BP$8&amp;"]"),Data_main[Data],$A28, Data_main[Segment],$B28, Data_main[Scenario],$B$3))</f>
        <v>0</v>
      </c>
      <c r="BQ28" s="531">
        <f ca="1">IF($B$6="ON", IF(BQ26&gt;=covid_start, IF(BQ26&lt;covid_recovery,NA(),SUMIFS(INDIRECT("Data_main"&amp;"["&amp;BQ$8&amp;"]"),Data_main[Data],$A28, Data_main[Segment],$B28, Data_main[Scenario],$B$3)),SUMIFS(INDIRECT("Data_main"&amp;"["&amp;BQ$8&amp;"]"),Data_main[Data],$A28, Data_main[Segment],$B28, Data_main[Scenario],$B$3)),SUMIFS(INDIRECT("Data_main"&amp;"["&amp;BQ$8&amp;"]"),Data_main[Data],$A28, Data_main[Segment],$B28, Data_main[Scenario],$B$3))</f>
        <v>0</v>
      </c>
      <c r="BR28" s="531">
        <f ca="1">IF($B$6="ON", IF(BR26&gt;=covid_start, IF(BR26&lt;covid_recovery,NA(),SUMIFS(INDIRECT("Data_main"&amp;"["&amp;BR$8&amp;"]"),Data_main[Data],$A28, Data_main[Segment],$B28, Data_main[Scenario],$B$3)),SUMIFS(INDIRECT("Data_main"&amp;"["&amp;BR$8&amp;"]"),Data_main[Data],$A28, Data_main[Segment],$B28, Data_main[Scenario],$B$3)),SUMIFS(INDIRECT("Data_main"&amp;"["&amp;BR$8&amp;"]"),Data_main[Data],$A28, Data_main[Segment],$B28, Data_main[Scenario],$B$3))</f>
        <v>0</v>
      </c>
      <c r="BS28" s="531">
        <f ca="1">IF($B$6="ON", IF(BS26&gt;=covid_start, IF(BS26&lt;covid_recovery,NA(),SUMIFS(INDIRECT("Data_main"&amp;"["&amp;BS$8&amp;"]"),Data_main[Data],$A28, Data_main[Segment],$B28, Data_main[Scenario],$B$3)),SUMIFS(INDIRECT("Data_main"&amp;"["&amp;BS$8&amp;"]"),Data_main[Data],$A28, Data_main[Segment],$B28, Data_main[Scenario],$B$3)),SUMIFS(INDIRECT("Data_main"&amp;"["&amp;BS$8&amp;"]"),Data_main[Data],$A28, Data_main[Segment],$B28, Data_main[Scenario],$B$3))</f>
        <v>0</v>
      </c>
      <c r="BT28" s="531">
        <f ca="1">IF($B$6="ON", IF(BT26&gt;=covid_start, IF(BT26&lt;covid_recovery,NA(),SUMIFS(INDIRECT("Data_main"&amp;"["&amp;BT$8&amp;"]"),Data_main[Data],$A28, Data_main[Segment],$B28, Data_main[Scenario],$B$3)),SUMIFS(INDIRECT("Data_main"&amp;"["&amp;BT$8&amp;"]"),Data_main[Data],$A28, Data_main[Segment],$B28, Data_main[Scenario],$B$3)),SUMIFS(INDIRECT("Data_main"&amp;"["&amp;BT$8&amp;"]"),Data_main[Data],$A28, Data_main[Segment],$B28, Data_main[Scenario],$B$3))</f>
        <v>0</v>
      </c>
      <c r="BU28" s="531">
        <f ca="1">IF($B$6="ON", IF(BU26&gt;=covid_start, IF(BU26&lt;covid_recovery,NA(),SUMIFS(INDIRECT("Data_main"&amp;"["&amp;BU$8&amp;"]"),Data_main[Data],$A28, Data_main[Segment],$B28, Data_main[Scenario],$B$3)),SUMIFS(INDIRECT("Data_main"&amp;"["&amp;BU$8&amp;"]"),Data_main[Data],$A28, Data_main[Segment],$B28, Data_main[Scenario],$B$3)),SUMIFS(INDIRECT("Data_main"&amp;"["&amp;BU$8&amp;"]"),Data_main[Data],$A28, Data_main[Segment],$B28, Data_main[Scenario],$B$3))</f>
        <v>0</v>
      </c>
      <c r="BV28" s="531">
        <f ca="1">IF($B$6="ON", IF(BV26&gt;=covid_start, IF(BV26&lt;covid_recovery,NA(),SUMIFS(INDIRECT("Data_main"&amp;"["&amp;BV$8&amp;"]"),Data_main[Data],$A28, Data_main[Segment],$B28, Data_main[Scenario],$B$3)),SUMIFS(INDIRECT("Data_main"&amp;"["&amp;BV$8&amp;"]"),Data_main[Data],$A28, Data_main[Segment],$B28, Data_main[Scenario],$B$3)),SUMIFS(INDIRECT("Data_main"&amp;"["&amp;BV$8&amp;"]"),Data_main[Data],$A28, Data_main[Segment],$B28, Data_main[Scenario],$B$3))</f>
        <v>0</v>
      </c>
      <c r="BW28" s="531">
        <f ca="1">IF($B$6="ON", IF(BW26&gt;=covid_start, IF(BW26&lt;covid_recovery,NA(),SUMIFS(INDIRECT("Data_main"&amp;"["&amp;BW$8&amp;"]"),Data_main[Data],$A28, Data_main[Segment],$B28, Data_main[Scenario],$B$3)),SUMIFS(INDIRECT("Data_main"&amp;"["&amp;BW$8&amp;"]"),Data_main[Data],$A28, Data_main[Segment],$B28, Data_main[Scenario],$B$3)),SUMIFS(INDIRECT("Data_main"&amp;"["&amp;BW$8&amp;"]"),Data_main[Data],$A28, Data_main[Segment],$B28, Data_main[Scenario],$B$3))</f>
        <v>0</v>
      </c>
      <c r="BX28" s="531">
        <f ca="1">IF($B$6="ON", IF(BX26&gt;=covid_start, IF(BX26&lt;covid_recovery,NA(),SUMIFS(INDIRECT("Data_main"&amp;"["&amp;BX$8&amp;"]"),Data_main[Data],$A28, Data_main[Segment],$B28, Data_main[Scenario],$B$3)),SUMIFS(INDIRECT("Data_main"&amp;"["&amp;BX$8&amp;"]"),Data_main[Data],$A28, Data_main[Segment],$B28, Data_main[Scenario],$B$3)),SUMIFS(INDIRECT("Data_main"&amp;"["&amp;BX$8&amp;"]"),Data_main[Data],$A28, Data_main[Segment],$B28, Data_main[Scenario],$B$3))</f>
        <v>0</v>
      </c>
      <c r="BY28" s="531">
        <f ca="1">IF($B$6="ON", IF(BY26&gt;=covid_start, IF(BY26&lt;covid_recovery,NA(),SUMIFS(INDIRECT("Data_main"&amp;"["&amp;BY$8&amp;"]"),Data_main[Data],$A28, Data_main[Segment],$B28, Data_main[Scenario],$B$3)),SUMIFS(INDIRECT("Data_main"&amp;"["&amp;BY$8&amp;"]"),Data_main[Data],$A28, Data_main[Segment],$B28, Data_main[Scenario],$B$3)),SUMIFS(INDIRECT("Data_main"&amp;"["&amp;BY$8&amp;"]"),Data_main[Data],$A28, Data_main[Segment],$B28, Data_main[Scenario],$B$3))</f>
        <v>0</v>
      </c>
      <c r="BZ28" s="531">
        <f ca="1">IF($B$6="ON", IF(BZ26&gt;=covid_start, IF(BZ26&lt;covid_recovery,NA(),SUMIFS(INDIRECT("Data_main"&amp;"["&amp;BZ$8&amp;"]"),Data_main[Data],$A28, Data_main[Segment],$B28, Data_main[Scenario],$B$3)),SUMIFS(INDIRECT("Data_main"&amp;"["&amp;BZ$8&amp;"]"),Data_main[Data],$A28, Data_main[Segment],$B28, Data_main[Scenario],$B$3)),SUMIFS(INDIRECT("Data_main"&amp;"["&amp;BZ$8&amp;"]"),Data_main[Data],$A28, Data_main[Segment],$B28, Data_main[Scenario],$B$3))</f>
        <v>0</v>
      </c>
      <c r="CA28" s="531">
        <f ca="1">IF($B$6="ON", IF(CA26&gt;=covid_start, IF(CA26&lt;covid_recovery,NA(),SUMIFS(INDIRECT("Data_main"&amp;"["&amp;CA$8&amp;"]"),Data_main[Data],$A28, Data_main[Segment],$B28, Data_main[Scenario],$B$3)),SUMIFS(INDIRECT("Data_main"&amp;"["&amp;CA$8&amp;"]"),Data_main[Data],$A28, Data_main[Segment],$B28, Data_main[Scenario],$B$3)),SUMIFS(INDIRECT("Data_main"&amp;"["&amp;CA$8&amp;"]"),Data_main[Data],$A28, Data_main[Segment],$B28, Data_main[Scenario],$B$3))</f>
        <v>0</v>
      </c>
      <c r="CB28" s="531">
        <f ca="1">IF($B$6="ON", IF(CB26&gt;=covid_start, IF(CB26&lt;covid_recovery,NA(),SUMIFS(INDIRECT("Data_main"&amp;"["&amp;CB$8&amp;"]"),Data_main[Data],$A28, Data_main[Segment],$B28, Data_main[Scenario],$B$3)),SUMIFS(INDIRECT("Data_main"&amp;"["&amp;CB$8&amp;"]"),Data_main[Data],$A28, Data_main[Segment],$B28, Data_main[Scenario],$B$3)),SUMIFS(INDIRECT("Data_main"&amp;"["&amp;CB$8&amp;"]"),Data_main[Data],$A28, Data_main[Segment],$B28, Data_main[Scenario],$B$3))</f>
        <v>0</v>
      </c>
      <c r="CC28" s="531">
        <f ca="1">IF($B$6="ON", IF(CC26&gt;=covid_start, IF(CC26&lt;covid_recovery,NA(),SUMIFS(INDIRECT("Data_main"&amp;"["&amp;CC$8&amp;"]"),Data_main[Data],$A28, Data_main[Segment],$B28, Data_main[Scenario],$B$3)),SUMIFS(INDIRECT("Data_main"&amp;"["&amp;CC$8&amp;"]"),Data_main[Data],$A28, Data_main[Segment],$B28, Data_main[Scenario],$B$3)),SUMIFS(INDIRECT("Data_main"&amp;"["&amp;CC$8&amp;"]"),Data_main[Data],$A28, Data_main[Segment],$B28, Data_main[Scenario],$B$3))</f>
        <v>0</v>
      </c>
      <c r="CD28" s="531">
        <f ca="1">IF($B$6="ON", IF(CD26&gt;=covid_start, IF(CD26&lt;covid_recovery,NA(),SUMIFS(INDIRECT("Data_main"&amp;"["&amp;CD$8&amp;"]"),Data_main[Data],$A28, Data_main[Segment],$B28, Data_main[Scenario],$B$3)),SUMIFS(INDIRECT("Data_main"&amp;"["&amp;CD$8&amp;"]"),Data_main[Data],$A28, Data_main[Segment],$B28, Data_main[Scenario],$B$3)),SUMIFS(INDIRECT("Data_main"&amp;"["&amp;CD$8&amp;"]"),Data_main[Data],$A28, Data_main[Segment],$B28, Data_main[Scenario],$B$3))</f>
        <v>0</v>
      </c>
      <c r="CE28" s="531">
        <f ca="1">IF($B$6="ON", IF(CE26&gt;=covid_start, IF(CE26&lt;covid_recovery,NA(),SUMIFS(INDIRECT("Data_main"&amp;"["&amp;CE$8&amp;"]"),Data_main[Data],$A28, Data_main[Segment],$B28, Data_main[Scenario],$B$3)),SUMIFS(INDIRECT("Data_main"&amp;"["&amp;CE$8&amp;"]"),Data_main[Data],$A28, Data_main[Segment],$B28, Data_main[Scenario],$B$3)),SUMIFS(INDIRECT("Data_main"&amp;"["&amp;CE$8&amp;"]"),Data_main[Data],$A28, Data_main[Segment],$B28, Data_main[Scenario],$B$3))</f>
        <v>0</v>
      </c>
      <c r="CF28" s="531">
        <f ca="1">IF($B$6="ON", IF(CF26&gt;=covid_start, IF(CF26&lt;covid_recovery,NA(),SUMIFS(INDIRECT("Data_main"&amp;"["&amp;CF$8&amp;"]"),Data_main[Data],$A28, Data_main[Segment],$B28, Data_main[Scenario],$B$3)),SUMIFS(INDIRECT("Data_main"&amp;"["&amp;CF$8&amp;"]"),Data_main[Data],$A28, Data_main[Segment],$B28, Data_main[Scenario],$B$3)),SUMIFS(INDIRECT("Data_main"&amp;"["&amp;CF$8&amp;"]"),Data_main[Data],$A28, Data_main[Segment],$B28, Data_main[Scenario],$B$3))</f>
        <v>0</v>
      </c>
      <c r="CG28" s="531">
        <f ca="1">IF($B$6="ON", IF(CG26&gt;=covid_start, IF(CG26&lt;covid_recovery,NA(),SUMIFS(INDIRECT("Data_main"&amp;"["&amp;CG$8&amp;"]"),Data_main[Data],$A28, Data_main[Segment],$B28, Data_main[Scenario],$B$3)),SUMIFS(INDIRECT("Data_main"&amp;"["&amp;CG$8&amp;"]"),Data_main[Data],$A28, Data_main[Segment],$B28, Data_main[Scenario],$B$3)),SUMIFS(INDIRECT("Data_main"&amp;"["&amp;CG$8&amp;"]"),Data_main[Data],$A28, Data_main[Segment],$B28, Data_main[Scenario],$B$3))</f>
        <v>0</v>
      </c>
      <c r="CH28" s="531">
        <f ca="1">IF($B$6="ON", IF(CH26&gt;=covid_start, IF(CH26&lt;covid_recovery,NA(),SUMIFS(INDIRECT("Data_main"&amp;"["&amp;CH$8&amp;"]"),Data_main[Data],$A28, Data_main[Segment],$B28, Data_main[Scenario],$B$3)),SUMIFS(INDIRECT("Data_main"&amp;"["&amp;CH$8&amp;"]"),Data_main[Data],$A28, Data_main[Segment],$B28, Data_main[Scenario],$B$3)),SUMIFS(INDIRECT("Data_main"&amp;"["&amp;CH$8&amp;"]"),Data_main[Data],$A28, Data_main[Segment],$B28, Data_main[Scenario],$B$3))</f>
        <v>0</v>
      </c>
      <c r="CI28" s="531">
        <f ca="1">IF($B$6="ON", IF(CI26&gt;=covid_start, IF(CI26&lt;covid_recovery,NA(),SUMIFS(INDIRECT("Data_main"&amp;"["&amp;CI$8&amp;"]"),Data_main[Data],$A28, Data_main[Segment],$B28, Data_main[Scenario],$B$3)),SUMIFS(INDIRECT("Data_main"&amp;"["&amp;CI$8&amp;"]"),Data_main[Data],$A28, Data_main[Segment],$B28, Data_main[Scenario],$B$3)),SUMIFS(INDIRECT("Data_main"&amp;"["&amp;CI$8&amp;"]"),Data_main[Data],$A28, Data_main[Segment],$B28, Data_main[Scenario],$B$3))</f>
        <v>0</v>
      </c>
      <c r="CJ28" s="531">
        <f ca="1">IF($B$6="ON", IF(CJ26&gt;=covid_start, IF(CJ26&lt;covid_recovery,NA(),SUMIFS(INDIRECT("Data_main"&amp;"["&amp;CJ$8&amp;"]"),Data_main[Data],$A28, Data_main[Segment],$B28, Data_main[Scenario],$B$3)),SUMIFS(INDIRECT("Data_main"&amp;"["&amp;CJ$8&amp;"]"),Data_main[Data],$A28, Data_main[Segment],$B28, Data_main[Scenario],$B$3)),SUMIFS(INDIRECT("Data_main"&amp;"["&amp;CJ$8&amp;"]"),Data_main[Data],$A28, Data_main[Segment],$B28, Data_main[Scenario],$B$3))</f>
        <v>0</v>
      </c>
      <c r="CK28" s="531">
        <f ca="1">IF($B$6="ON", IF(CK26&gt;=covid_start, IF(CK26&lt;covid_recovery,NA(),SUMIFS(INDIRECT("Data_main"&amp;"["&amp;CK$8&amp;"]"),Data_main[Data],$A28, Data_main[Segment],$B28, Data_main[Scenario],$B$3)),SUMIFS(INDIRECT("Data_main"&amp;"["&amp;CK$8&amp;"]"),Data_main[Data],$A28, Data_main[Segment],$B28, Data_main[Scenario],$B$3)),SUMIFS(INDIRECT("Data_main"&amp;"["&amp;CK$8&amp;"]"),Data_main[Data],$A28, Data_main[Segment],$B28, Data_main[Scenario],$B$3))</f>
        <v>0</v>
      </c>
      <c r="CL28" s="531">
        <f ca="1">IF($B$6="ON", IF(CL26&gt;=covid_start, IF(CL26&lt;covid_recovery,NA(),SUMIFS(INDIRECT("Data_main"&amp;"["&amp;CL$8&amp;"]"),Data_main[Data],$A28, Data_main[Segment],$B28, Data_main[Scenario],$B$3)),SUMIFS(INDIRECT("Data_main"&amp;"["&amp;CL$8&amp;"]"),Data_main[Data],$A28, Data_main[Segment],$B28, Data_main[Scenario],$B$3)),SUMIFS(INDIRECT("Data_main"&amp;"["&amp;CL$8&amp;"]"),Data_main[Data],$A28, Data_main[Segment],$B28, Data_main[Scenario],$B$3))</f>
        <v>0</v>
      </c>
      <c r="CN28" s="613">
        <f ca="1">IFERROR((Y28/H28)^(1/17)-1,"")</f>
        <v>2.0789671507730256E-2</v>
      </c>
      <c r="CO28" s="613">
        <f ca="1">IFERROR((AN28/Y28)^(1/15)-1,"")</f>
        <v>2.7300190311734696E-2</v>
      </c>
      <c r="CP28" s="613">
        <f ca="1">IFERROR((AN28/H28)^(1/32)-1,"")</f>
        <v>2.3836323786496472E-2</v>
      </c>
    </row>
    <row r="29" spans="1:94" outlineLevel="1">
      <c r="A29" s="532" t="s">
        <v>158</v>
      </c>
      <c r="B29" s="532" t="str">
        <f t="shared" si="63"/>
        <v>Ded-long</v>
      </c>
      <c r="C29" s="533" t="s">
        <v>312</v>
      </c>
      <c r="D29" s="530" t="s">
        <v>313</v>
      </c>
      <c r="E29" s="531">
        <f ca="1">IF($B$6="ON", IF(E26&gt;=covid_start, IF(E26&lt;covid_recovery,NA(),SUMIFS(INDIRECT("Data_main"&amp;"["&amp;E$8&amp;"]"),Data_main[Data],$A29, Data_main[Segment],$B29, Data_main[Scenario],$B$3)),SUMIFS(INDIRECT("Data_main"&amp;"["&amp;E$8&amp;"]"),Data_main[Data],$A29, Data_main[Segment],$B29, Data_main[Scenario],$B$3)),SUMIFS(INDIRECT("Data_main"&amp;"["&amp;E$8&amp;"]"),Data_main[Data],$A29, Data_main[Segment],$B29, Data_main[Scenario],$B$3))</f>
        <v>617.74112327702801</v>
      </c>
      <c r="F29" s="531">
        <f ca="1">IF($B$6="ON", IF(F26&gt;=covid_start, IF(F26&lt;covid_recovery,NA(),SUMIFS(INDIRECT("Data_main"&amp;"["&amp;F$8&amp;"]"),Data_main[Data],$A29, Data_main[Segment],$B29, Data_main[Scenario],$B$3)),SUMIFS(INDIRECT("Data_main"&amp;"["&amp;F$8&amp;"]"),Data_main[Data],$A29, Data_main[Segment],$B29, Data_main[Scenario],$B$3)),SUMIFS(INDIRECT("Data_main"&amp;"["&amp;F$8&amp;"]"),Data_main[Data],$A29, Data_main[Segment],$B29, Data_main[Scenario],$B$3))</f>
        <v>595.94914412829348</v>
      </c>
      <c r="G29" s="531">
        <f ca="1">IF($B$6="ON", IF(G26&gt;=covid_start, IF(G26&lt;covid_recovery,NA(),SUMIFS(INDIRECT("Data_main"&amp;"["&amp;G$8&amp;"]"),Data_main[Data],$A29, Data_main[Segment],$B29, Data_main[Scenario],$B$3)),SUMIFS(INDIRECT("Data_main"&amp;"["&amp;G$8&amp;"]"),Data_main[Data],$A29, Data_main[Segment],$B29, Data_main[Scenario],$B$3)),SUMIFS(INDIRECT("Data_main"&amp;"["&amp;G$8&amp;"]"),Data_main[Data],$A29, Data_main[Segment],$B29, Data_main[Scenario],$B$3))</f>
        <v>576.62914325116969</v>
      </c>
      <c r="H29" s="531">
        <f ca="1">IF($B$6="ON", IF(H26&gt;=covid_start, IF(H26&lt;covid_recovery,NA(),SUMIFS(INDIRECT("Data_main"&amp;"["&amp;H$8&amp;"]"),Data_main[Data],$A29, Data_main[Segment],$B29, Data_main[Scenario],$B$3)),SUMIFS(INDIRECT("Data_main"&amp;"["&amp;H$8&amp;"]"),Data_main[Data],$A29, Data_main[Segment],$B29, Data_main[Scenario],$B$3)),SUMIFS(INDIRECT("Data_main"&amp;"["&amp;H$8&amp;"]"),Data_main[Data],$A29, Data_main[Segment],$B29, Data_main[Scenario],$B$3))</f>
        <v>559.38308227988705</v>
      </c>
      <c r="I29" s="531">
        <f ca="1">IF($B$6="ON", IF(I26&gt;=covid_start, IF(I26&lt;covid_recovery,NA(),SUMIFS(INDIRECT("Data_main"&amp;"["&amp;I$8&amp;"]"),Data_main[Data],$A29, Data_main[Segment],$B29, Data_main[Scenario],$B$3)),SUMIFS(INDIRECT("Data_main"&amp;"["&amp;I$8&amp;"]"),Data_main[Data],$A29, Data_main[Segment],$B29, Data_main[Scenario],$B$3)),SUMIFS(INDIRECT("Data_main"&amp;"["&amp;I$8&amp;"]"),Data_main[Data],$A29, Data_main[Segment],$B29, Data_main[Scenario],$B$3))</f>
        <v>584.95599084340938</v>
      </c>
      <c r="J29" s="531" t="e">
        <f ca="1">IF($B$6="ON", IF(J26&gt;=covid_start, IF(J26&lt;covid_recovery,NA(),SUMIFS(INDIRECT("Data_main"&amp;"["&amp;J$8&amp;"]"),Data_main[Data],$A29, Data_main[Segment],$B29, Data_main[Scenario],$B$3)),SUMIFS(INDIRECT("Data_main"&amp;"["&amp;J$8&amp;"]"),Data_main[Data],$A29, Data_main[Segment],$B29, Data_main[Scenario],$B$3)),SUMIFS(INDIRECT("Data_main"&amp;"["&amp;J$8&amp;"]"),Data_main[Data],$A29, Data_main[Segment],$B29, Data_main[Scenario],$B$3))</f>
        <v>#N/A</v>
      </c>
      <c r="K29" s="531" t="e">
        <f ca="1">IF($B$6="ON", IF(K26&gt;=covid_start, IF(K26&lt;covid_recovery,NA(),SUMIFS(INDIRECT("Data_main"&amp;"["&amp;K$8&amp;"]"),Data_main[Data],$A29, Data_main[Segment],$B29, Data_main[Scenario],$B$3)),SUMIFS(INDIRECT("Data_main"&amp;"["&amp;K$8&amp;"]"),Data_main[Data],$A29, Data_main[Segment],$B29, Data_main[Scenario],$B$3)),SUMIFS(INDIRECT("Data_main"&amp;"["&amp;K$8&amp;"]"),Data_main[Data],$A29, Data_main[Segment],$B29, Data_main[Scenario],$B$3))</f>
        <v>#N/A</v>
      </c>
      <c r="L29" s="531" t="e">
        <f ca="1">IF($B$6="ON", IF(L26&gt;=covid_start, IF(L26&lt;covid_recovery,NA(),SUMIFS(INDIRECT("Data_main"&amp;"["&amp;L$8&amp;"]"),Data_main[Data],$A29, Data_main[Segment],$B29, Data_main[Scenario],$B$3)),SUMIFS(INDIRECT("Data_main"&amp;"["&amp;L$8&amp;"]"),Data_main[Data],$A29, Data_main[Segment],$B29, Data_main[Scenario],$B$3)),SUMIFS(INDIRECT("Data_main"&amp;"["&amp;L$8&amp;"]"),Data_main[Data],$A29, Data_main[Segment],$B29, Data_main[Scenario],$B$3))</f>
        <v>#N/A</v>
      </c>
      <c r="M29" s="531">
        <f ca="1">IF($B$6="ON", IF(M26&gt;=covid_start, IF(M26&lt;covid_recovery,NA(),SUMIFS(INDIRECT("Data_main"&amp;"["&amp;M$8&amp;"]"),Data_main[Data],$A29, Data_main[Segment],$B29, Data_main[Scenario],$B$3)),SUMIFS(INDIRECT("Data_main"&amp;"["&amp;M$8&amp;"]"),Data_main[Data],$A29, Data_main[Segment],$B29, Data_main[Scenario],$B$3)),SUMIFS(INDIRECT("Data_main"&amp;"["&amp;M$8&amp;"]"),Data_main[Data],$A29, Data_main[Segment],$B29, Data_main[Scenario],$B$3))</f>
        <v>509.41309666663813</v>
      </c>
      <c r="N29" s="531">
        <f ca="1">IF($B$6="ON", IF(N26&gt;=covid_start, IF(N26&lt;covid_recovery,NA(),SUMIFS(INDIRECT("Data_main"&amp;"["&amp;N$8&amp;"]"),Data_main[Data],$A29, Data_main[Segment],$B29, Data_main[Scenario],$B$3)),SUMIFS(INDIRECT("Data_main"&amp;"["&amp;N$8&amp;"]"),Data_main[Data],$A29, Data_main[Segment],$B29, Data_main[Scenario],$B$3)),SUMIFS(INDIRECT("Data_main"&amp;"["&amp;N$8&amp;"]"),Data_main[Data],$A29, Data_main[Segment],$B29, Data_main[Scenario],$B$3))</f>
        <v>493.16723696776518</v>
      </c>
      <c r="O29" s="531">
        <f ca="1">IF($B$6="ON", IF(O26&gt;=covid_start, IF(O26&lt;covid_recovery,NA(),SUMIFS(INDIRECT("Data_main"&amp;"["&amp;O$8&amp;"]"),Data_main[Data],$A29, Data_main[Segment],$B29, Data_main[Scenario],$B$3)),SUMIFS(INDIRECT("Data_main"&amp;"["&amp;O$8&amp;"]"),Data_main[Data],$A29, Data_main[Segment],$B29, Data_main[Scenario],$B$3)),SUMIFS(INDIRECT("Data_main"&amp;"["&amp;O$8&amp;"]"),Data_main[Data],$A29, Data_main[Segment],$B29, Data_main[Scenario],$B$3))</f>
        <v>477.80501852840638</v>
      </c>
      <c r="P29" s="531">
        <f ca="1">IF($B$6="ON", IF(P26&gt;=covid_start, IF(P26&lt;covid_recovery,NA(),SUMIFS(INDIRECT("Data_main"&amp;"["&amp;P$8&amp;"]"),Data_main[Data],$A29, Data_main[Segment],$B29, Data_main[Scenario],$B$3)),SUMIFS(INDIRECT("Data_main"&amp;"["&amp;P$8&amp;"]"),Data_main[Data],$A29, Data_main[Segment],$B29, Data_main[Scenario],$B$3)),SUMIFS(INDIRECT("Data_main"&amp;"["&amp;P$8&amp;"]"),Data_main[Data],$A29, Data_main[Segment],$B29, Data_main[Scenario],$B$3))</f>
        <v>463.25625587100029</v>
      </c>
      <c r="Q29" s="531">
        <f ca="1">IF($B$6="ON", IF(Q26&gt;=covid_start, IF(Q26&lt;covid_recovery,NA(),SUMIFS(INDIRECT("Data_main"&amp;"["&amp;Q$8&amp;"]"),Data_main[Data],$A29, Data_main[Segment],$B29, Data_main[Scenario],$B$3)),SUMIFS(INDIRECT("Data_main"&amp;"["&amp;Q$8&amp;"]"),Data_main[Data],$A29, Data_main[Segment],$B29, Data_main[Scenario],$B$3)),SUMIFS(INDIRECT("Data_main"&amp;"["&amp;Q$8&amp;"]"),Data_main[Data],$A29, Data_main[Segment],$B29, Data_main[Scenario],$B$3))</f>
        <v>449.45800468442951</v>
      </c>
      <c r="R29" s="531">
        <f ca="1">IF($B$6="ON", IF(R26&gt;=covid_start, IF(R26&lt;covid_recovery,NA(),SUMIFS(INDIRECT("Data_main"&amp;"["&amp;R$8&amp;"]"),Data_main[Data],$A29, Data_main[Segment],$B29, Data_main[Scenario],$B$3)),SUMIFS(INDIRECT("Data_main"&amp;"["&amp;R$8&amp;"]"),Data_main[Data],$A29, Data_main[Segment],$B29, Data_main[Scenario],$B$3)),SUMIFS(INDIRECT("Data_main"&amp;"["&amp;R$8&amp;"]"),Data_main[Data],$A29, Data_main[Segment],$B29, Data_main[Scenario],$B$3))</f>
        <v>436.35365144949753</v>
      </c>
      <c r="S29" s="531">
        <f ca="1">IF($B$6="ON", IF(S26&gt;=covid_start, IF(S26&lt;covid_recovery,NA(),SUMIFS(INDIRECT("Data_main"&amp;"["&amp;S$8&amp;"]"),Data_main[Data],$A29, Data_main[Segment],$B29, Data_main[Scenario],$B$3)),SUMIFS(INDIRECT("Data_main"&amp;"["&amp;S$8&amp;"]"),Data_main[Data],$A29, Data_main[Segment],$B29, Data_main[Scenario],$B$3)),SUMIFS(INDIRECT("Data_main"&amp;"["&amp;S$8&amp;"]"),Data_main[Data],$A29, Data_main[Segment],$B29, Data_main[Scenario],$B$3))</f>
        <v>423.89213704066054</v>
      </c>
      <c r="T29" s="531">
        <f ca="1">IF($B$6="ON", IF(T26&gt;=covid_start, IF(T26&lt;covid_recovery,NA(),SUMIFS(INDIRECT("Data_main"&amp;"["&amp;T$8&amp;"]"),Data_main[Data],$A29, Data_main[Segment],$B29, Data_main[Scenario],$B$3)),SUMIFS(INDIRECT("Data_main"&amp;"["&amp;T$8&amp;"]"),Data_main[Data],$A29, Data_main[Segment],$B29, Data_main[Scenario],$B$3)),SUMIFS(INDIRECT("Data_main"&amp;"["&amp;T$8&amp;"]"),Data_main[Data],$A29, Data_main[Segment],$B29, Data_main[Scenario],$B$3))</f>
        <v>412.02729185183631</v>
      </c>
      <c r="U29" s="531">
        <f ca="1">IF($B$6="ON", IF(U26&gt;=covid_start, IF(U26&lt;covid_recovery,NA(),SUMIFS(INDIRECT("Data_main"&amp;"["&amp;U$8&amp;"]"),Data_main[Data],$A29, Data_main[Segment],$B29, Data_main[Scenario],$B$3)),SUMIFS(INDIRECT("Data_main"&amp;"["&amp;U$8&amp;"]"),Data_main[Data],$A29, Data_main[Segment],$B29, Data_main[Scenario],$B$3)),SUMIFS(INDIRECT("Data_main"&amp;"["&amp;U$8&amp;"]"),Data_main[Data],$A29, Data_main[Segment],$B29, Data_main[Scenario],$B$3))</f>
        <v>395.68554787465416</v>
      </c>
      <c r="V29" s="531">
        <f ca="1">IF($B$6="ON", IF(V26&gt;=covid_start, IF(V26&lt;covid_recovery,NA(),SUMIFS(INDIRECT("Data_main"&amp;"["&amp;V$8&amp;"]"),Data_main[Data],$A29, Data_main[Segment],$B29, Data_main[Scenario],$B$3)),SUMIFS(INDIRECT("Data_main"&amp;"["&amp;V$8&amp;"]"),Data_main[Data],$A29, Data_main[Segment],$B29, Data_main[Scenario],$B$3)),SUMIFS(INDIRECT("Data_main"&amp;"["&amp;V$8&amp;"]"),Data_main[Data],$A29, Data_main[Segment],$B29, Data_main[Scenario],$B$3))</f>
        <v>380.2792209893006</v>
      </c>
      <c r="W29" s="531">
        <f ca="1">IF($B$6="ON", IF(W26&gt;=covid_start, IF(W26&lt;covid_recovery,NA(),SUMIFS(INDIRECT("Data_main"&amp;"["&amp;W$8&amp;"]"),Data_main[Data],$A29, Data_main[Segment],$B29, Data_main[Scenario],$B$3)),SUMIFS(INDIRECT("Data_main"&amp;"["&amp;W$8&amp;"]"),Data_main[Data],$A29, Data_main[Segment],$B29, Data_main[Scenario],$B$3)),SUMIFS(INDIRECT("Data_main"&amp;"["&amp;W$8&amp;"]"),Data_main[Data],$A29, Data_main[Segment],$B29, Data_main[Scenario],$B$3))</f>
        <v>365.73022966981813</v>
      </c>
      <c r="X29" s="531">
        <f ca="1">IF($B$6="ON", IF(X26&gt;=covid_start, IF(X26&lt;covid_recovery,NA(),SUMIFS(INDIRECT("Data_main"&amp;"["&amp;X$8&amp;"]"),Data_main[Data],$A29, Data_main[Segment],$B29, Data_main[Scenario],$B$3)),SUMIFS(INDIRECT("Data_main"&amp;"["&amp;X$8&amp;"]"),Data_main[Data],$A29, Data_main[Segment],$B29, Data_main[Scenario],$B$3)),SUMIFS(INDIRECT("Data_main"&amp;"["&amp;X$8&amp;"]"),Data_main[Data],$A29, Data_main[Segment],$B29, Data_main[Scenario],$B$3))</f>
        <v>351.9689473434251</v>
      </c>
      <c r="Y29" s="531">
        <f ca="1">IF($B$6="ON", IF(Y26&gt;=covid_start, IF(Y26&lt;covid_recovery,NA(),SUMIFS(INDIRECT("Data_main"&amp;"["&amp;Y$8&amp;"]"),Data_main[Data],$A29, Data_main[Segment],$B29, Data_main[Scenario],$B$3)),SUMIFS(INDIRECT("Data_main"&amp;"["&amp;Y$8&amp;"]"),Data_main[Data],$A29, Data_main[Segment],$B29, Data_main[Scenario],$B$3)),SUMIFS(INDIRECT("Data_main"&amp;"["&amp;Y$8&amp;"]"),Data_main[Data],$A29, Data_main[Segment],$B29, Data_main[Scenario],$B$3))</f>
        <v>338.93308813779521</v>
      </c>
      <c r="Z29" s="531">
        <f ca="1">IF($B$6="ON", IF(Z26&gt;=covid_start, IF(Z26&lt;covid_recovery,NA(),SUMIFS(INDIRECT("Data_main"&amp;"["&amp;Z$8&amp;"]"),Data_main[Data],$A29, Data_main[Segment],$B29, Data_main[Scenario],$B$3)),SUMIFS(INDIRECT("Data_main"&amp;"["&amp;Z$8&amp;"]"),Data_main[Data],$A29, Data_main[Segment],$B29, Data_main[Scenario],$B$3)),SUMIFS(INDIRECT("Data_main"&amp;"["&amp;Z$8&amp;"]"),Data_main[Data],$A29, Data_main[Segment],$B29, Data_main[Scenario],$B$3))</f>
        <v>326.56676431589489</v>
      </c>
      <c r="AA29" s="531">
        <f ca="1">IF($B$6="ON", IF(AA26&gt;=covid_start, IF(AA26&lt;covid_recovery,NA(),SUMIFS(INDIRECT("Data_main"&amp;"["&amp;AA$8&amp;"]"),Data_main[Data],$A29, Data_main[Segment],$B29, Data_main[Scenario],$B$3)),SUMIFS(INDIRECT("Data_main"&amp;"["&amp;AA$8&amp;"]"),Data_main[Data],$A29, Data_main[Segment],$B29, Data_main[Scenario],$B$3)),SUMIFS(INDIRECT("Data_main"&amp;"["&amp;AA$8&amp;"]"),Data_main[Data],$A29, Data_main[Segment],$B29, Data_main[Scenario],$B$3))</f>
        <v>314.81968530793569</v>
      </c>
      <c r="AB29" s="531">
        <f ca="1">IF($B$6="ON", IF(AB26&gt;=covid_start, IF(AB26&lt;covid_recovery,NA(),SUMIFS(INDIRECT("Data_main"&amp;"["&amp;AB$8&amp;"]"),Data_main[Data],$A29, Data_main[Segment],$B29, Data_main[Scenario],$B$3)),SUMIFS(INDIRECT("Data_main"&amp;"["&amp;AB$8&amp;"]"),Data_main[Data],$A29, Data_main[Segment],$B29, Data_main[Scenario],$B$3)),SUMIFS(INDIRECT("Data_main"&amp;"["&amp;AB$8&amp;"]"),Data_main[Data],$A29, Data_main[Segment],$B29, Data_main[Scenario],$B$3))</f>
        <v>303.64647412990445</v>
      </c>
      <c r="AC29" s="531">
        <f ca="1">IF($B$6="ON", IF(AC26&gt;=covid_start, IF(AC26&lt;covid_recovery,NA(),SUMIFS(INDIRECT("Data_main"&amp;"["&amp;AC$8&amp;"]"),Data_main[Data],$A29, Data_main[Segment],$B29, Data_main[Scenario],$B$3)),SUMIFS(INDIRECT("Data_main"&amp;"["&amp;AC$8&amp;"]"),Data_main[Data],$A29, Data_main[Segment],$B29, Data_main[Scenario],$B$3)),SUMIFS(INDIRECT("Data_main"&amp;"["&amp;AC$8&amp;"]"),Data_main[Data],$A29, Data_main[Segment],$B29, Data_main[Scenario],$B$3))</f>
        <v>293.00608159625432</v>
      </c>
      <c r="AD29" s="531">
        <f ca="1">IF($B$6="ON", IF(AD26&gt;=covid_start, IF(AD26&lt;covid_recovery,NA(),SUMIFS(INDIRECT("Data_main"&amp;"["&amp;AD$8&amp;"]"),Data_main[Data],$A29, Data_main[Segment],$B29, Data_main[Scenario],$B$3)),SUMIFS(INDIRECT("Data_main"&amp;"["&amp;AD$8&amp;"]"),Data_main[Data],$A29, Data_main[Segment],$B29, Data_main[Scenario],$B$3)),SUMIFS(INDIRECT("Data_main"&amp;"["&amp;AD$8&amp;"]"),Data_main[Data],$A29, Data_main[Segment],$B29, Data_main[Scenario],$B$3))</f>
        <v>282.86128238454643</v>
      </c>
      <c r="AE29" s="531">
        <f ca="1">IF($B$6="ON", IF(AE26&gt;=covid_start, IF(AE26&lt;covid_recovery,NA(),SUMIFS(INDIRECT("Data_main"&amp;"["&amp;AE$8&amp;"]"),Data_main[Data],$A29, Data_main[Segment],$B29, Data_main[Scenario],$B$3)),SUMIFS(INDIRECT("Data_main"&amp;"["&amp;AE$8&amp;"]"),Data_main[Data],$A29, Data_main[Segment],$B29, Data_main[Scenario],$B$3)),SUMIFS(INDIRECT("Data_main"&amp;"["&amp;AE$8&amp;"]"),Data_main[Data],$A29, Data_main[Segment],$B29, Data_main[Scenario],$B$3))</f>
        <v>272.70750015949955</v>
      </c>
      <c r="AF29" s="531">
        <f ca="1">IF($B$6="ON", IF(AF26&gt;=covid_start, IF(AF26&lt;covid_recovery,NA(),SUMIFS(INDIRECT("Data_main"&amp;"["&amp;AF$8&amp;"]"),Data_main[Data],$A29, Data_main[Segment],$B29, Data_main[Scenario],$B$3)),SUMIFS(INDIRECT("Data_main"&amp;"["&amp;AF$8&amp;"]"),Data_main[Data],$A29, Data_main[Segment],$B29, Data_main[Scenario],$B$3)),SUMIFS(INDIRECT("Data_main"&amp;"["&amp;AF$8&amp;"]"),Data_main[Data],$A29, Data_main[Segment],$B29, Data_main[Scenario],$B$3))</f>
        <v>263.17059247449896</v>
      </c>
      <c r="AG29" s="531">
        <f ca="1">IF($B$6="ON", IF(AG26&gt;=covid_start, IF(AG26&lt;covid_recovery,NA(),SUMIFS(INDIRECT("Data_main"&amp;"["&amp;AG$8&amp;"]"),Data_main[Data],$A29, Data_main[Segment],$B29, Data_main[Scenario],$B$3)),SUMIFS(INDIRECT("Data_main"&amp;"["&amp;AG$8&amp;"]"),Data_main[Data],$A29, Data_main[Segment],$B29, Data_main[Scenario],$B$3)),SUMIFS(INDIRECT("Data_main"&amp;"["&amp;AG$8&amp;"]"),Data_main[Data],$A29, Data_main[Segment],$B29, Data_main[Scenario],$B$3))</f>
        <v>254.19600099252031</v>
      </c>
      <c r="AH29" s="531">
        <f ca="1">IF($B$6="ON", IF(AH26&gt;=covid_start, IF(AH26&lt;covid_recovery,NA(),SUMIFS(INDIRECT("Data_main"&amp;"["&amp;AH$8&amp;"]"),Data_main[Data],$A29, Data_main[Segment],$B29, Data_main[Scenario],$B$3)),SUMIFS(INDIRECT("Data_main"&amp;"["&amp;AH$8&amp;"]"),Data_main[Data],$A29, Data_main[Segment],$B29, Data_main[Scenario],$B$3)),SUMIFS(INDIRECT("Data_main"&amp;"["&amp;AH$8&amp;"]"),Data_main[Data],$A29, Data_main[Segment],$B29, Data_main[Scenario],$B$3))</f>
        <v>245.73541688384202</v>
      </c>
      <c r="AI29" s="531">
        <f ca="1">IF($B$6="ON", IF(AI26&gt;=covid_start, IF(AI26&lt;covid_recovery,NA(),SUMIFS(INDIRECT("Data_main"&amp;"["&amp;AI$8&amp;"]"),Data_main[Data],$A29, Data_main[Segment],$B29, Data_main[Scenario],$B$3)),SUMIFS(INDIRECT("Data_main"&amp;"["&amp;AI$8&amp;"]"),Data_main[Data],$A29, Data_main[Segment],$B29, Data_main[Scenario],$B$3)),SUMIFS(INDIRECT("Data_main"&amp;"["&amp;AI$8&amp;"]"),Data_main[Data],$A29, Data_main[Segment],$B29, Data_main[Scenario],$B$3))</f>
        <v>237.7459109079083</v>
      </c>
      <c r="AJ29" s="531">
        <f ca="1">IF($B$6="ON", IF(AJ26&gt;=covid_start, IF(AJ26&lt;covid_recovery,NA(),SUMIFS(INDIRECT("Data_main"&amp;"["&amp;AJ$8&amp;"]"),Data_main[Data],$A29, Data_main[Segment],$B29, Data_main[Scenario],$B$3)),SUMIFS(INDIRECT("Data_main"&amp;"["&amp;AJ$8&amp;"]"),Data_main[Data],$A29, Data_main[Segment],$B29, Data_main[Scenario],$B$3)),SUMIFS(INDIRECT("Data_main"&amp;"["&amp;AJ$8&amp;"]"),Data_main[Data],$A29, Data_main[Segment],$B29, Data_main[Scenario],$B$3))</f>
        <v>230.1892048683288</v>
      </c>
      <c r="AK29" s="531">
        <f ca="1">IF($B$6="ON", IF(AK26&gt;=covid_start, IF(AK26&lt;covid_recovery,NA(),SUMIFS(INDIRECT("Data_main"&amp;"["&amp;AK$8&amp;"]"),Data_main[Data],$A29, Data_main[Segment],$B29, Data_main[Scenario],$B$3)),SUMIFS(INDIRECT("Data_main"&amp;"["&amp;AK$8&amp;"]"),Data_main[Data],$A29, Data_main[Segment],$B29, Data_main[Scenario],$B$3)),SUMIFS(INDIRECT("Data_main"&amp;"["&amp;AK$8&amp;"]"),Data_main[Data],$A29, Data_main[Segment],$B29, Data_main[Scenario],$B$3))</f>
        <v>223.03105834372005</v>
      </c>
      <c r="AL29" s="531">
        <f ca="1">IF($B$6="ON", IF(AL26&gt;=covid_start, IF(AL26&lt;covid_recovery,NA(),SUMIFS(INDIRECT("Data_main"&amp;"["&amp;AL$8&amp;"]"),Data_main[Data],$A29, Data_main[Segment],$B29, Data_main[Scenario],$B$3)),SUMIFS(INDIRECT("Data_main"&amp;"["&amp;AL$8&amp;"]"),Data_main[Data],$A29, Data_main[Segment],$B29, Data_main[Scenario],$B$3)),SUMIFS(INDIRECT("Data_main"&amp;"["&amp;AL$8&amp;"]"),Data_main[Data],$A29, Data_main[Segment],$B29, Data_main[Scenario],$B$3))</f>
        <v>216.24074996136525</v>
      </c>
      <c r="AM29" s="531">
        <f ca="1">IF($B$6="ON", IF(AM26&gt;=covid_start, IF(AM26&lt;covid_recovery,NA(),SUMIFS(INDIRECT("Data_main"&amp;"["&amp;AM$8&amp;"]"),Data_main[Data],$A29, Data_main[Segment],$B29, Data_main[Scenario],$B$3)),SUMIFS(INDIRECT("Data_main"&amp;"["&amp;AM$8&amp;"]"),Data_main[Data],$A29, Data_main[Segment],$B29, Data_main[Scenario],$B$3)),SUMIFS(INDIRECT("Data_main"&amp;"["&amp;AM$8&amp;"]"),Data_main[Data],$A29, Data_main[Segment],$B29, Data_main[Scenario],$B$3))</f>
        <v>209.79063663558199</v>
      </c>
      <c r="AN29" s="531">
        <f ca="1">IF($B$6="ON", IF(AN26&gt;=covid_start, IF(AN26&lt;covid_recovery,NA(),SUMIFS(INDIRECT("Data_main"&amp;"["&amp;AN$8&amp;"]"),Data_main[Data],$A29, Data_main[Segment],$B29, Data_main[Scenario],$B$3)),SUMIFS(INDIRECT("Data_main"&amp;"["&amp;AN$8&amp;"]"),Data_main[Data],$A29, Data_main[Segment],$B29, Data_main[Scenario],$B$3)),SUMIFS(INDIRECT("Data_main"&amp;"["&amp;AN$8&amp;"]"),Data_main[Data],$A29, Data_main[Segment],$B29, Data_main[Scenario],$B$3))</f>
        <v>203.65577743375763</v>
      </c>
      <c r="AO29" s="531">
        <f ca="1">IF($B$6="ON", IF(AO26&gt;=covid_start, IF(AO26&lt;covid_recovery,NA(),SUMIFS(INDIRECT("Data_main"&amp;"["&amp;AO$8&amp;"]"),Data_main[Data],$A29, Data_main[Segment],$B29, Data_main[Scenario],$B$3)),SUMIFS(INDIRECT("Data_main"&amp;"["&amp;AO$8&amp;"]"),Data_main[Data],$A29, Data_main[Segment],$B29, Data_main[Scenario],$B$3)),SUMIFS(INDIRECT("Data_main"&amp;"["&amp;AO$8&amp;"]"),Data_main[Data],$A29, Data_main[Segment],$B29, Data_main[Scenario],$B$3))</f>
        <v>0</v>
      </c>
      <c r="AP29" s="531">
        <f ca="1">IF($B$6="ON", IF(AP26&gt;=covid_start, IF(AP26&lt;covid_recovery,NA(),SUMIFS(INDIRECT("Data_main"&amp;"["&amp;AP$8&amp;"]"),Data_main[Data],$A29, Data_main[Segment],$B29, Data_main[Scenario],$B$3)),SUMIFS(INDIRECT("Data_main"&amp;"["&amp;AP$8&amp;"]"),Data_main[Data],$A29, Data_main[Segment],$B29, Data_main[Scenario],$B$3)),SUMIFS(INDIRECT("Data_main"&amp;"["&amp;AP$8&amp;"]"),Data_main[Data],$A29, Data_main[Segment],$B29, Data_main[Scenario],$B$3))</f>
        <v>0</v>
      </c>
      <c r="AQ29" s="531">
        <f ca="1">IF($B$6="ON", IF(AQ26&gt;=covid_start, IF(AQ26&lt;covid_recovery,NA(),SUMIFS(INDIRECT("Data_main"&amp;"["&amp;AQ$8&amp;"]"),Data_main[Data],$A29, Data_main[Segment],$B29, Data_main[Scenario],$B$3)),SUMIFS(INDIRECT("Data_main"&amp;"["&amp;AQ$8&amp;"]"),Data_main[Data],$A29, Data_main[Segment],$B29, Data_main[Scenario],$B$3)),SUMIFS(INDIRECT("Data_main"&amp;"["&amp;AQ$8&amp;"]"),Data_main[Data],$A29, Data_main[Segment],$B29, Data_main[Scenario],$B$3))</f>
        <v>0</v>
      </c>
      <c r="AR29" s="531">
        <f ca="1">IF($B$6="ON", IF(AR26&gt;=covid_start, IF(AR26&lt;covid_recovery,NA(),SUMIFS(INDIRECT("Data_main"&amp;"["&amp;AR$8&amp;"]"),Data_main[Data],$A29, Data_main[Segment],$B29, Data_main[Scenario],$B$3)),SUMIFS(INDIRECT("Data_main"&amp;"["&amp;AR$8&amp;"]"),Data_main[Data],$A29, Data_main[Segment],$B29, Data_main[Scenario],$B$3)),SUMIFS(INDIRECT("Data_main"&amp;"["&amp;AR$8&amp;"]"),Data_main[Data],$A29, Data_main[Segment],$B29, Data_main[Scenario],$B$3))</f>
        <v>0</v>
      </c>
      <c r="AS29" s="531">
        <f ca="1">IF($B$6="ON", IF(AS26&gt;=covid_start, IF(AS26&lt;covid_recovery,NA(),SUMIFS(INDIRECT("Data_main"&amp;"["&amp;AS$8&amp;"]"),Data_main[Data],$A29, Data_main[Segment],$B29, Data_main[Scenario],$B$3)),SUMIFS(INDIRECT("Data_main"&amp;"["&amp;AS$8&amp;"]"),Data_main[Data],$A29, Data_main[Segment],$B29, Data_main[Scenario],$B$3)),SUMIFS(INDIRECT("Data_main"&amp;"["&amp;AS$8&amp;"]"),Data_main[Data],$A29, Data_main[Segment],$B29, Data_main[Scenario],$B$3))</f>
        <v>0</v>
      </c>
      <c r="AT29" s="531">
        <f ca="1">IF($B$6="ON", IF(AT26&gt;=covid_start, IF(AT26&lt;covid_recovery,NA(),SUMIFS(INDIRECT("Data_main"&amp;"["&amp;AT$8&amp;"]"),Data_main[Data],$A29, Data_main[Segment],$B29, Data_main[Scenario],$B$3)),SUMIFS(INDIRECT("Data_main"&amp;"["&amp;AT$8&amp;"]"),Data_main[Data],$A29, Data_main[Segment],$B29, Data_main[Scenario],$B$3)),SUMIFS(INDIRECT("Data_main"&amp;"["&amp;AT$8&amp;"]"),Data_main[Data],$A29, Data_main[Segment],$B29, Data_main[Scenario],$B$3))</f>
        <v>0</v>
      </c>
      <c r="AU29" s="531">
        <f ca="1">IF($B$6="ON", IF(AU26&gt;=covid_start, IF(AU26&lt;covid_recovery,NA(),SUMIFS(INDIRECT("Data_main"&amp;"["&amp;AU$8&amp;"]"),Data_main[Data],$A29, Data_main[Segment],$B29, Data_main[Scenario],$B$3)),SUMIFS(INDIRECT("Data_main"&amp;"["&amp;AU$8&amp;"]"),Data_main[Data],$A29, Data_main[Segment],$B29, Data_main[Scenario],$B$3)),SUMIFS(INDIRECT("Data_main"&amp;"["&amp;AU$8&amp;"]"),Data_main[Data],$A29, Data_main[Segment],$B29, Data_main[Scenario],$B$3))</f>
        <v>0</v>
      </c>
      <c r="AV29" s="531">
        <f ca="1">IF($B$6="ON", IF(AV26&gt;=covid_start, IF(AV26&lt;covid_recovery,NA(),SUMIFS(INDIRECT("Data_main"&amp;"["&amp;AV$8&amp;"]"),Data_main[Data],$A29, Data_main[Segment],$B29, Data_main[Scenario],$B$3)),SUMIFS(INDIRECT("Data_main"&amp;"["&amp;AV$8&amp;"]"),Data_main[Data],$A29, Data_main[Segment],$B29, Data_main[Scenario],$B$3)),SUMIFS(INDIRECT("Data_main"&amp;"["&amp;AV$8&amp;"]"),Data_main[Data],$A29, Data_main[Segment],$B29, Data_main[Scenario],$B$3))</f>
        <v>0</v>
      </c>
      <c r="AW29" s="531">
        <f ca="1">IF($B$6="ON", IF(AW26&gt;=covid_start, IF(AW26&lt;covid_recovery,NA(),SUMIFS(INDIRECT("Data_main"&amp;"["&amp;AW$8&amp;"]"),Data_main[Data],$A29, Data_main[Segment],$B29, Data_main[Scenario],$B$3)),SUMIFS(INDIRECT("Data_main"&amp;"["&amp;AW$8&amp;"]"),Data_main[Data],$A29, Data_main[Segment],$B29, Data_main[Scenario],$B$3)),SUMIFS(INDIRECT("Data_main"&amp;"["&amp;AW$8&amp;"]"),Data_main[Data],$A29, Data_main[Segment],$B29, Data_main[Scenario],$B$3))</f>
        <v>0</v>
      </c>
      <c r="AX29" s="531">
        <f ca="1">IF($B$6="ON", IF(AX26&gt;=covid_start, IF(AX26&lt;covid_recovery,NA(),SUMIFS(INDIRECT("Data_main"&amp;"["&amp;AX$8&amp;"]"),Data_main[Data],$A29, Data_main[Segment],$B29, Data_main[Scenario],$B$3)),SUMIFS(INDIRECT("Data_main"&amp;"["&amp;AX$8&amp;"]"),Data_main[Data],$A29, Data_main[Segment],$B29, Data_main[Scenario],$B$3)),SUMIFS(INDIRECT("Data_main"&amp;"["&amp;AX$8&amp;"]"),Data_main[Data],$A29, Data_main[Segment],$B29, Data_main[Scenario],$B$3))</f>
        <v>0</v>
      </c>
      <c r="AY29" s="531">
        <f ca="1">IF($B$6="ON", IF(AY26&gt;=covid_start, IF(AY26&lt;covid_recovery,NA(),SUMIFS(INDIRECT("Data_main"&amp;"["&amp;AY$8&amp;"]"),Data_main[Data],$A29, Data_main[Segment],$B29, Data_main[Scenario],$B$3)),SUMIFS(INDIRECT("Data_main"&amp;"["&amp;AY$8&amp;"]"),Data_main[Data],$A29, Data_main[Segment],$B29, Data_main[Scenario],$B$3)),SUMIFS(INDIRECT("Data_main"&amp;"["&amp;AY$8&amp;"]"),Data_main[Data],$A29, Data_main[Segment],$B29, Data_main[Scenario],$B$3))</f>
        <v>0</v>
      </c>
      <c r="AZ29" s="531">
        <f ca="1">IF($B$6="ON", IF(AZ26&gt;=covid_start, IF(AZ26&lt;covid_recovery,NA(),SUMIFS(INDIRECT("Data_main"&amp;"["&amp;AZ$8&amp;"]"),Data_main[Data],$A29, Data_main[Segment],$B29, Data_main[Scenario],$B$3)),SUMIFS(INDIRECT("Data_main"&amp;"["&amp;AZ$8&amp;"]"),Data_main[Data],$A29, Data_main[Segment],$B29, Data_main[Scenario],$B$3)),SUMIFS(INDIRECT("Data_main"&amp;"["&amp;AZ$8&amp;"]"),Data_main[Data],$A29, Data_main[Segment],$B29, Data_main[Scenario],$B$3))</f>
        <v>0</v>
      </c>
      <c r="BA29" s="531">
        <f ca="1">IF($B$6="ON", IF(BA26&gt;=covid_start, IF(BA26&lt;covid_recovery,NA(),SUMIFS(INDIRECT("Data_main"&amp;"["&amp;BA$8&amp;"]"),Data_main[Data],$A29, Data_main[Segment],$B29, Data_main[Scenario],$B$3)),SUMIFS(INDIRECT("Data_main"&amp;"["&amp;BA$8&amp;"]"),Data_main[Data],$A29, Data_main[Segment],$B29, Data_main[Scenario],$B$3)),SUMIFS(INDIRECT("Data_main"&amp;"["&amp;BA$8&amp;"]"),Data_main[Data],$A29, Data_main[Segment],$B29, Data_main[Scenario],$B$3))</f>
        <v>0</v>
      </c>
      <c r="BB29" s="531">
        <f ca="1">IF($B$6="ON", IF(BB26&gt;=covid_start, IF(BB26&lt;covid_recovery,NA(),SUMIFS(INDIRECT("Data_main"&amp;"["&amp;BB$8&amp;"]"),Data_main[Data],$A29, Data_main[Segment],$B29, Data_main[Scenario],$B$3)),SUMIFS(INDIRECT("Data_main"&amp;"["&amp;BB$8&amp;"]"),Data_main[Data],$A29, Data_main[Segment],$B29, Data_main[Scenario],$B$3)),SUMIFS(INDIRECT("Data_main"&amp;"["&amp;BB$8&amp;"]"),Data_main[Data],$A29, Data_main[Segment],$B29, Data_main[Scenario],$B$3))</f>
        <v>0</v>
      </c>
      <c r="BC29" s="531">
        <f ca="1">IF($B$6="ON", IF(BC26&gt;=covid_start, IF(BC26&lt;covid_recovery,NA(),SUMIFS(INDIRECT("Data_main"&amp;"["&amp;BC$8&amp;"]"),Data_main[Data],$A29, Data_main[Segment],$B29, Data_main[Scenario],$B$3)),SUMIFS(INDIRECT("Data_main"&amp;"["&amp;BC$8&amp;"]"),Data_main[Data],$A29, Data_main[Segment],$B29, Data_main[Scenario],$B$3)),SUMIFS(INDIRECT("Data_main"&amp;"["&amp;BC$8&amp;"]"),Data_main[Data],$A29, Data_main[Segment],$B29, Data_main[Scenario],$B$3))</f>
        <v>0</v>
      </c>
      <c r="BD29" s="531">
        <f ca="1">IF($B$6="ON", IF(BD26&gt;=covid_start, IF(BD26&lt;covid_recovery,NA(),SUMIFS(INDIRECT("Data_main"&amp;"["&amp;BD$8&amp;"]"),Data_main[Data],$A29, Data_main[Segment],$B29, Data_main[Scenario],$B$3)),SUMIFS(INDIRECT("Data_main"&amp;"["&amp;BD$8&amp;"]"),Data_main[Data],$A29, Data_main[Segment],$B29, Data_main[Scenario],$B$3)),SUMIFS(INDIRECT("Data_main"&amp;"["&amp;BD$8&amp;"]"),Data_main[Data],$A29, Data_main[Segment],$B29, Data_main[Scenario],$B$3))</f>
        <v>0</v>
      </c>
      <c r="BE29" s="531">
        <f ca="1">IF($B$6="ON", IF(BE26&gt;=covid_start, IF(BE26&lt;covid_recovery,NA(),SUMIFS(INDIRECT("Data_main"&amp;"["&amp;BE$8&amp;"]"),Data_main[Data],$A29, Data_main[Segment],$B29, Data_main[Scenario],$B$3)),SUMIFS(INDIRECT("Data_main"&amp;"["&amp;BE$8&amp;"]"),Data_main[Data],$A29, Data_main[Segment],$B29, Data_main[Scenario],$B$3)),SUMIFS(INDIRECT("Data_main"&amp;"["&amp;BE$8&amp;"]"),Data_main[Data],$A29, Data_main[Segment],$B29, Data_main[Scenario],$B$3))</f>
        <v>0</v>
      </c>
      <c r="BF29" s="531">
        <f ca="1">IF($B$6="ON", IF(BF26&gt;=covid_start, IF(BF26&lt;covid_recovery,NA(),SUMIFS(INDIRECT("Data_main"&amp;"["&amp;BF$8&amp;"]"),Data_main[Data],$A29, Data_main[Segment],$B29, Data_main[Scenario],$B$3)),SUMIFS(INDIRECT("Data_main"&amp;"["&amp;BF$8&amp;"]"),Data_main[Data],$A29, Data_main[Segment],$B29, Data_main[Scenario],$B$3)),SUMIFS(INDIRECT("Data_main"&amp;"["&amp;BF$8&amp;"]"),Data_main[Data],$A29, Data_main[Segment],$B29, Data_main[Scenario],$B$3))</f>
        <v>0</v>
      </c>
      <c r="BG29" s="531">
        <f ca="1">IF($B$6="ON", IF(BG26&gt;=covid_start, IF(BG26&lt;covid_recovery,NA(),SUMIFS(INDIRECT("Data_main"&amp;"["&amp;BG$8&amp;"]"),Data_main[Data],$A29, Data_main[Segment],$B29, Data_main[Scenario],$B$3)),SUMIFS(INDIRECT("Data_main"&amp;"["&amp;BG$8&amp;"]"),Data_main[Data],$A29, Data_main[Segment],$B29, Data_main[Scenario],$B$3)),SUMIFS(INDIRECT("Data_main"&amp;"["&amp;BG$8&amp;"]"),Data_main[Data],$A29, Data_main[Segment],$B29, Data_main[Scenario],$B$3))</f>
        <v>0</v>
      </c>
      <c r="BH29" s="531">
        <f ca="1">IF($B$6="ON", IF(BH26&gt;=covid_start, IF(BH26&lt;covid_recovery,NA(),SUMIFS(INDIRECT("Data_main"&amp;"["&amp;BH$8&amp;"]"),Data_main[Data],$A29, Data_main[Segment],$B29, Data_main[Scenario],$B$3)),SUMIFS(INDIRECT("Data_main"&amp;"["&amp;BH$8&amp;"]"),Data_main[Data],$A29, Data_main[Segment],$B29, Data_main[Scenario],$B$3)),SUMIFS(INDIRECT("Data_main"&amp;"["&amp;BH$8&amp;"]"),Data_main[Data],$A29, Data_main[Segment],$B29, Data_main[Scenario],$B$3))</f>
        <v>0</v>
      </c>
      <c r="BI29" s="531">
        <f ca="1">IF($B$6="ON", IF(BI26&gt;=covid_start, IF(BI26&lt;covid_recovery,NA(),SUMIFS(INDIRECT("Data_main"&amp;"["&amp;BI$8&amp;"]"),Data_main[Data],$A29, Data_main[Segment],$B29, Data_main[Scenario],$B$3)),SUMIFS(INDIRECT("Data_main"&amp;"["&amp;BI$8&amp;"]"),Data_main[Data],$A29, Data_main[Segment],$B29, Data_main[Scenario],$B$3)),SUMIFS(INDIRECT("Data_main"&amp;"["&amp;BI$8&amp;"]"),Data_main[Data],$A29, Data_main[Segment],$B29, Data_main[Scenario],$B$3))</f>
        <v>0</v>
      </c>
      <c r="BJ29" s="531">
        <f ca="1">IF($B$6="ON", IF(BJ26&gt;=covid_start, IF(BJ26&lt;covid_recovery,NA(),SUMIFS(INDIRECT("Data_main"&amp;"["&amp;BJ$8&amp;"]"),Data_main[Data],$A29, Data_main[Segment],$B29, Data_main[Scenario],$B$3)),SUMIFS(INDIRECT("Data_main"&amp;"["&amp;BJ$8&amp;"]"),Data_main[Data],$A29, Data_main[Segment],$B29, Data_main[Scenario],$B$3)),SUMIFS(INDIRECT("Data_main"&amp;"["&amp;BJ$8&amp;"]"),Data_main[Data],$A29, Data_main[Segment],$B29, Data_main[Scenario],$B$3))</f>
        <v>0</v>
      </c>
      <c r="BK29" s="531">
        <f ca="1">IF($B$6="ON", IF(BK26&gt;=covid_start, IF(BK26&lt;covid_recovery,NA(),SUMIFS(INDIRECT("Data_main"&amp;"["&amp;BK$8&amp;"]"),Data_main[Data],$A29, Data_main[Segment],$B29, Data_main[Scenario],$B$3)),SUMIFS(INDIRECT("Data_main"&amp;"["&amp;BK$8&amp;"]"),Data_main[Data],$A29, Data_main[Segment],$B29, Data_main[Scenario],$B$3)),SUMIFS(INDIRECT("Data_main"&amp;"["&amp;BK$8&amp;"]"),Data_main[Data],$A29, Data_main[Segment],$B29, Data_main[Scenario],$B$3))</f>
        <v>0</v>
      </c>
      <c r="BL29" s="531">
        <f ca="1">IF($B$6="ON", IF(BL26&gt;=covid_start, IF(BL26&lt;covid_recovery,NA(),SUMIFS(INDIRECT("Data_main"&amp;"["&amp;BL$8&amp;"]"),Data_main[Data],$A29, Data_main[Segment],$B29, Data_main[Scenario],$B$3)),SUMIFS(INDIRECT("Data_main"&amp;"["&amp;BL$8&amp;"]"),Data_main[Data],$A29, Data_main[Segment],$B29, Data_main[Scenario],$B$3)),SUMIFS(INDIRECT("Data_main"&amp;"["&amp;BL$8&amp;"]"),Data_main[Data],$A29, Data_main[Segment],$B29, Data_main[Scenario],$B$3))</f>
        <v>0</v>
      </c>
      <c r="BM29" s="531">
        <f ca="1">IF($B$6="ON", IF(BM26&gt;=covid_start, IF(BM26&lt;covid_recovery,NA(),SUMIFS(INDIRECT("Data_main"&amp;"["&amp;BM$8&amp;"]"),Data_main[Data],$A29, Data_main[Segment],$B29, Data_main[Scenario],$B$3)),SUMIFS(INDIRECT("Data_main"&amp;"["&amp;BM$8&amp;"]"),Data_main[Data],$A29, Data_main[Segment],$B29, Data_main[Scenario],$B$3)),SUMIFS(INDIRECT("Data_main"&amp;"["&amp;BM$8&amp;"]"),Data_main[Data],$A29, Data_main[Segment],$B29, Data_main[Scenario],$B$3))</f>
        <v>0</v>
      </c>
      <c r="BN29" s="531">
        <f ca="1">IF($B$6="ON", IF(BN26&gt;=covid_start, IF(BN26&lt;covid_recovery,NA(),SUMIFS(INDIRECT("Data_main"&amp;"["&amp;BN$8&amp;"]"),Data_main[Data],$A29, Data_main[Segment],$B29, Data_main[Scenario],$B$3)),SUMIFS(INDIRECT("Data_main"&amp;"["&amp;BN$8&amp;"]"),Data_main[Data],$A29, Data_main[Segment],$B29, Data_main[Scenario],$B$3)),SUMIFS(INDIRECT("Data_main"&amp;"["&amp;BN$8&amp;"]"),Data_main[Data],$A29, Data_main[Segment],$B29, Data_main[Scenario],$B$3))</f>
        <v>0</v>
      </c>
      <c r="BO29" s="531">
        <f ca="1">IF($B$6="ON", IF(BO26&gt;=covid_start, IF(BO26&lt;covid_recovery,NA(),SUMIFS(INDIRECT("Data_main"&amp;"["&amp;BO$8&amp;"]"),Data_main[Data],$A29, Data_main[Segment],$B29, Data_main[Scenario],$B$3)),SUMIFS(INDIRECT("Data_main"&amp;"["&amp;BO$8&amp;"]"),Data_main[Data],$A29, Data_main[Segment],$B29, Data_main[Scenario],$B$3)),SUMIFS(INDIRECT("Data_main"&amp;"["&amp;BO$8&amp;"]"),Data_main[Data],$A29, Data_main[Segment],$B29, Data_main[Scenario],$B$3))</f>
        <v>0</v>
      </c>
      <c r="BP29" s="531">
        <f ca="1">IF($B$6="ON", IF(BP26&gt;=covid_start, IF(BP26&lt;covid_recovery,NA(),SUMIFS(INDIRECT("Data_main"&amp;"["&amp;BP$8&amp;"]"),Data_main[Data],$A29, Data_main[Segment],$B29, Data_main[Scenario],$B$3)),SUMIFS(INDIRECT("Data_main"&amp;"["&amp;BP$8&amp;"]"),Data_main[Data],$A29, Data_main[Segment],$B29, Data_main[Scenario],$B$3)),SUMIFS(INDIRECT("Data_main"&amp;"["&amp;BP$8&amp;"]"),Data_main[Data],$A29, Data_main[Segment],$B29, Data_main[Scenario],$B$3))</f>
        <v>0</v>
      </c>
      <c r="BQ29" s="531">
        <f ca="1">IF($B$6="ON", IF(BQ26&gt;=covid_start, IF(BQ26&lt;covid_recovery,NA(),SUMIFS(INDIRECT("Data_main"&amp;"["&amp;BQ$8&amp;"]"),Data_main[Data],$A29, Data_main[Segment],$B29, Data_main[Scenario],$B$3)),SUMIFS(INDIRECT("Data_main"&amp;"["&amp;BQ$8&amp;"]"),Data_main[Data],$A29, Data_main[Segment],$B29, Data_main[Scenario],$B$3)),SUMIFS(INDIRECT("Data_main"&amp;"["&amp;BQ$8&amp;"]"),Data_main[Data],$A29, Data_main[Segment],$B29, Data_main[Scenario],$B$3))</f>
        <v>0</v>
      </c>
      <c r="BR29" s="531">
        <f ca="1">IF($B$6="ON", IF(BR26&gt;=covid_start, IF(BR26&lt;covid_recovery,NA(),SUMIFS(INDIRECT("Data_main"&amp;"["&amp;BR$8&amp;"]"),Data_main[Data],$A29, Data_main[Segment],$B29, Data_main[Scenario],$B$3)),SUMIFS(INDIRECT("Data_main"&amp;"["&amp;BR$8&amp;"]"),Data_main[Data],$A29, Data_main[Segment],$B29, Data_main[Scenario],$B$3)),SUMIFS(INDIRECT("Data_main"&amp;"["&amp;BR$8&amp;"]"),Data_main[Data],$A29, Data_main[Segment],$B29, Data_main[Scenario],$B$3))</f>
        <v>0</v>
      </c>
      <c r="BS29" s="531">
        <f ca="1">IF($B$6="ON", IF(BS26&gt;=covid_start, IF(BS26&lt;covid_recovery,NA(),SUMIFS(INDIRECT("Data_main"&amp;"["&amp;BS$8&amp;"]"),Data_main[Data],$A29, Data_main[Segment],$B29, Data_main[Scenario],$B$3)),SUMIFS(INDIRECT("Data_main"&amp;"["&amp;BS$8&amp;"]"),Data_main[Data],$A29, Data_main[Segment],$B29, Data_main[Scenario],$B$3)),SUMIFS(INDIRECT("Data_main"&amp;"["&amp;BS$8&amp;"]"),Data_main[Data],$A29, Data_main[Segment],$B29, Data_main[Scenario],$B$3))</f>
        <v>0</v>
      </c>
      <c r="BT29" s="531">
        <f ca="1">IF($B$6="ON", IF(BT26&gt;=covid_start, IF(BT26&lt;covid_recovery,NA(),SUMIFS(INDIRECT("Data_main"&amp;"["&amp;BT$8&amp;"]"),Data_main[Data],$A29, Data_main[Segment],$B29, Data_main[Scenario],$B$3)),SUMIFS(INDIRECT("Data_main"&amp;"["&amp;BT$8&amp;"]"),Data_main[Data],$A29, Data_main[Segment],$B29, Data_main[Scenario],$B$3)),SUMIFS(INDIRECT("Data_main"&amp;"["&amp;BT$8&amp;"]"),Data_main[Data],$A29, Data_main[Segment],$B29, Data_main[Scenario],$B$3))</f>
        <v>0</v>
      </c>
      <c r="BU29" s="531">
        <f ca="1">IF($B$6="ON", IF(BU26&gt;=covid_start, IF(BU26&lt;covid_recovery,NA(),SUMIFS(INDIRECT("Data_main"&amp;"["&amp;BU$8&amp;"]"),Data_main[Data],$A29, Data_main[Segment],$B29, Data_main[Scenario],$B$3)),SUMIFS(INDIRECT("Data_main"&amp;"["&amp;BU$8&amp;"]"),Data_main[Data],$A29, Data_main[Segment],$B29, Data_main[Scenario],$B$3)),SUMIFS(INDIRECT("Data_main"&amp;"["&amp;BU$8&amp;"]"),Data_main[Data],$A29, Data_main[Segment],$B29, Data_main[Scenario],$B$3))</f>
        <v>0</v>
      </c>
      <c r="BV29" s="531">
        <f ca="1">IF($B$6="ON", IF(BV26&gt;=covid_start, IF(BV26&lt;covid_recovery,NA(),SUMIFS(INDIRECT("Data_main"&amp;"["&amp;BV$8&amp;"]"),Data_main[Data],$A29, Data_main[Segment],$B29, Data_main[Scenario],$B$3)),SUMIFS(INDIRECT("Data_main"&amp;"["&amp;BV$8&amp;"]"),Data_main[Data],$A29, Data_main[Segment],$B29, Data_main[Scenario],$B$3)),SUMIFS(INDIRECT("Data_main"&amp;"["&amp;BV$8&amp;"]"),Data_main[Data],$A29, Data_main[Segment],$B29, Data_main[Scenario],$B$3))</f>
        <v>0</v>
      </c>
      <c r="BW29" s="531">
        <f ca="1">IF($B$6="ON", IF(BW26&gt;=covid_start, IF(BW26&lt;covid_recovery,NA(),SUMIFS(INDIRECT("Data_main"&amp;"["&amp;BW$8&amp;"]"),Data_main[Data],$A29, Data_main[Segment],$B29, Data_main[Scenario],$B$3)),SUMIFS(INDIRECT("Data_main"&amp;"["&amp;BW$8&amp;"]"),Data_main[Data],$A29, Data_main[Segment],$B29, Data_main[Scenario],$B$3)),SUMIFS(INDIRECT("Data_main"&amp;"["&amp;BW$8&amp;"]"),Data_main[Data],$A29, Data_main[Segment],$B29, Data_main[Scenario],$B$3))</f>
        <v>0</v>
      </c>
      <c r="BX29" s="531">
        <f ca="1">IF($B$6="ON", IF(BX26&gt;=covid_start, IF(BX26&lt;covid_recovery,NA(),SUMIFS(INDIRECT("Data_main"&amp;"["&amp;BX$8&amp;"]"),Data_main[Data],$A29, Data_main[Segment],$B29, Data_main[Scenario],$B$3)),SUMIFS(INDIRECT("Data_main"&amp;"["&amp;BX$8&amp;"]"),Data_main[Data],$A29, Data_main[Segment],$B29, Data_main[Scenario],$B$3)),SUMIFS(INDIRECT("Data_main"&amp;"["&amp;BX$8&amp;"]"),Data_main[Data],$A29, Data_main[Segment],$B29, Data_main[Scenario],$B$3))</f>
        <v>0</v>
      </c>
      <c r="BY29" s="531">
        <f ca="1">IF($B$6="ON", IF(BY26&gt;=covid_start, IF(BY26&lt;covid_recovery,NA(),SUMIFS(INDIRECT("Data_main"&amp;"["&amp;BY$8&amp;"]"),Data_main[Data],$A29, Data_main[Segment],$B29, Data_main[Scenario],$B$3)),SUMIFS(INDIRECT("Data_main"&amp;"["&amp;BY$8&amp;"]"),Data_main[Data],$A29, Data_main[Segment],$B29, Data_main[Scenario],$B$3)),SUMIFS(INDIRECT("Data_main"&amp;"["&amp;BY$8&amp;"]"),Data_main[Data],$A29, Data_main[Segment],$B29, Data_main[Scenario],$B$3))</f>
        <v>0</v>
      </c>
      <c r="BZ29" s="531">
        <f ca="1">IF($B$6="ON", IF(BZ26&gt;=covid_start, IF(BZ26&lt;covid_recovery,NA(),SUMIFS(INDIRECT("Data_main"&amp;"["&amp;BZ$8&amp;"]"),Data_main[Data],$A29, Data_main[Segment],$B29, Data_main[Scenario],$B$3)),SUMIFS(INDIRECT("Data_main"&amp;"["&amp;BZ$8&amp;"]"),Data_main[Data],$A29, Data_main[Segment],$B29, Data_main[Scenario],$B$3)),SUMIFS(INDIRECT("Data_main"&amp;"["&amp;BZ$8&amp;"]"),Data_main[Data],$A29, Data_main[Segment],$B29, Data_main[Scenario],$B$3))</f>
        <v>0</v>
      </c>
      <c r="CA29" s="531">
        <f ca="1">IF($B$6="ON", IF(CA26&gt;=covid_start, IF(CA26&lt;covid_recovery,NA(),SUMIFS(INDIRECT("Data_main"&amp;"["&amp;CA$8&amp;"]"),Data_main[Data],$A29, Data_main[Segment],$B29, Data_main[Scenario],$B$3)),SUMIFS(INDIRECT("Data_main"&amp;"["&amp;CA$8&amp;"]"),Data_main[Data],$A29, Data_main[Segment],$B29, Data_main[Scenario],$B$3)),SUMIFS(INDIRECT("Data_main"&amp;"["&amp;CA$8&amp;"]"),Data_main[Data],$A29, Data_main[Segment],$B29, Data_main[Scenario],$B$3))</f>
        <v>0</v>
      </c>
      <c r="CB29" s="531">
        <f ca="1">IF($B$6="ON", IF(CB26&gt;=covid_start, IF(CB26&lt;covid_recovery,NA(),SUMIFS(INDIRECT("Data_main"&amp;"["&amp;CB$8&amp;"]"),Data_main[Data],$A29, Data_main[Segment],$B29, Data_main[Scenario],$B$3)),SUMIFS(INDIRECT("Data_main"&amp;"["&amp;CB$8&amp;"]"),Data_main[Data],$A29, Data_main[Segment],$B29, Data_main[Scenario],$B$3)),SUMIFS(INDIRECT("Data_main"&amp;"["&amp;CB$8&amp;"]"),Data_main[Data],$A29, Data_main[Segment],$B29, Data_main[Scenario],$B$3))</f>
        <v>0</v>
      </c>
      <c r="CC29" s="531">
        <f ca="1">IF($B$6="ON", IF(CC26&gt;=covid_start, IF(CC26&lt;covid_recovery,NA(),SUMIFS(INDIRECT("Data_main"&amp;"["&amp;CC$8&amp;"]"),Data_main[Data],$A29, Data_main[Segment],$B29, Data_main[Scenario],$B$3)),SUMIFS(INDIRECT("Data_main"&amp;"["&amp;CC$8&amp;"]"),Data_main[Data],$A29, Data_main[Segment],$B29, Data_main[Scenario],$B$3)),SUMIFS(INDIRECT("Data_main"&amp;"["&amp;CC$8&amp;"]"),Data_main[Data],$A29, Data_main[Segment],$B29, Data_main[Scenario],$B$3))</f>
        <v>0</v>
      </c>
      <c r="CD29" s="531">
        <f ca="1">IF($B$6="ON", IF(CD26&gt;=covid_start, IF(CD26&lt;covid_recovery,NA(),SUMIFS(INDIRECT("Data_main"&amp;"["&amp;CD$8&amp;"]"),Data_main[Data],$A29, Data_main[Segment],$B29, Data_main[Scenario],$B$3)),SUMIFS(INDIRECT("Data_main"&amp;"["&amp;CD$8&amp;"]"),Data_main[Data],$A29, Data_main[Segment],$B29, Data_main[Scenario],$B$3)),SUMIFS(INDIRECT("Data_main"&amp;"["&amp;CD$8&amp;"]"),Data_main[Data],$A29, Data_main[Segment],$B29, Data_main[Scenario],$B$3))</f>
        <v>0</v>
      </c>
      <c r="CE29" s="531">
        <f ca="1">IF($B$6="ON", IF(CE26&gt;=covid_start, IF(CE26&lt;covid_recovery,NA(),SUMIFS(INDIRECT("Data_main"&amp;"["&amp;CE$8&amp;"]"),Data_main[Data],$A29, Data_main[Segment],$B29, Data_main[Scenario],$B$3)),SUMIFS(INDIRECT("Data_main"&amp;"["&amp;CE$8&amp;"]"),Data_main[Data],$A29, Data_main[Segment],$B29, Data_main[Scenario],$B$3)),SUMIFS(INDIRECT("Data_main"&amp;"["&amp;CE$8&amp;"]"),Data_main[Data],$A29, Data_main[Segment],$B29, Data_main[Scenario],$B$3))</f>
        <v>0</v>
      </c>
      <c r="CF29" s="531">
        <f ca="1">IF($B$6="ON", IF(CF26&gt;=covid_start, IF(CF26&lt;covid_recovery,NA(),SUMIFS(INDIRECT("Data_main"&amp;"["&amp;CF$8&amp;"]"),Data_main[Data],$A29, Data_main[Segment],$B29, Data_main[Scenario],$B$3)),SUMIFS(INDIRECT("Data_main"&amp;"["&amp;CF$8&amp;"]"),Data_main[Data],$A29, Data_main[Segment],$B29, Data_main[Scenario],$B$3)),SUMIFS(INDIRECT("Data_main"&amp;"["&amp;CF$8&amp;"]"),Data_main[Data],$A29, Data_main[Segment],$B29, Data_main[Scenario],$B$3))</f>
        <v>0</v>
      </c>
      <c r="CG29" s="531">
        <f ca="1">IF($B$6="ON", IF(CG26&gt;=covid_start, IF(CG26&lt;covid_recovery,NA(),SUMIFS(INDIRECT("Data_main"&amp;"["&amp;CG$8&amp;"]"),Data_main[Data],$A29, Data_main[Segment],$B29, Data_main[Scenario],$B$3)),SUMIFS(INDIRECT("Data_main"&amp;"["&amp;CG$8&amp;"]"),Data_main[Data],$A29, Data_main[Segment],$B29, Data_main[Scenario],$B$3)),SUMIFS(INDIRECT("Data_main"&amp;"["&amp;CG$8&amp;"]"),Data_main[Data],$A29, Data_main[Segment],$B29, Data_main[Scenario],$B$3))</f>
        <v>0</v>
      </c>
      <c r="CH29" s="531">
        <f ca="1">IF($B$6="ON", IF(CH26&gt;=covid_start, IF(CH26&lt;covid_recovery,NA(),SUMIFS(INDIRECT("Data_main"&amp;"["&amp;CH$8&amp;"]"),Data_main[Data],$A29, Data_main[Segment],$B29, Data_main[Scenario],$B$3)),SUMIFS(INDIRECT("Data_main"&amp;"["&amp;CH$8&amp;"]"),Data_main[Data],$A29, Data_main[Segment],$B29, Data_main[Scenario],$B$3)),SUMIFS(INDIRECT("Data_main"&amp;"["&amp;CH$8&amp;"]"),Data_main[Data],$A29, Data_main[Segment],$B29, Data_main[Scenario],$B$3))</f>
        <v>0</v>
      </c>
      <c r="CI29" s="531">
        <f ca="1">IF($B$6="ON", IF(CI26&gt;=covid_start, IF(CI26&lt;covid_recovery,NA(),SUMIFS(INDIRECT("Data_main"&amp;"["&amp;CI$8&amp;"]"),Data_main[Data],$A29, Data_main[Segment],$B29, Data_main[Scenario],$B$3)),SUMIFS(INDIRECT("Data_main"&amp;"["&amp;CI$8&amp;"]"),Data_main[Data],$A29, Data_main[Segment],$B29, Data_main[Scenario],$B$3)),SUMIFS(INDIRECT("Data_main"&amp;"["&amp;CI$8&amp;"]"),Data_main[Data],$A29, Data_main[Segment],$B29, Data_main[Scenario],$B$3))</f>
        <v>0</v>
      </c>
      <c r="CJ29" s="531">
        <f ca="1">IF($B$6="ON", IF(CJ26&gt;=covid_start, IF(CJ26&lt;covid_recovery,NA(),SUMIFS(INDIRECT("Data_main"&amp;"["&amp;CJ$8&amp;"]"),Data_main[Data],$A29, Data_main[Segment],$B29, Data_main[Scenario],$B$3)),SUMIFS(INDIRECT("Data_main"&amp;"["&amp;CJ$8&amp;"]"),Data_main[Data],$A29, Data_main[Segment],$B29, Data_main[Scenario],$B$3)),SUMIFS(INDIRECT("Data_main"&amp;"["&amp;CJ$8&amp;"]"),Data_main[Data],$A29, Data_main[Segment],$B29, Data_main[Scenario],$B$3))</f>
        <v>0</v>
      </c>
      <c r="CK29" s="531">
        <f ca="1">IF($B$6="ON", IF(CK26&gt;=covid_start, IF(CK26&lt;covid_recovery,NA(),SUMIFS(INDIRECT("Data_main"&amp;"["&amp;CK$8&amp;"]"),Data_main[Data],$A29, Data_main[Segment],$B29, Data_main[Scenario],$B$3)),SUMIFS(INDIRECT("Data_main"&amp;"["&amp;CK$8&amp;"]"),Data_main[Data],$A29, Data_main[Segment],$B29, Data_main[Scenario],$B$3)),SUMIFS(INDIRECT("Data_main"&amp;"["&amp;CK$8&amp;"]"),Data_main[Data],$A29, Data_main[Segment],$B29, Data_main[Scenario],$B$3))</f>
        <v>0</v>
      </c>
      <c r="CL29" s="531">
        <f ca="1">IF($B$6="ON", IF(CL26&gt;=covid_start, IF(CL26&lt;covid_recovery,NA(),SUMIFS(INDIRECT("Data_main"&amp;"["&amp;CL$8&amp;"]"),Data_main[Data],$A29, Data_main[Segment],$B29, Data_main[Scenario],$B$3)),SUMIFS(INDIRECT("Data_main"&amp;"["&amp;CL$8&amp;"]"),Data_main[Data],$A29, Data_main[Segment],$B29, Data_main[Scenario],$B$3)),SUMIFS(INDIRECT("Data_main"&amp;"["&amp;CL$8&amp;"]"),Data_main[Data],$A29, Data_main[Segment],$B29, Data_main[Scenario],$B$3))</f>
        <v>0</v>
      </c>
      <c r="CN29" s="613">
        <f ca="1">IFERROR((Y29/H29)^(1/17)-1,"")</f>
        <v>-2.9042383120773452E-2</v>
      </c>
      <c r="CO29" s="613">
        <f ca="1">IFERROR((AN29/Y29)^(1/15)-1,"")</f>
        <v>-3.3387995467958453E-2</v>
      </c>
      <c r="CP29" s="613">
        <f ca="1">IFERROR((AN29/H29)^(1/32)-1,"")</f>
        <v>-3.1081816109338578E-2</v>
      </c>
    </row>
    <row r="30" spans="1:94" outlineLevel="1">
      <c r="A30" s="614"/>
      <c r="B30" s="614" t="s">
        <v>26</v>
      </c>
      <c r="C30" s="614" t="s">
        <v>314</v>
      </c>
      <c r="D30" s="614" t="s">
        <v>315</v>
      </c>
      <c r="E30" s="616">
        <f t="shared" ref="E30:BP30" ca="1" si="64">(E29-INDEX($E26:$CL29,4,MATCH($B$5,$E26:$CL26,0)))/(INDEX($E26:$CL29,4,MATCH($B$4,$E26:$CL26,0))-INDEX($E26:$CL29,4,MATCH($B$5,$E26:$CL26,0)))</f>
        <v>1.0859824654711006</v>
      </c>
      <c r="F30" s="617">
        <f t="shared" ca="1" si="64"/>
        <v>1.0288307032051764</v>
      </c>
      <c r="G30" s="617">
        <f t="shared" ca="1" si="64"/>
        <v>0.97816196451142901</v>
      </c>
      <c r="H30" s="617">
        <f t="shared" ca="1" si="64"/>
        <v>0.93293235182103618</v>
      </c>
      <c r="I30" s="617">
        <f t="shared" ca="1" si="64"/>
        <v>1</v>
      </c>
      <c r="J30" s="617" t="e">
        <f t="shared" ca="1" si="64"/>
        <v>#N/A</v>
      </c>
      <c r="K30" s="617" t="e">
        <f t="shared" ca="1" si="64"/>
        <v>#N/A</v>
      </c>
      <c r="L30" s="617" t="e">
        <f t="shared" ca="1" si="64"/>
        <v>#N/A</v>
      </c>
      <c r="M30" s="617">
        <f t="shared" ca="1" si="64"/>
        <v>0.80188079754465968</v>
      </c>
      <c r="N30" s="617">
        <f t="shared" ca="1" si="64"/>
        <v>0.75927431811576118</v>
      </c>
      <c r="O30" s="617">
        <f t="shared" ca="1" si="64"/>
        <v>0.71898528102871839</v>
      </c>
      <c r="P30" s="617">
        <f t="shared" ca="1" si="64"/>
        <v>0.68082961747083948</v>
      </c>
      <c r="Q30" s="617">
        <f t="shared" ca="1" si="64"/>
        <v>0.64464224935167569</v>
      </c>
      <c r="R30" s="617">
        <f t="shared" ca="1" si="64"/>
        <v>0.61027470174987763</v>
      </c>
      <c r="S30" s="617">
        <f t="shared" ca="1" si="64"/>
        <v>0.57759306672690192</v>
      </c>
      <c r="T30" s="617">
        <f t="shared" ca="1" si="64"/>
        <v>0.54647625962436508</v>
      </c>
      <c r="U30" s="617">
        <f t="shared" ca="1" si="64"/>
        <v>0.50361831356907316</v>
      </c>
      <c r="V30" s="617">
        <f t="shared" ca="1" si="64"/>
        <v>0.4632135974332296</v>
      </c>
      <c r="W30" s="617">
        <f t="shared" ca="1" si="64"/>
        <v>0.42505733418495367</v>
      </c>
      <c r="X30" s="617">
        <f t="shared" ca="1" si="64"/>
        <v>0.38896692079824902</v>
      </c>
      <c r="Y30" s="617">
        <f t="shared" ca="1" si="64"/>
        <v>0.35477900600779821</v>
      </c>
      <c r="Z30" s="617">
        <f t="shared" ca="1" si="64"/>
        <v>0.32234701833247398</v>
      </c>
      <c r="AA30" s="617">
        <f t="shared" ca="1" si="64"/>
        <v>0.29153906545220987</v>
      </c>
      <c r="AB30" s="617">
        <f t="shared" ca="1" si="64"/>
        <v>0.26223614144354362</v>
      </c>
      <c r="AC30" s="617">
        <f t="shared" ca="1" si="64"/>
        <v>0.23433059049065558</v>
      </c>
      <c r="AD30" s="617">
        <f t="shared" ca="1" si="64"/>
        <v>0.20772478526177474</v>
      </c>
      <c r="AE30" s="617">
        <f t="shared" ca="1" si="64"/>
        <v>0.18109542113357238</v>
      </c>
      <c r="AF30" s="617">
        <f t="shared" ca="1" si="64"/>
        <v>0.1560838755073061</v>
      </c>
      <c r="AG30" s="617">
        <f t="shared" ca="1" si="64"/>
        <v>0.13254706339349603</v>
      </c>
      <c r="AH30" s="617">
        <f t="shared" ca="1" si="64"/>
        <v>0.11035828979428322</v>
      </c>
      <c r="AI30" s="617">
        <f t="shared" ca="1" si="64"/>
        <v>8.9404968251422828E-2</v>
      </c>
      <c r="AJ30" s="617">
        <f t="shared" ca="1" si="64"/>
        <v>6.9586710160229701E-2</v>
      </c>
      <c r="AK30" s="617">
        <f t="shared" ca="1" si="64"/>
        <v>5.0813716406569343E-2</v>
      </c>
      <c r="AL30" s="617">
        <f t="shared" ca="1" si="64"/>
        <v>3.3005416952355315E-2</v>
      </c>
      <c r="AM30" s="617">
        <f t="shared" ca="1" si="64"/>
        <v>1.608931489171064E-2</v>
      </c>
      <c r="AN30" s="617">
        <f t="shared" ca="1" si="64"/>
        <v>0</v>
      </c>
      <c r="AO30" s="617">
        <f t="shared" ca="1" si="64"/>
        <v>-0.53410874232834238</v>
      </c>
      <c r="AP30" s="617">
        <f t="shared" ca="1" si="64"/>
        <v>-0.53410874232834238</v>
      </c>
      <c r="AQ30" s="617">
        <f t="shared" ca="1" si="64"/>
        <v>-0.53410874232834238</v>
      </c>
      <c r="AR30" s="617">
        <f t="shared" ca="1" si="64"/>
        <v>-0.53410874232834238</v>
      </c>
      <c r="AS30" s="617">
        <f t="shared" ca="1" si="64"/>
        <v>-0.53410874232834238</v>
      </c>
      <c r="AT30" s="617">
        <f t="shared" ca="1" si="64"/>
        <v>-0.53410874232834238</v>
      </c>
      <c r="AU30" s="617">
        <f t="shared" ca="1" si="64"/>
        <v>-0.53410874232834238</v>
      </c>
      <c r="AV30" s="617">
        <f t="shared" ca="1" si="64"/>
        <v>-0.53410874232834238</v>
      </c>
      <c r="AW30" s="617">
        <f t="shared" ca="1" si="64"/>
        <v>-0.53410874232834238</v>
      </c>
      <c r="AX30" s="617">
        <f t="shared" ca="1" si="64"/>
        <v>-0.53410874232834238</v>
      </c>
      <c r="AY30" s="617">
        <f t="shared" ca="1" si="64"/>
        <v>-0.53410874232834238</v>
      </c>
      <c r="AZ30" s="617">
        <f t="shared" ca="1" si="64"/>
        <v>-0.53410874232834238</v>
      </c>
      <c r="BA30" s="617">
        <f t="shared" ca="1" si="64"/>
        <v>-0.53410874232834238</v>
      </c>
      <c r="BB30" s="617">
        <f t="shared" ca="1" si="64"/>
        <v>-0.53410874232834238</v>
      </c>
      <c r="BC30" s="617">
        <f t="shared" ca="1" si="64"/>
        <v>-0.53410874232834238</v>
      </c>
      <c r="BD30" s="617">
        <f t="shared" ca="1" si="64"/>
        <v>-0.53410874232834238</v>
      </c>
      <c r="BE30" s="617">
        <f t="shared" ca="1" si="64"/>
        <v>-0.53410874232834238</v>
      </c>
      <c r="BF30" s="617">
        <f t="shared" ca="1" si="64"/>
        <v>-0.53410874232834238</v>
      </c>
      <c r="BG30" s="617">
        <f t="shared" ca="1" si="64"/>
        <v>-0.53410874232834238</v>
      </c>
      <c r="BH30" s="617">
        <f t="shared" ca="1" si="64"/>
        <v>-0.53410874232834238</v>
      </c>
      <c r="BI30" s="617">
        <f t="shared" ca="1" si="64"/>
        <v>-0.53410874232834238</v>
      </c>
      <c r="BJ30" s="617">
        <f t="shared" ca="1" si="64"/>
        <v>-0.53410874232834238</v>
      </c>
      <c r="BK30" s="617">
        <f t="shared" ca="1" si="64"/>
        <v>-0.53410874232834238</v>
      </c>
      <c r="BL30" s="617">
        <f t="shared" ca="1" si="64"/>
        <v>-0.53410874232834238</v>
      </c>
      <c r="BM30" s="617">
        <f t="shared" ca="1" si="64"/>
        <v>-0.53410874232834238</v>
      </c>
      <c r="BN30" s="617">
        <f t="shared" ca="1" si="64"/>
        <v>-0.53410874232834238</v>
      </c>
      <c r="BO30" s="617">
        <f t="shared" ca="1" si="64"/>
        <v>-0.53410874232834238</v>
      </c>
      <c r="BP30" s="617">
        <f t="shared" ca="1" si="64"/>
        <v>-0.53410874232834238</v>
      </c>
      <c r="BQ30" s="617">
        <f t="shared" ref="BQ30:CL30" ca="1" si="65">(BQ29-INDEX($E26:$CL29,4,MATCH($B$5,$E26:$CL26,0)))/(INDEX($E26:$CL29,4,MATCH($B$4,$E26:$CL26,0))-INDEX($E26:$CL29,4,MATCH($B$5,$E26:$CL26,0)))</f>
        <v>-0.53410874232834238</v>
      </c>
      <c r="BR30" s="617">
        <f t="shared" ca="1" si="65"/>
        <v>-0.53410874232834238</v>
      </c>
      <c r="BS30" s="617">
        <f t="shared" ca="1" si="65"/>
        <v>-0.53410874232834238</v>
      </c>
      <c r="BT30" s="617">
        <f t="shared" ca="1" si="65"/>
        <v>-0.53410874232834238</v>
      </c>
      <c r="BU30" s="617">
        <f t="shared" ca="1" si="65"/>
        <v>-0.53410874232834238</v>
      </c>
      <c r="BV30" s="617">
        <f t="shared" ca="1" si="65"/>
        <v>-0.53410874232834238</v>
      </c>
      <c r="BW30" s="617">
        <f t="shared" ca="1" si="65"/>
        <v>-0.53410874232834238</v>
      </c>
      <c r="BX30" s="617">
        <f t="shared" ca="1" si="65"/>
        <v>-0.53410874232834238</v>
      </c>
      <c r="BY30" s="617">
        <f t="shared" ca="1" si="65"/>
        <v>-0.53410874232834238</v>
      </c>
      <c r="BZ30" s="617">
        <f t="shared" ca="1" si="65"/>
        <v>-0.53410874232834238</v>
      </c>
      <c r="CA30" s="617">
        <f t="shared" ca="1" si="65"/>
        <v>-0.53410874232834238</v>
      </c>
      <c r="CB30" s="617">
        <f t="shared" ca="1" si="65"/>
        <v>-0.53410874232834238</v>
      </c>
      <c r="CC30" s="617">
        <f t="shared" ca="1" si="65"/>
        <v>-0.53410874232834238</v>
      </c>
      <c r="CD30" s="617">
        <f t="shared" ca="1" si="65"/>
        <v>-0.53410874232834238</v>
      </c>
      <c r="CE30" s="617">
        <f t="shared" ca="1" si="65"/>
        <v>-0.53410874232834238</v>
      </c>
      <c r="CF30" s="617">
        <f t="shared" ca="1" si="65"/>
        <v>-0.53410874232834238</v>
      </c>
      <c r="CG30" s="617">
        <f t="shared" ca="1" si="65"/>
        <v>-0.53410874232834238</v>
      </c>
      <c r="CH30" s="617">
        <f t="shared" ca="1" si="65"/>
        <v>-0.53410874232834238</v>
      </c>
      <c r="CI30" s="617">
        <f t="shared" ca="1" si="65"/>
        <v>-0.53410874232834238</v>
      </c>
      <c r="CJ30" s="617">
        <f t="shared" ca="1" si="65"/>
        <v>-0.53410874232834238</v>
      </c>
      <c r="CK30" s="617">
        <f t="shared" ca="1" si="65"/>
        <v>-0.53410874232834238</v>
      </c>
      <c r="CL30" s="617">
        <f t="shared" ca="1" si="65"/>
        <v>-0.53410874232834238</v>
      </c>
      <c r="CN30" s="618"/>
      <c r="CO30" s="618"/>
      <c r="CP30" s="618"/>
    </row>
    <row r="31" spans="1:94" outlineLevel="1">
      <c r="A31" s="534"/>
      <c r="B31" s="534" t="s">
        <v>28</v>
      </c>
      <c r="C31" s="534" t="s">
        <v>316</v>
      </c>
      <c r="D31" s="534" t="s">
        <v>317</v>
      </c>
      <c r="E31" s="536">
        <f t="shared" ref="E31:BP31" ca="1" si="66">INDEX($E26:$CL29,4,MATCH($B$5,$E26:$CL26,0))</f>
        <v>203.65577743375763</v>
      </c>
      <c r="F31" s="537">
        <f t="shared" ca="1" si="66"/>
        <v>203.65577743375763</v>
      </c>
      <c r="G31" s="537">
        <f t="shared" ca="1" si="66"/>
        <v>203.65577743375763</v>
      </c>
      <c r="H31" s="537">
        <f t="shared" ca="1" si="66"/>
        <v>203.65577743375763</v>
      </c>
      <c r="I31" s="537">
        <f t="shared" ca="1" si="66"/>
        <v>203.65577743375763</v>
      </c>
      <c r="J31" s="537">
        <f t="shared" ca="1" si="66"/>
        <v>203.65577743375763</v>
      </c>
      <c r="K31" s="537">
        <f t="shared" ca="1" si="66"/>
        <v>203.65577743375763</v>
      </c>
      <c r="L31" s="537">
        <f t="shared" ca="1" si="66"/>
        <v>203.65577743375763</v>
      </c>
      <c r="M31" s="537">
        <f t="shared" ca="1" si="66"/>
        <v>203.65577743375763</v>
      </c>
      <c r="N31" s="537">
        <f t="shared" ca="1" si="66"/>
        <v>203.65577743375763</v>
      </c>
      <c r="O31" s="537">
        <f t="shared" ca="1" si="66"/>
        <v>203.65577743375763</v>
      </c>
      <c r="P31" s="537">
        <f t="shared" ca="1" si="66"/>
        <v>203.65577743375763</v>
      </c>
      <c r="Q31" s="537">
        <f t="shared" ca="1" si="66"/>
        <v>203.65577743375763</v>
      </c>
      <c r="R31" s="537">
        <f t="shared" ca="1" si="66"/>
        <v>203.65577743375763</v>
      </c>
      <c r="S31" s="537">
        <f t="shared" ca="1" si="66"/>
        <v>203.65577743375763</v>
      </c>
      <c r="T31" s="537">
        <f t="shared" ca="1" si="66"/>
        <v>203.65577743375763</v>
      </c>
      <c r="U31" s="537">
        <f t="shared" ca="1" si="66"/>
        <v>203.65577743375763</v>
      </c>
      <c r="V31" s="537">
        <f t="shared" ca="1" si="66"/>
        <v>203.65577743375763</v>
      </c>
      <c r="W31" s="537">
        <f t="shared" ca="1" si="66"/>
        <v>203.65577743375763</v>
      </c>
      <c r="X31" s="537">
        <f t="shared" ca="1" si="66"/>
        <v>203.65577743375763</v>
      </c>
      <c r="Y31" s="537">
        <f t="shared" ca="1" si="66"/>
        <v>203.65577743375763</v>
      </c>
      <c r="Z31" s="537">
        <f t="shared" ca="1" si="66"/>
        <v>203.65577743375763</v>
      </c>
      <c r="AA31" s="537">
        <f t="shared" ca="1" si="66"/>
        <v>203.65577743375763</v>
      </c>
      <c r="AB31" s="537">
        <f t="shared" ca="1" si="66"/>
        <v>203.65577743375763</v>
      </c>
      <c r="AC31" s="537">
        <f t="shared" ca="1" si="66"/>
        <v>203.65577743375763</v>
      </c>
      <c r="AD31" s="537">
        <f t="shared" ca="1" si="66"/>
        <v>203.65577743375763</v>
      </c>
      <c r="AE31" s="537">
        <f t="shared" ca="1" si="66"/>
        <v>203.65577743375763</v>
      </c>
      <c r="AF31" s="537">
        <f t="shared" ca="1" si="66"/>
        <v>203.65577743375763</v>
      </c>
      <c r="AG31" s="537">
        <f t="shared" ca="1" si="66"/>
        <v>203.65577743375763</v>
      </c>
      <c r="AH31" s="537">
        <f t="shared" ca="1" si="66"/>
        <v>203.65577743375763</v>
      </c>
      <c r="AI31" s="537">
        <f t="shared" ca="1" si="66"/>
        <v>203.65577743375763</v>
      </c>
      <c r="AJ31" s="537">
        <f t="shared" ca="1" si="66"/>
        <v>203.65577743375763</v>
      </c>
      <c r="AK31" s="537">
        <f t="shared" ca="1" si="66"/>
        <v>203.65577743375763</v>
      </c>
      <c r="AL31" s="537">
        <f t="shared" ca="1" si="66"/>
        <v>203.65577743375763</v>
      </c>
      <c r="AM31" s="537">
        <f t="shared" ca="1" si="66"/>
        <v>203.65577743375763</v>
      </c>
      <c r="AN31" s="537">
        <f t="shared" ca="1" si="66"/>
        <v>203.65577743375763</v>
      </c>
      <c r="AO31" s="537">
        <f t="shared" ca="1" si="66"/>
        <v>203.65577743375763</v>
      </c>
      <c r="AP31" s="537">
        <f t="shared" ca="1" si="66"/>
        <v>203.65577743375763</v>
      </c>
      <c r="AQ31" s="537">
        <f t="shared" ca="1" si="66"/>
        <v>203.65577743375763</v>
      </c>
      <c r="AR31" s="537">
        <f t="shared" ca="1" si="66"/>
        <v>203.65577743375763</v>
      </c>
      <c r="AS31" s="537">
        <f t="shared" ca="1" si="66"/>
        <v>203.65577743375763</v>
      </c>
      <c r="AT31" s="537">
        <f t="shared" ca="1" si="66"/>
        <v>203.65577743375763</v>
      </c>
      <c r="AU31" s="537">
        <f t="shared" ca="1" si="66"/>
        <v>203.65577743375763</v>
      </c>
      <c r="AV31" s="537">
        <f t="shared" ca="1" si="66"/>
        <v>203.65577743375763</v>
      </c>
      <c r="AW31" s="537">
        <f t="shared" ca="1" si="66"/>
        <v>203.65577743375763</v>
      </c>
      <c r="AX31" s="537">
        <f t="shared" ca="1" si="66"/>
        <v>203.65577743375763</v>
      </c>
      <c r="AY31" s="537">
        <f t="shared" ca="1" si="66"/>
        <v>203.65577743375763</v>
      </c>
      <c r="AZ31" s="537">
        <f t="shared" ca="1" si="66"/>
        <v>203.65577743375763</v>
      </c>
      <c r="BA31" s="537">
        <f t="shared" ca="1" si="66"/>
        <v>203.65577743375763</v>
      </c>
      <c r="BB31" s="537">
        <f t="shared" ca="1" si="66"/>
        <v>203.65577743375763</v>
      </c>
      <c r="BC31" s="537">
        <f t="shared" ca="1" si="66"/>
        <v>203.65577743375763</v>
      </c>
      <c r="BD31" s="537">
        <f t="shared" ca="1" si="66"/>
        <v>203.65577743375763</v>
      </c>
      <c r="BE31" s="537">
        <f t="shared" ca="1" si="66"/>
        <v>203.65577743375763</v>
      </c>
      <c r="BF31" s="537">
        <f t="shared" ca="1" si="66"/>
        <v>203.65577743375763</v>
      </c>
      <c r="BG31" s="537">
        <f t="shared" ca="1" si="66"/>
        <v>203.65577743375763</v>
      </c>
      <c r="BH31" s="537">
        <f t="shared" ca="1" si="66"/>
        <v>203.65577743375763</v>
      </c>
      <c r="BI31" s="537">
        <f t="shared" ca="1" si="66"/>
        <v>203.65577743375763</v>
      </c>
      <c r="BJ31" s="537">
        <f t="shared" ca="1" si="66"/>
        <v>203.65577743375763</v>
      </c>
      <c r="BK31" s="537">
        <f t="shared" ca="1" si="66"/>
        <v>203.65577743375763</v>
      </c>
      <c r="BL31" s="537">
        <f t="shared" ca="1" si="66"/>
        <v>203.65577743375763</v>
      </c>
      <c r="BM31" s="537">
        <f t="shared" ca="1" si="66"/>
        <v>203.65577743375763</v>
      </c>
      <c r="BN31" s="537">
        <f t="shared" ca="1" si="66"/>
        <v>203.65577743375763</v>
      </c>
      <c r="BO31" s="537">
        <f t="shared" ca="1" si="66"/>
        <v>203.65577743375763</v>
      </c>
      <c r="BP31" s="537">
        <f t="shared" ca="1" si="66"/>
        <v>203.65577743375763</v>
      </c>
      <c r="BQ31" s="537">
        <f t="shared" ref="BQ31:CL31" ca="1" si="67">INDEX($E26:$CL29,4,MATCH($B$5,$E26:$CL26,0))</f>
        <v>203.65577743375763</v>
      </c>
      <c r="BR31" s="537">
        <f t="shared" ca="1" si="67"/>
        <v>203.65577743375763</v>
      </c>
      <c r="BS31" s="537">
        <f t="shared" ca="1" si="67"/>
        <v>203.65577743375763</v>
      </c>
      <c r="BT31" s="537">
        <f t="shared" ca="1" si="67"/>
        <v>203.65577743375763</v>
      </c>
      <c r="BU31" s="537">
        <f t="shared" ca="1" si="67"/>
        <v>203.65577743375763</v>
      </c>
      <c r="BV31" s="537">
        <f t="shared" ca="1" si="67"/>
        <v>203.65577743375763</v>
      </c>
      <c r="BW31" s="537">
        <f t="shared" ca="1" si="67"/>
        <v>203.65577743375763</v>
      </c>
      <c r="BX31" s="537">
        <f t="shared" ca="1" si="67"/>
        <v>203.65577743375763</v>
      </c>
      <c r="BY31" s="537">
        <f t="shared" ca="1" si="67"/>
        <v>203.65577743375763</v>
      </c>
      <c r="BZ31" s="537">
        <f t="shared" ca="1" si="67"/>
        <v>203.65577743375763</v>
      </c>
      <c r="CA31" s="537">
        <f t="shared" ca="1" si="67"/>
        <v>203.65577743375763</v>
      </c>
      <c r="CB31" s="537">
        <f t="shared" ca="1" si="67"/>
        <v>203.65577743375763</v>
      </c>
      <c r="CC31" s="537">
        <f t="shared" ca="1" si="67"/>
        <v>203.65577743375763</v>
      </c>
      <c r="CD31" s="537">
        <f t="shared" ca="1" si="67"/>
        <v>203.65577743375763</v>
      </c>
      <c r="CE31" s="537">
        <f t="shared" ca="1" si="67"/>
        <v>203.65577743375763</v>
      </c>
      <c r="CF31" s="537">
        <f t="shared" ca="1" si="67"/>
        <v>203.65577743375763</v>
      </c>
      <c r="CG31" s="537">
        <f t="shared" ca="1" si="67"/>
        <v>203.65577743375763</v>
      </c>
      <c r="CH31" s="537">
        <f t="shared" ca="1" si="67"/>
        <v>203.65577743375763</v>
      </c>
      <c r="CI31" s="537">
        <f t="shared" ca="1" si="67"/>
        <v>203.65577743375763</v>
      </c>
      <c r="CJ31" s="537">
        <f t="shared" ca="1" si="67"/>
        <v>203.65577743375763</v>
      </c>
      <c r="CK31" s="537">
        <f t="shared" ca="1" si="67"/>
        <v>203.65577743375763</v>
      </c>
      <c r="CL31" s="537">
        <f t="shared" ca="1" si="67"/>
        <v>203.65577743375763</v>
      </c>
      <c r="CN31" s="618"/>
      <c r="CO31" s="618"/>
      <c r="CP31" s="618"/>
    </row>
    <row r="32" spans="1:94" outlineLevel="1">
      <c r="A32" s="538" t="s">
        <v>255</v>
      </c>
      <c r="B32" s="538" t="s">
        <v>260</v>
      </c>
      <c r="C32" s="538" t="s">
        <v>318</v>
      </c>
      <c r="D32" s="538"/>
      <c r="E32" s="539" t="str">
        <f t="shared" ref="E32:BP32" si="68">IF(E26=base,dle,"")</f>
        <v/>
      </c>
      <c r="F32" s="540" t="str">
        <f t="shared" si="68"/>
        <v/>
      </c>
      <c r="G32" s="540" t="str">
        <f t="shared" si="68"/>
        <v/>
      </c>
      <c r="H32" s="540" t="str">
        <f t="shared" si="68"/>
        <v/>
      </c>
      <c r="I32" s="540">
        <f t="shared" si="68"/>
        <v>0</v>
      </c>
      <c r="J32" s="540" t="str">
        <f t="shared" si="68"/>
        <v/>
      </c>
      <c r="K32" s="540" t="str">
        <f t="shared" si="68"/>
        <v/>
      </c>
      <c r="L32" s="540" t="str">
        <f t="shared" si="68"/>
        <v/>
      </c>
      <c r="M32" s="540" t="str">
        <f t="shared" si="68"/>
        <v/>
      </c>
      <c r="N32" s="540" t="str">
        <f t="shared" si="68"/>
        <v/>
      </c>
      <c r="O32" s="540" t="str">
        <f t="shared" si="68"/>
        <v/>
      </c>
      <c r="P32" s="540" t="str">
        <f t="shared" si="68"/>
        <v/>
      </c>
      <c r="Q32" s="540" t="str">
        <f t="shared" si="68"/>
        <v/>
      </c>
      <c r="R32" s="540" t="str">
        <f t="shared" si="68"/>
        <v/>
      </c>
      <c r="S32" s="540" t="str">
        <f t="shared" si="68"/>
        <v/>
      </c>
      <c r="T32" s="540" t="str">
        <f t="shared" si="68"/>
        <v/>
      </c>
      <c r="U32" s="540" t="str">
        <f t="shared" si="68"/>
        <v/>
      </c>
      <c r="V32" s="540" t="str">
        <f t="shared" si="68"/>
        <v/>
      </c>
      <c r="W32" s="540" t="str">
        <f t="shared" si="68"/>
        <v/>
      </c>
      <c r="X32" s="540" t="str">
        <f t="shared" si="68"/>
        <v/>
      </c>
      <c r="Y32" s="540" t="str">
        <f t="shared" si="68"/>
        <v/>
      </c>
      <c r="Z32" s="540" t="str">
        <f t="shared" si="68"/>
        <v/>
      </c>
      <c r="AA32" s="540" t="str">
        <f t="shared" si="68"/>
        <v/>
      </c>
      <c r="AB32" s="540" t="str">
        <f t="shared" si="68"/>
        <v/>
      </c>
      <c r="AC32" s="540" t="str">
        <f t="shared" si="68"/>
        <v/>
      </c>
      <c r="AD32" s="540" t="str">
        <f t="shared" si="68"/>
        <v/>
      </c>
      <c r="AE32" s="540" t="str">
        <f t="shared" si="68"/>
        <v/>
      </c>
      <c r="AF32" s="540" t="str">
        <f t="shared" si="68"/>
        <v/>
      </c>
      <c r="AG32" s="540" t="str">
        <f t="shared" si="68"/>
        <v/>
      </c>
      <c r="AH32" s="540" t="str">
        <f t="shared" si="68"/>
        <v/>
      </c>
      <c r="AI32" s="540" t="str">
        <f t="shared" si="68"/>
        <v/>
      </c>
      <c r="AJ32" s="540" t="str">
        <f t="shared" si="68"/>
        <v/>
      </c>
      <c r="AK32" s="540" t="str">
        <f t="shared" si="68"/>
        <v/>
      </c>
      <c r="AL32" s="540" t="str">
        <f t="shared" si="68"/>
        <v/>
      </c>
      <c r="AM32" s="540" t="str">
        <f t="shared" si="68"/>
        <v/>
      </c>
      <c r="AN32" s="540" t="str">
        <f t="shared" si="68"/>
        <v/>
      </c>
      <c r="AO32" s="540" t="str">
        <f t="shared" si="68"/>
        <v/>
      </c>
      <c r="AP32" s="540" t="str">
        <f t="shared" si="68"/>
        <v/>
      </c>
      <c r="AQ32" s="540" t="str">
        <f t="shared" si="68"/>
        <v/>
      </c>
      <c r="AR32" s="540" t="str">
        <f t="shared" si="68"/>
        <v/>
      </c>
      <c r="AS32" s="540" t="str">
        <f t="shared" si="68"/>
        <v/>
      </c>
      <c r="AT32" s="540" t="str">
        <f t="shared" si="68"/>
        <v/>
      </c>
      <c r="AU32" s="540" t="str">
        <f t="shared" si="68"/>
        <v/>
      </c>
      <c r="AV32" s="540" t="str">
        <f t="shared" si="68"/>
        <v/>
      </c>
      <c r="AW32" s="540" t="str">
        <f t="shared" si="68"/>
        <v/>
      </c>
      <c r="AX32" s="540" t="str">
        <f t="shared" si="68"/>
        <v/>
      </c>
      <c r="AY32" s="540" t="str">
        <f t="shared" si="68"/>
        <v/>
      </c>
      <c r="AZ32" s="540" t="str">
        <f t="shared" si="68"/>
        <v/>
      </c>
      <c r="BA32" s="540" t="str">
        <f t="shared" si="68"/>
        <v/>
      </c>
      <c r="BB32" s="540" t="str">
        <f t="shared" si="68"/>
        <v/>
      </c>
      <c r="BC32" s="540" t="str">
        <f t="shared" si="68"/>
        <v/>
      </c>
      <c r="BD32" s="540" t="str">
        <f t="shared" si="68"/>
        <v/>
      </c>
      <c r="BE32" s="540" t="str">
        <f t="shared" si="68"/>
        <v/>
      </c>
      <c r="BF32" s="540" t="str">
        <f t="shared" si="68"/>
        <v/>
      </c>
      <c r="BG32" s="540" t="str">
        <f t="shared" si="68"/>
        <v/>
      </c>
      <c r="BH32" s="540" t="str">
        <f t="shared" si="68"/>
        <v/>
      </c>
      <c r="BI32" s="540" t="str">
        <f t="shared" si="68"/>
        <v/>
      </c>
      <c r="BJ32" s="540" t="str">
        <f t="shared" si="68"/>
        <v/>
      </c>
      <c r="BK32" s="540" t="str">
        <f t="shared" si="68"/>
        <v/>
      </c>
      <c r="BL32" s="540" t="str">
        <f t="shared" si="68"/>
        <v/>
      </c>
      <c r="BM32" s="540" t="str">
        <f t="shared" si="68"/>
        <v/>
      </c>
      <c r="BN32" s="540" t="str">
        <f t="shared" si="68"/>
        <v/>
      </c>
      <c r="BO32" s="540" t="str">
        <f t="shared" si="68"/>
        <v/>
      </c>
      <c r="BP32" s="540" t="str">
        <f t="shared" si="68"/>
        <v/>
      </c>
      <c r="BQ32" s="540" t="str">
        <f t="shared" ref="BQ32:CL32" si="69">IF(BQ26=base,dle,"")</f>
        <v/>
      </c>
      <c r="BR32" s="540" t="str">
        <f t="shared" si="69"/>
        <v/>
      </c>
      <c r="BS32" s="540" t="str">
        <f t="shared" si="69"/>
        <v/>
      </c>
      <c r="BT32" s="540" t="str">
        <f t="shared" si="69"/>
        <v/>
      </c>
      <c r="BU32" s="540" t="str">
        <f t="shared" si="69"/>
        <v/>
      </c>
      <c r="BV32" s="540" t="str">
        <f t="shared" si="69"/>
        <v/>
      </c>
      <c r="BW32" s="540" t="str">
        <f t="shared" si="69"/>
        <v/>
      </c>
      <c r="BX32" s="540" t="str">
        <f t="shared" si="69"/>
        <v/>
      </c>
      <c r="BY32" s="540" t="str">
        <f t="shared" si="69"/>
        <v/>
      </c>
      <c r="BZ32" s="540" t="str">
        <f t="shared" si="69"/>
        <v/>
      </c>
      <c r="CA32" s="540" t="str">
        <f t="shared" si="69"/>
        <v/>
      </c>
      <c r="CB32" s="540" t="str">
        <f t="shared" si="69"/>
        <v/>
      </c>
      <c r="CC32" s="540" t="str">
        <f t="shared" si="69"/>
        <v/>
      </c>
      <c r="CD32" s="540" t="str">
        <f t="shared" si="69"/>
        <v/>
      </c>
      <c r="CE32" s="540" t="str">
        <f t="shared" si="69"/>
        <v/>
      </c>
      <c r="CF32" s="540" t="str">
        <f t="shared" si="69"/>
        <v/>
      </c>
      <c r="CG32" s="540" t="str">
        <f t="shared" si="69"/>
        <v/>
      </c>
      <c r="CH32" s="540" t="str">
        <f t="shared" si="69"/>
        <v/>
      </c>
      <c r="CI32" s="540" t="str">
        <f t="shared" si="69"/>
        <v/>
      </c>
      <c r="CJ32" s="540" t="str">
        <f t="shared" si="69"/>
        <v/>
      </c>
      <c r="CK32" s="540" t="str">
        <f t="shared" si="69"/>
        <v/>
      </c>
      <c r="CL32" s="540" t="str">
        <f t="shared" si="69"/>
        <v/>
      </c>
      <c r="CN32" s="619" t="str">
        <f t="shared" ref="CN32:CN41" si="70">IFERROR((Y32/H32)^(1/17)-1,"")</f>
        <v/>
      </c>
      <c r="CO32" s="619" t="str">
        <f t="shared" ref="CO32:CO41" si="71">IFERROR((AN32/Y32)^(1/15)-1,"")</f>
        <v/>
      </c>
      <c r="CP32" s="619" t="str">
        <f t="shared" ref="CP32:CP41" si="72">IFERROR((AN32/H32)^(1/32)-1,"")</f>
        <v/>
      </c>
    </row>
    <row r="33" spans="1:94" outlineLevel="1">
      <c r="A33" s="535" t="s">
        <v>255</v>
      </c>
      <c r="B33" s="535" t="s">
        <v>259</v>
      </c>
      <c r="C33" s="535" t="s">
        <v>319</v>
      </c>
      <c r="D33" s="535"/>
      <c r="E33" s="546" t="e">
        <f t="shared" ref="E33:AJ33" si="73">IF(E8&lt;sector_base,NA(),IFERROR(IF(activity_approach="Input Activity Data Manually",IF(E8=base,dla,IF(E8=target,dlf,D33+((dlf-dla)/(target-base)))),dla*(1+f_CAGR)^(E8-base)),""))</f>
        <v>#N/A</v>
      </c>
      <c r="F33" s="541" t="e">
        <f t="shared" si="73"/>
        <v>#N/A</v>
      </c>
      <c r="G33" s="541" t="e">
        <f t="shared" si="73"/>
        <v>#N/A</v>
      </c>
      <c r="H33" s="541" t="e">
        <f t="shared" si="73"/>
        <v>#N/A</v>
      </c>
      <c r="I33" s="541">
        <f t="shared" si="73"/>
        <v>0</v>
      </c>
      <c r="J33" s="541">
        <f t="shared" si="73"/>
        <v>0</v>
      </c>
      <c r="K33" s="541">
        <f t="shared" si="73"/>
        <v>0</v>
      </c>
      <c r="L33" s="541">
        <f t="shared" si="73"/>
        <v>0</v>
      </c>
      <c r="M33" s="541">
        <f t="shared" si="73"/>
        <v>0</v>
      </c>
      <c r="N33" s="541">
        <f t="shared" si="73"/>
        <v>0</v>
      </c>
      <c r="O33" s="541">
        <f t="shared" si="73"/>
        <v>0</v>
      </c>
      <c r="P33" s="541">
        <f t="shared" si="73"/>
        <v>0</v>
      </c>
      <c r="Q33" s="541">
        <f t="shared" si="73"/>
        <v>0</v>
      </c>
      <c r="R33" s="541">
        <f t="shared" si="73"/>
        <v>0</v>
      </c>
      <c r="S33" s="541">
        <f t="shared" si="73"/>
        <v>0</v>
      </c>
      <c r="T33" s="541">
        <f t="shared" si="73"/>
        <v>0</v>
      </c>
      <c r="U33" s="541">
        <f t="shared" si="73"/>
        <v>0</v>
      </c>
      <c r="V33" s="541">
        <f t="shared" si="73"/>
        <v>0</v>
      </c>
      <c r="W33" s="541">
        <f t="shared" si="73"/>
        <v>0</v>
      </c>
      <c r="X33" s="541">
        <f t="shared" si="73"/>
        <v>0</v>
      </c>
      <c r="Y33" s="541">
        <f t="shared" si="73"/>
        <v>0</v>
      </c>
      <c r="Z33" s="541">
        <f t="shared" si="73"/>
        <v>0</v>
      </c>
      <c r="AA33" s="541">
        <f t="shared" si="73"/>
        <v>0</v>
      </c>
      <c r="AB33" s="541">
        <f t="shared" si="73"/>
        <v>0</v>
      </c>
      <c r="AC33" s="541">
        <f t="shared" si="73"/>
        <v>0</v>
      </c>
      <c r="AD33" s="541">
        <f t="shared" si="73"/>
        <v>0</v>
      </c>
      <c r="AE33" s="541">
        <f t="shared" si="73"/>
        <v>0</v>
      </c>
      <c r="AF33" s="541">
        <f t="shared" si="73"/>
        <v>0</v>
      </c>
      <c r="AG33" s="541">
        <f t="shared" si="73"/>
        <v>0</v>
      </c>
      <c r="AH33" s="541">
        <f t="shared" si="73"/>
        <v>0</v>
      </c>
      <c r="AI33" s="541">
        <f t="shared" si="73"/>
        <v>0</v>
      </c>
      <c r="AJ33" s="541">
        <f t="shared" si="73"/>
        <v>0</v>
      </c>
      <c r="AK33" s="541">
        <f t="shared" ref="AK33:BP33" si="74">IF(AK8&lt;sector_base,NA(),IFERROR(IF(activity_approach="Input Activity Data Manually",IF(AK8=base,dla,IF(AK8=target,dlf,AJ33+((dlf-dla)/(target-base)))),dla*(1+f_CAGR)^(AK8-base)),""))</f>
        <v>0</v>
      </c>
      <c r="AL33" s="541">
        <f t="shared" si="74"/>
        <v>0</v>
      </c>
      <c r="AM33" s="541">
        <f t="shared" si="74"/>
        <v>0</v>
      </c>
      <c r="AN33" s="541">
        <f t="shared" si="74"/>
        <v>0</v>
      </c>
      <c r="AO33" s="541">
        <f t="shared" si="74"/>
        <v>0</v>
      </c>
      <c r="AP33" s="541">
        <f t="shared" si="74"/>
        <v>0</v>
      </c>
      <c r="AQ33" s="541">
        <f t="shared" si="74"/>
        <v>0</v>
      </c>
      <c r="AR33" s="541">
        <f t="shared" si="74"/>
        <v>0</v>
      </c>
      <c r="AS33" s="541">
        <f t="shared" si="74"/>
        <v>0</v>
      </c>
      <c r="AT33" s="541">
        <f t="shared" si="74"/>
        <v>0</v>
      </c>
      <c r="AU33" s="541">
        <f t="shared" si="74"/>
        <v>0</v>
      </c>
      <c r="AV33" s="541">
        <f t="shared" si="74"/>
        <v>0</v>
      </c>
      <c r="AW33" s="541">
        <f t="shared" si="74"/>
        <v>0</v>
      </c>
      <c r="AX33" s="541">
        <f t="shared" si="74"/>
        <v>0</v>
      </c>
      <c r="AY33" s="541">
        <f t="shared" si="74"/>
        <v>0</v>
      </c>
      <c r="AZ33" s="541">
        <f t="shared" si="74"/>
        <v>0</v>
      </c>
      <c r="BA33" s="541">
        <f t="shared" si="74"/>
        <v>0</v>
      </c>
      <c r="BB33" s="541">
        <f t="shared" si="74"/>
        <v>0</v>
      </c>
      <c r="BC33" s="541">
        <f t="shared" si="74"/>
        <v>0</v>
      </c>
      <c r="BD33" s="541">
        <f t="shared" si="74"/>
        <v>0</v>
      </c>
      <c r="BE33" s="541">
        <f t="shared" si="74"/>
        <v>0</v>
      </c>
      <c r="BF33" s="541">
        <f t="shared" si="74"/>
        <v>0</v>
      </c>
      <c r="BG33" s="541">
        <f t="shared" si="74"/>
        <v>0</v>
      </c>
      <c r="BH33" s="541">
        <f t="shared" si="74"/>
        <v>0</v>
      </c>
      <c r="BI33" s="541">
        <f t="shared" si="74"/>
        <v>0</v>
      </c>
      <c r="BJ33" s="541">
        <f t="shared" si="74"/>
        <v>0</v>
      </c>
      <c r="BK33" s="541">
        <f t="shared" si="74"/>
        <v>0</v>
      </c>
      <c r="BL33" s="541">
        <f t="shared" si="74"/>
        <v>0</v>
      </c>
      <c r="BM33" s="541">
        <f t="shared" si="74"/>
        <v>0</v>
      </c>
      <c r="BN33" s="541">
        <f t="shared" si="74"/>
        <v>0</v>
      </c>
      <c r="BO33" s="541">
        <f t="shared" si="74"/>
        <v>0</v>
      </c>
      <c r="BP33" s="541">
        <f t="shared" si="74"/>
        <v>0</v>
      </c>
      <c r="BQ33" s="541">
        <f t="shared" ref="BQ33:CL33" si="75">IF(BQ8&lt;sector_base,NA(),IFERROR(IF(activity_approach="Input Activity Data Manually",IF(BQ8=base,dla,IF(BQ8=target,dlf,BP33+((dlf-dla)/(target-base)))),dla*(1+f_CAGR)^(BQ8-base)),""))</f>
        <v>0</v>
      </c>
      <c r="BR33" s="541">
        <f t="shared" si="75"/>
        <v>0</v>
      </c>
      <c r="BS33" s="541">
        <f t="shared" si="75"/>
        <v>0</v>
      </c>
      <c r="BT33" s="541">
        <f t="shared" si="75"/>
        <v>0</v>
      </c>
      <c r="BU33" s="541">
        <f t="shared" si="75"/>
        <v>0</v>
      </c>
      <c r="BV33" s="541">
        <f t="shared" si="75"/>
        <v>0</v>
      </c>
      <c r="BW33" s="541">
        <f t="shared" si="75"/>
        <v>0</v>
      </c>
      <c r="BX33" s="541">
        <f t="shared" si="75"/>
        <v>0</v>
      </c>
      <c r="BY33" s="541">
        <f t="shared" si="75"/>
        <v>0</v>
      </c>
      <c r="BZ33" s="541">
        <f t="shared" si="75"/>
        <v>0</v>
      </c>
      <c r="CA33" s="541">
        <f t="shared" si="75"/>
        <v>0</v>
      </c>
      <c r="CB33" s="541">
        <f t="shared" si="75"/>
        <v>0</v>
      </c>
      <c r="CC33" s="541">
        <f t="shared" si="75"/>
        <v>0</v>
      </c>
      <c r="CD33" s="541">
        <f t="shared" si="75"/>
        <v>0</v>
      </c>
      <c r="CE33" s="541">
        <f t="shared" si="75"/>
        <v>0</v>
      </c>
      <c r="CF33" s="541">
        <f t="shared" si="75"/>
        <v>0</v>
      </c>
      <c r="CG33" s="541">
        <f t="shared" si="75"/>
        <v>0</v>
      </c>
      <c r="CH33" s="541">
        <f t="shared" si="75"/>
        <v>0</v>
      </c>
      <c r="CI33" s="541">
        <f t="shared" si="75"/>
        <v>0</v>
      </c>
      <c r="CJ33" s="541">
        <f t="shared" si="75"/>
        <v>0</v>
      </c>
      <c r="CK33" s="541">
        <f t="shared" si="75"/>
        <v>0</v>
      </c>
      <c r="CL33" s="541">
        <f t="shared" si="75"/>
        <v>0</v>
      </c>
      <c r="CN33" s="620" t="str">
        <f t="shared" si="70"/>
        <v/>
      </c>
      <c r="CO33" s="620" t="str">
        <f t="shared" si="71"/>
        <v/>
      </c>
      <c r="CP33" s="620" t="str">
        <f t="shared" si="72"/>
        <v/>
      </c>
    </row>
    <row r="34" spans="1:94" outlineLevel="1">
      <c r="A34" s="535" t="s">
        <v>255</v>
      </c>
      <c r="B34" s="535" t="s">
        <v>258</v>
      </c>
      <c r="C34" s="535" t="s">
        <v>320</v>
      </c>
      <c r="D34" s="535" t="s">
        <v>321</v>
      </c>
      <c r="E34" s="542" t="str">
        <f>IFERROR((E32/E33)*1000,"")</f>
        <v/>
      </c>
      <c r="F34" s="531" t="str">
        <f t="shared" ref="F34:BQ34" si="76">IFERROR((F32/F33)*1000,"")</f>
        <v/>
      </c>
      <c r="G34" s="531" t="str">
        <f t="shared" si="76"/>
        <v/>
      </c>
      <c r="H34" s="531" t="str">
        <f t="shared" si="76"/>
        <v/>
      </c>
      <c r="I34" s="531" t="str">
        <f t="shared" si="76"/>
        <v/>
      </c>
      <c r="J34" s="531" t="str">
        <f t="shared" si="76"/>
        <v/>
      </c>
      <c r="K34" s="531" t="str">
        <f t="shared" si="76"/>
        <v/>
      </c>
      <c r="L34" s="531" t="str">
        <f t="shared" si="76"/>
        <v/>
      </c>
      <c r="M34" s="531" t="str">
        <f t="shared" si="76"/>
        <v/>
      </c>
      <c r="N34" s="531" t="str">
        <f t="shared" si="76"/>
        <v/>
      </c>
      <c r="O34" s="531" t="str">
        <f t="shared" si="76"/>
        <v/>
      </c>
      <c r="P34" s="531" t="str">
        <f t="shared" si="76"/>
        <v/>
      </c>
      <c r="Q34" s="531" t="str">
        <f t="shared" si="76"/>
        <v/>
      </c>
      <c r="R34" s="531" t="str">
        <f t="shared" si="76"/>
        <v/>
      </c>
      <c r="S34" s="531" t="str">
        <f t="shared" si="76"/>
        <v/>
      </c>
      <c r="T34" s="531" t="str">
        <f t="shared" si="76"/>
        <v/>
      </c>
      <c r="U34" s="531" t="str">
        <f t="shared" si="76"/>
        <v/>
      </c>
      <c r="V34" s="531" t="str">
        <f t="shared" si="76"/>
        <v/>
      </c>
      <c r="W34" s="531" t="str">
        <f t="shared" si="76"/>
        <v/>
      </c>
      <c r="X34" s="531" t="str">
        <f t="shared" si="76"/>
        <v/>
      </c>
      <c r="Y34" s="531" t="str">
        <f t="shared" si="76"/>
        <v/>
      </c>
      <c r="Z34" s="531" t="str">
        <f t="shared" si="76"/>
        <v/>
      </c>
      <c r="AA34" s="531" t="str">
        <f t="shared" si="76"/>
        <v/>
      </c>
      <c r="AB34" s="531" t="str">
        <f t="shared" si="76"/>
        <v/>
      </c>
      <c r="AC34" s="531" t="str">
        <f t="shared" si="76"/>
        <v/>
      </c>
      <c r="AD34" s="531" t="str">
        <f t="shared" si="76"/>
        <v/>
      </c>
      <c r="AE34" s="531" t="str">
        <f t="shared" si="76"/>
        <v/>
      </c>
      <c r="AF34" s="531" t="str">
        <f t="shared" si="76"/>
        <v/>
      </c>
      <c r="AG34" s="531" t="str">
        <f t="shared" si="76"/>
        <v/>
      </c>
      <c r="AH34" s="531" t="str">
        <f t="shared" si="76"/>
        <v/>
      </c>
      <c r="AI34" s="531" t="str">
        <f t="shared" si="76"/>
        <v/>
      </c>
      <c r="AJ34" s="531" t="str">
        <f t="shared" si="76"/>
        <v/>
      </c>
      <c r="AK34" s="531" t="str">
        <f t="shared" si="76"/>
        <v/>
      </c>
      <c r="AL34" s="531" t="str">
        <f t="shared" si="76"/>
        <v/>
      </c>
      <c r="AM34" s="531" t="str">
        <f t="shared" si="76"/>
        <v/>
      </c>
      <c r="AN34" s="531" t="str">
        <f t="shared" si="76"/>
        <v/>
      </c>
      <c r="AO34" s="531" t="str">
        <f t="shared" si="76"/>
        <v/>
      </c>
      <c r="AP34" s="531" t="str">
        <f t="shared" si="76"/>
        <v/>
      </c>
      <c r="AQ34" s="531" t="str">
        <f t="shared" si="76"/>
        <v/>
      </c>
      <c r="AR34" s="531" t="str">
        <f t="shared" si="76"/>
        <v/>
      </c>
      <c r="AS34" s="531" t="str">
        <f t="shared" si="76"/>
        <v/>
      </c>
      <c r="AT34" s="531" t="str">
        <f t="shared" si="76"/>
        <v/>
      </c>
      <c r="AU34" s="531" t="str">
        <f t="shared" si="76"/>
        <v/>
      </c>
      <c r="AV34" s="531" t="str">
        <f t="shared" si="76"/>
        <v/>
      </c>
      <c r="AW34" s="531" t="str">
        <f t="shared" si="76"/>
        <v/>
      </c>
      <c r="AX34" s="531" t="str">
        <f t="shared" si="76"/>
        <v/>
      </c>
      <c r="AY34" s="531" t="str">
        <f t="shared" si="76"/>
        <v/>
      </c>
      <c r="AZ34" s="531" t="str">
        <f t="shared" si="76"/>
        <v/>
      </c>
      <c r="BA34" s="531" t="str">
        <f t="shared" si="76"/>
        <v/>
      </c>
      <c r="BB34" s="531" t="str">
        <f t="shared" si="76"/>
        <v/>
      </c>
      <c r="BC34" s="531" t="str">
        <f t="shared" si="76"/>
        <v/>
      </c>
      <c r="BD34" s="531" t="str">
        <f t="shared" si="76"/>
        <v/>
      </c>
      <c r="BE34" s="531" t="str">
        <f t="shared" si="76"/>
        <v/>
      </c>
      <c r="BF34" s="531" t="str">
        <f t="shared" si="76"/>
        <v/>
      </c>
      <c r="BG34" s="531" t="str">
        <f t="shared" si="76"/>
        <v/>
      </c>
      <c r="BH34" s="531" t="str">
        <f t="shared" si="76"/>
        <v/>
      </c>
      <c r="BI34" s="531" t="str">
        <f t="shared" si="76"/>
        <v/>
      </c>
      <c r="BJ34" s="531" t="str">
        <f t="shared" si="76"/>
        <v/>
      </c>
      <c r="BK34" s="531" t="str">
        <f t="shared" si="76"/>
        <v/>
      </c>
      <c r="BL34" s="531" t="str">
        <f t="shared" si="76"/>
        <v/>
      </c>
      <c r="BM34" s="531" t="str">
        <f t="shared" si="76"/>
        <v/>
      </c>
      <c r="BN34" s="531" t="str">
        <f t="shared" si="76"/>
        <v/>
      </c>
      <c r="BO34" s="531" t="str">
        <f t="shared" si="76"/>
        <v/>
      </c>
      <c r="BP34" s="531" t="str">
        <f t="shared" si="76"/>
        <v/>
      </c>
      <c r="BQ34" s="531" t="str">
        <f t="shared" si="76"/>
        <v/>
      </c>
      <c r="BR34" s="531" t="str">
        <f t="shared" ref="BR34:CL34" si="77">IFERROR((BR32/BR33)*1000,"")</f>
        <v/>
      </c>
      <c r="BS34" s="531" t="str">
        <f t="shared" si="77"/>
        <v/>
      </c>
      <c r="BT34" s="531" t="str">
        <f t="shared" si="77"/>
        <v/>
      </c>
      <c r="BU34" s="531" t="str">
        <f t="shared" si="77"/>
        <v/>
      </c>
      <c r="BV34" s="531" t="str">
        <f t="shared" si="77"/>
        <v/>
      </c>
      <c r="BW34" s="531" t="str">
        <f t="shared" si="77"/>
        <v/>
      </c>
      <c r="BX34" s="531" t="str">
        <f t="shared" si="77"/>
        <v/>
      </c>
      <c r="BY34" s="531" t="str">
        <f t="shared" si="77"/>
        <v/>
      </c>
      <c r="BZ34" s="531" t="str">
        <f t="shared" si="77"/>
        <v/>
      </c>
      <c r="CA34" s="531" t="str">
        <f t="shared" si="77"/>
        <v/>
      </c>
      <c r="CB34" s="531" t="str">
        <f t="shared" si="77"/>
        <v/>
      </c>
      <c r="CC34" s="531" t="str">
        <f t="shared" si="77"/>
        <v/>
      </c>
      <c r="CD34" s="531" t="str">
        <f t="shared" si="77"/>
        <v/>
      </c>
      <c r="CE34" s="531" t="str">
        <f t="shared" si="77"/>
        <v/>
      </c>
      <c r="CF34" s="531" t="str">
        <f t="shared" si="77"/>
        <v/>
      </c>
      <c r="CG34" s="531" t="str">
        <f t="shared" si="77"/>
        <v/>
      </c>
      <c r="CH34" s="531" t="str">
        <f t="shared" si="77"/>
        <v/>
      </c>
      <c r="CI34" s="531" t="str">
        <f t="shared" si="77"/>
        <v/>
      </c>
      <c r="CJ34" s="531" t="str">
        <f t="shared" si="77"/>
        <v/>
      </c>
      <c r="CK34" s="531" t="str">
        <f t="shared" si="77"/>
        <v/>
      </c>
      <c r="CL34" s="531" t="str">
        <f t="shared" si="77"/>
        <v/>
      </c>
      <c r="CN34" s="613" t="str">
        <f t="shared" si="70"/>
        <v/>
      </c>
      <c r="CO34" s="613" t="str">
        <f t="shared" si="71"/>
        <v/>
      </c>
      <c r="CP34" s="613" t="str">
        <f t="shared" si="72"/>
        <v/>
      </c>
    </row>
    <row r="35" spans="1:94" outlineLevel="1">
      <c r="A35" s="543"/>
      <c r="B35" s="543" t="s">
        <v>124</v>
      </c>
      <c r="C35" s="543" t="s">
        <v>322</v>
      </c>
      <c r="D35" s="543" t="s">
        <v>323</v>
      </c>
      <c r="E35" s="544" t="str">
        <f t="shared" ref="E35:AJ35" ca="1" si="78">IFERROR(IF((INDEX($E26:$CL33,8,MATCH(base,$E26:$CL26,0))/INDEX($E26:$CL33,3,MATCH(sector_base,$E26:$CL26,0))/(E33/E28))&gt;=1,1,(INDEX($E26:$CL33,8,MATCH(base,$E26:$CL26,0))/INDEX($E26:$CL33,3,MATCH(base,$E26:$CL26,0))/(E33/E28))),"")</f>
        <v/>
      </c>
      <c r="F35" s="545" t="str">
        <f t="shared" ca="1" si="78"/>
        <v/>
      </c>
      <c r="G35" s="545" t="str">
        <f t="shared" ca="1" si="78"/>
        <v/>
      </c>
      <c r="H35" s="545" t="str">
        <f t="shared" ca="1" si="78"/>
        <v/>
      </c>
      <c r="I35" s="545" t="str">
        <f t="shared" ca="1" si="78"/>
        <v/>
      </c>
      <c r="J35" s="545" t="str">
        <f t="shared" ca="1" si="78"/>
        <v/>
      </c>
      <c r="K35" s="545" t="str">
        <f t="shared" ca="1" si="78"/>
        <v/>
      </c>
      <c r="L35" s="545" t="str">
        <f t="shared" ca="1" si="78"/>
        <v/>
      </c>
      <c r="M35" s="545" t="str">
        <f t="shared" ca="1" si="78"/>
        <v/>
      </c>
      <c r="N35" s="545" t="str">
        <f t="shared" ca="1" si="78"/>
        <v/>
      </c>
      <c r="O35" s="545" t="str">
        <f t="shared" ca="1" si="78"/>
        <v/>
      </c>
      <c r="P35" s="545" t="str">
        <f t="shared" ca="1" si="78"/>
        <v/>
      </c>
      <c r="Q35" s="545" t="str">
        <f t="shared" ca="1" si="78"/>
        <v/>
      </c>
      <c r="R35" s="545" t="str">
        <f t="shared" ca="1" si="78"/>
        <v/>
      </c>
      <c r="S35" s="545" t="str">
        <f t="shared" ca="1" si="78"/>
        <v/>
      </c>
      <c r="T35" s="545" t="str">
        <f t="shared" ca="1" si="78"/>
        <v/>
      </c>
      <c r="U35" s="545" t="str">
        <f t="shared" ca="1" si="78"/>
        <v/>
      </c>
      <c r="V35" s="545" t="str">
        <f t="shared" ca="1" si="78"/>
        <v/>
      </c>
      <c r="W35" s="545" t="str">
        <f t="shared" ca="1" si="78"/>
        <v/>
      </c>
      <c r="X35" s="545" t="str">
        <f t="shared" ca="1" si="78"/>
        <v/>
      </c>
      <c r="Y35" s="545" t="str">
        <f t="shared" ca="1" si="78"/>
        <v/>
      </c>
      <c r="Z35" s="545" t="str">
        <f t="shared" ca="1" si="78"/>
        <v/>
      </c>
      <c r="AA35" s="545" t="str">
        <f t="shared" ca="1" si="78"/>
        <v/>
      </c>
      <c r="AB35" s="545" t="str">
        <f t="shared" ca="1" si="78"/>
        <v/>
      </c>
      <c r="AC35" s="545" t="str">
        <f t="shared" ca="1" si="78"/>
        <v/>
      </c>
      <c r="AD35" s="545" t="str">
        <f t="shared" ca="1" si="78"/>
        <v/>
      </c>
      <c r="AE35" s="545" t="str">
        <f t="shared" ca="1" si="78"/>
        <v/>
      </c>
      <c r="AF35" s="545" t="str">
        <f t="shared" ca="1" si="78"/>
        <v/>
      </c>
      <c r="AG35" s="545" t="str">
        <f t="shared" ca="1" si="78"/>
        <v/>
      </c>
      <c r="AH35" s="545" t="str">
        <f t="shared" ca="1" si="78"/>
        <v/>
      </c>
      <c r="AI35" s="545" t="str">
        <f t="shared" ca="1" si="78"/>
        <v/>
      </c>
      <c r="AJ35" s="545" t="str">
        <f t="shared" ca="1" si="78"/>
        <v/>
      </c>
      <c r="AK35" s="545" t="str">
        <f t="shared" ref="AK35:BP35" ca="1" si="79">IFERROR(IF((INDEX($E26:$CL33,8,MATCH(base,$E26:$CL26,0))/INDEX($E26:$CL33,3,MATCH(sector_base,$E26:$CL26,0))/(AK33/AK28))&gt;=1,1,(INDEX($E26:$CL33,8,MATCH(base,$E26:$CL26,0))/INDEX($E26:$CL33,3,MATCH(base,$E26:$CL26,0))/(AK33/AK28))),"")</f>
        <v/>
      </c>
      <c r="AL35" s="545" t="str">
        <f t="shared" ca="1" si="79"/>
        <v/>
      </c>
      <c r="AM35" s="545" t="str">
        <f t="shared" ca="1" si="79"/>
        <v/>
      </c>
      <c r="AN35" s="545" t="str">
        <f t="shared" ca="1" si="79"/>
        <v/>
      </c>
      <c r="AO35" s="545" t="str">
        <f t="shared" ca="1" si="79"/>
        <v/>
      </c>
      <c r="AP35" s="545" t="str">
        <f t="shared" ca="1" si="79"/>
        <v/>
      </c>
      <c r="AQ35" s="545" t="str">
        <f t="shared" ca="1" si="79"/>
        <v/>
      </c>
      <c r="AR35" s="545" t="str">
        <f t="shared" ca="1" si="79"/>
        <v/>
      </c>
      <c r="AS35" s="545" t="str">
        <f t="shared" ca="1" si="79"/>
        <v/>
      </c>
      <c r="AT35" s="545" t="str">
        <f t="shared" ca="1" si="79"/>
        <v/>
      </c>
      <c r="AU35" s="545" t="str">
        <f t="shared" ca="1" si="79"/>
        <v/>
      </c>
      <c r="AV35" s="545" t="str">
        <f t="shared" ca="1" si="79"/>
        <v/>
      </c>
      <c r="AW35" s="545" t="str">
        <f t="shared" ca="1" si="79"/>
        <v/>
      </c>
      <c r="AX35" s="545" t="str">
        <f t="shared" ca="1" si="79"/>
        <v/>
      </c>
      <c r="AY35" s="545" t="str">
        <f t="shared" ca="1" si="79"/>
        <v/>
      </c>
      <c r="AZ35" s="545" t="str">
        <f t="shared" ca="1" si="79"/>
        <v/>
      </c>
      <c r="BA35" s="545" t="str">
        <f t="shared" ca="1" si="79"/>
        <v/>
      </c>
      <c r="BB35" s="545" t="str">
        <f t="shared" ca="1" si="79"/>
        <v/>
      </c>
      <c r="BC35" s="545" t="str">
        <f t="shared" ca="1" si="79"/>
        <v/>
      </c>
      <c r="BD35" s="545" t="str">
        <f t="shared" ca="1" si="79"/>
        <v/>
      </c>
      <c r="BE35" s="545" t="str">
        <f t="shared" ca="1" si="79"/>
        <v/>
      </c>
      <c r="BF35" s="545" t="str">
        <f t="shared" ca="1" si="79"/>
        <v/>
      </c>
      <c r="BG35" s="545" t="str">
        <f t="shared" ca="1" si="79"/>
        <v/>
      </c>
      <c r="BH35" s="545" t="str">
        <f t="shared" ca="1" si="79"/>
        <v/>
      </c>
      <c r="BI35" s="545" t="str">
        <f t="shared" ca="1" si="79"/>
        <v/>
      </c>
      <c r="BJ35" s="545" t="str">
        <f t="shared" ca="1" si="79"/>
        <v/>
      </c>
      <c r="BK35" s="545" t="str">
        <f t="shared" ca="1" si="79"/>
        <v/>
      </c>
      <c r="BL35" s="545" t="str">
        <f t="shared" ca="1" si="79"/>
        <v/>
      </c>
      <c r="BM35" s="545" t="str">
        <f t="shared" ca="1" si="79"/>
        <v/>
      </c>
      <c r="BN35" s="545" t="str">
        <f t="shared" ca="1" si="79"/>
        <v/>
      </c>
      <c r="BO35" s="545" t="str">
        <f t="shared" ca="1" si="79"/>
        <v/>
      </c>
      <c r="BP35" s="545" t="str">
        <f t="shared" ca="1" si="79"/>
        <v/>
      </c>
      <c r="BQ35" s="545" t="str">
        <f t="shared" ref="BQ35:CL35" ca="1" si="80">IFERROR(IF((INDEX($E26:$CL33,8,MATCH(base,$E26:$CL26,0))/INDEX($E26:$CL33,3,MATCH(sector_base,$E26:$CL26,0))/(BQ33/BQ28))&gt;=1,1,(INDEX($E26:$CL33,8,MATCH(base,$E26:$CL26,0))/INDEX($E26:$CL33,3,MATCH(base,$E26:$CL26,0))/(BQ33/BQ28))),"")</f>
        <v/>
      </c>
      <c r="BR35" s="545" t="str">
        <f t="shared" ca="1" si="80"/>
        <v/>
      </c>
      <c r="BS35" s="545" t="str">
        <f t="shared" ca="1" si="80"/>
        <v/>
      </c>
      <c r="BT35" s="545" t="str">
        <f t="shared" ca="1" si="80"/>
        <v/>
      </c>
      <c r="BU35" s="545" t="str">
        <f t="shared" ca="1" si="80"/>
        <v/>
      </c>
      <c r="BV35" s="545" t="str">
        <f t="shared" ca="1" si="80"/>
        <v/>
      </c>
      <c r="BW35" s="545" t="str">
        <f t="shared" ca="1" si="80"/>
        <v/>
      </c>
      <c r="BX35" s="545" t="str">
        <f t="shared" ca="1" si="80"/>
        <v/>
      </c>
      <c r="BY35" s="545" t="str">
        <f t="shared" ca="1" si="80"/>
        <v/>
      </c>
      <c r="BZ35" s="545" t="str">
        <f t="shared" ca="1" si="80"/>
        <v/>
      </c>
      <c r="CA35" s="545" t="str">
        <f t="shared" ca="1" si="80"/>
        <v/>
      </c>
      <c r="CB35" s="545" t="str">
        <f t="shared" ca="1" si="80"/>
        <v/>
      </c>
      <c r="CC35" s="545" t="str">
        <f t="shared" ca="1" si="80"/>
        <v/>
      </c>
      <c r="CD35" s="545" t="str">
        <f t="shared" ca="1" si="80"/>
        <v/>
      </c>
      <c r="CE35" s="545" t="str">
        <f t="shared" ca="1" si="80"/>
        <v/>
      </c>
      <c r="CF35" s="545" t="str">
        <f t="shared" ca="1" si="80"/>
        <v/>
      </c>
      <c r="CG35" s="545" t="str">
        <f t="shared" ca="1" si="80"/>
        <v/>
      </c>
      <c r="CH35" s="545" t="str">
        <f t="shared" ca="1" si="80"/>
        <v/>
      </c>
      <c r="CI35" s="545" t="str">
        <f t="shared" ca="1" si="80"/>
        <v/>
      </c>
      <c r="CJ35" s="545" t="str">
        <f t="shared" ca="1" si="80"/>
        <v/>
      </c>
      <c r="CK35" s="545" t="str">
        <f t="shared" ca="1" si="80"/>
        <v/>
      </c>
      <c r="CL35" s="545" t="str">
        <f t="shared" ca="1" si="80"/>
        <v/>
      </c>
      <c r="CN35" s="619" t="str">
        <f ca="1">IFERROR((Y35/H35)^(1/17)-1,"")</f>
        <v/>
      </c>
      <c r="CO35" s="619" t="str">
        <f ca="1">IFERROR((AN35/Y35)^(1/15)-1,"")</f>
        <v/>
      </c>
      <c r="CP35" s="619" t="str">
        <f ca="1">IFERROR((AN35/H35)^(1/32)-1,"")</f>
        <v/>
      </c>
    </row>
    <row r="36" spans="1:94" outlineLevel="1">
      <c r="A36" s="534"/>
      <c r="B36" s="534" t="s">
        <v>27</v>
      </c>
      <c r="C36" s="534" t="s">
        <v>324</v>
      </c>
      <c r="D36" s="534" t="s">
        <v>325</v>
      </c>
      <c r="E36" s="536" t="str">
        <f t="shared" ref="E36:BP36" ca="1" si="81">IFERROR(IF(INDEX($E26:$CL35,9,MATCH(base,$E26:$CL26,0))-E31&lt;0,"N/A",INDEX($E26:$CL35,9,MATCH(base,$E26:$CL26,0))-E31),"")</f>
        <v/>
      </c>
      <c r="F36" s="537" t="str">
        <f t="shared" ca="1" si="81"/>
        <v/>
      </c>
      <c r="G36" s="537" t="str">
        <f t="shared" ca="1" si="81"/>
        <v/>
      </c>
      <c r="H36" s="537" t="str">
        <f t="shared" ca="1" si="81"/>
        <v/>
      </c>
      <c r="I36" s="537" t="str">
        <f t="shared" ca="1" si="81"/>
        <v/>
      </c>
      <c r="J36" s="537" t="str">
        <f t="shared" ca="1" si="81"/>
        <v/>
      </c>
      <c r="K36" s="537" t="str">
        <f t="shared" ca="1" si="81"/>
        <v/>
      </c>
      <c r="L36" s="537" t="str">
        <f t="shared" ca="1" si="81"/>
        <v/>
      </c>
      <c r="M36" s="537" t="str">
        <f t="shared" ca="1" si="81"/>
        <v/>
      </c>
      <c r="N36" s="537" t="str">
        <f t="shared" ca="1" si="81"/>
        <v/>
      </c>
      <c r="O36" s="537" t="str">
        <f t="shared" ca="1" si="81"/>
        <v/>
      </c>
      <c r="P36" s="537" t="str">
        <f t="shared" ca="1" si="81"/>
        <v/>
      </c>
      <c r="Q36" s="537" t="str">
        <f t="shared" ca="1" si="81"/>
        <v/>
      </c>
      <c r="R36" s="537" t="str">
        <f t="shared" ca="1" si="81"/>
        <v/>
      </c>
      <c r="S36" s="537" t="str">
        <f t="shared" ca="1" si="81"/>
        <v/>
      </c>
      <c r="T36" s="537" t="str">
        <f t="shared" ca="1" si="81"/>
        <v/>
      </c>
      <c r="U36" s="537" t="str">
        <f t="shared" ca="1" si="81"/>
        <v/>
      </c>
      <c r="V36" s="537" t="str">
        <f t="shared" ca="1" si="81"/>
        <v/>
      </c>
      <c r="W36" s="537" t="str">
        <f t="shared" ca="1" si="81"/>
        <v/>
      </c>
      <c r="X36" s="537" t="str">
        <f t="shared" ca="1" si="81"/>
        <v/>
      </c>
      <c r="Y36" s="537" t="str">
        <f t="shared" ca="1" si="81"/>
        <v/>
      </c>
      <c r="Z36" s="537" t="str">
        <f t="shared" ca="1" si="81"/>
        <v/>
      </c>
      <c r="AA36" s="537" t="str">
        <f t="shared" ca="1" si="81"/>
        <v/>
      </c>
      <c r="AB36" s="537" t="str">
        <f t="shared" ca="1" si="81"/>
        <v/>
      </c>
      <c r="AC36" s="537" t="str">
        <f t="shared" ca="1" si="81"/>
        <v/>
      </c>
      <c r="AD36" s="537" t="str">
        <f t="shared" ca="1" si="81"/>
        <v/>
      </c>
      <c r="AE36" s="537" t="str">
        <f t="shared" ca="1" si="81"/>
        <v/>
      </c>
      <c r="AF36" s="537" t="str">
        <f t="shared" ca="1" si="81"/>
        <v/>
      </c>
      <c r="AG36" s="537" t="str">
        <f t="shared" ca="1" si="81"/>
        <v/>
      </c>
      <c r="AH36" s="537" t="str">
        <f t="shared" ca="1" si="81"/>
        <v/>
      </c>
      <c r="AI36" s="537" t="str">
        <f t="shared" ca="1" si="81"/>
        <v/>
      </c>
      <c r="AJ36" s="537" t="str">
        <f t="shared" ca="1" si="81"/>
        <v/>
      </c>
      <c r="AK36" s="537" t="str">
        <f t="shared" ca="1" si="81"/>
        <v/>
      </c>
      <c r="AL36" s="537" t="str">
        <f t="shared" ca="1" si="81"/>
        <v/>
      </c>
      <c r="AM36" s="537" t="str">
        <f t="shared" ca="1" si="81"/>
        <v/>
      </c>
      <c r="AN36" s="537" t="str">
        <f t="shared" ca="1" si="81"/>
        <v/>
      </c>
      <c r="AO36" s="537" t="str">
        <f t="shared" ca="1" si="81"/>
        <v/>
      </c>
      <c r="AP36" s="537" t="str">
        <f t="shared" ca="1" si="81"/>
        <v/>
      </c>
      <c r="AQ36" s="537" t="str">
        <f t="shared" ca="1" si="81"/>
        <v/>
      </c>
      <c r="AR36" s="537" t="str">
        <f t="shared" ca="1" si="81"/>
        <v/>
      </c>
      <c r="AS36" s="537" t="str">
        <f t="shared" ca="1" si="81"/>
        <v/>
      </c>
      <c r="AT36" s="537" t="str">
        <f t="shared" ca="1" si="81"/>
        <v/>
      </c>
      <c r="AU36" s="537" t="str">
        <f t="shared" ca="1" si="81"/>
        <v/>
      </c>
      <c r="AV36" s="537" t="str">
        <f t="shared" ca="1" si="81"/>
        <v/>
      </c>
      <c r="AW36" s="537" t="str">
        <f t="shared" ca="1" si="81"/>
        <v/>
      </c>
      <c r="AX36" s="537" t="str">
        <f t="shared" ca="1" si="81"/>
        <v/>
      </c>
      <c r="AY36" s="537" t="str">
        <f t="shared" ca="1" si="81"/>
        <v/>
      </c>
      <c r="AZ36" s="537" t="str">
        <f t="shared" ca="1" si="81"/>
        <v/>
      </c>
      <c r="BA36" s="537" t="str">
        <f t="shared" ca="1" si="81"/>
        <v/>
      </c>
      <c r="BB36" s="537" t="str">
        <f t="shared" ca="1" si="81"/>
        <v/>
      </c>
      <c r="BC36" s="537" t="str">
        <f t="shared" ca="1" si="81"/>
        <v/>
      </c>
      <c r="BD36" s="537" t="str">
        <f t="shared" ca="1" si="81"/>
        <v/>
      </c>
      <c r="BE36" s="537" t="str">
        <f t="shared" ca="1" si="81"/>
        <v/>
      </c>
      <c r="BF36" s="537" t="str">
        <f t="shared" ca="1" si="81"/>
        <v/>
      </c>
      <c r="BG36" s="537" t="str">
        <f t="shared" ca="1" si="81"/>
        <v/>
      </c>
      <c r="BH36" s="537" t="str">
        <f t="shared" ca="1" si="81"/>
        <v/>
      </c>
      <c r="BI36" s="537" t="str">
        <f t="shared" ca="1" si="81"/>
        <v/>
      </c>
      <c r="BJ36" s="537" t="str">
        <f t="shared" ca="1" si="81"/>
        <v/>
      </c>
      <c r="BK36" s="537" t="str">
        <f t="shared" ca="1" si="81"/>
        <v/>
      </c>
      <c r="BL36" s="537" t="str">
        <f t="shared" ca="1" si="81"/>
        <v/>
      </c>
      <c r="BM36" s="537" t="str">
        <f t="shared" ca="1" si="81"/>
        <v/>
      </c>
      <c r="BN36" s="537" t="str">
        <f t="shared" ca="1" si="81"/>
        <v/>
      </c>
      <c r="BO36" s="537" t="str">
        <f t="shared" ca="1" si="81"/>
        <v/>
      </c>
      <c r="BP36" s="537" t="str">
        <f t="shared" ca="1" si="81"/>
        <v/>
      </c>
      <c r="BQ36" s="537" t="str">
        <f t="shared" ref="BQ36:CL36" ca="1" si="82">IFERROR(IF(INDEX($E26:$CL35,9,MATCH(base,$E26:$CL26,0))-BQ31&lt;0,"N/A",INDEX($E26:$CL35,9,MATCH(base,$E26:$CL26,0))-BQ31),"")</f>
        <v/>
      </c>
      <c r="BR36" s="537" t="str">
        <f t="shared" ca="1" si="82"/>
        <v/>
      </c>
      <c r="BS36" s="537" t="str">
        <f t="shared" ca="1" si="82"/>
        <v/>
      </c>
      <c r="BT36" s="537" t="str">
        <f t="shared" ca="1" si="82"/>
        <v/>
      </c>
      <c r="BU36" s="537" t="str">
        <f t="shared" ca="1" si="82"/>
        <v/>
      </c>
      <c r="BV36" s="537" t="str">
        <f t="shared" ca="1" si="82"/>
        <v/>
      </c>
      <c r="BW36" s="537" t="str">
        <f t="shared" ca="1" si="82"/>
        <v/>
      </c>
      <c r="BX36" s="537" t="str">
        <f t="shared" ca="1" si="82"/>
        <v/>
      </c>
      <c r="BY36" s="537" t="str">
        <f t="shared" ca="1" si="82"/>
        <v/>
      </c>
      <c r="BZ36" s="537" t="str">
        <f t="shared" ca="1" si="82"/>
        <v/>
      </c>
      <c r="CA36" s="537" t="str">
        <f t="shared" ca="1" si="82"/>
        <v/>
      </c>
      <c r="CB36" s="537" t="str">
        <f t="shared" ca="1" si="82"/>
        <v/>
      </c>
      <c r="CC36" s="537" t="str">
        <f t="shared" ca="1" si="82"/>
        <v/>
      </c>
      <c r="CD36" s="537" t="str">
        <f t="shared" ca="1" si="82"/>
        <v/>
      </c>
      <c r="CE36" s="537" t="str">
        <f t="shared" ca="1" si="82"/>
        <v/>
      </c>
      <c r="CF36" s="537" t="str">
        <f t="shared" ca="1" si="82"/>
        <v/>
      </c>
      <c r="CG36" s="537" t="str">
        <f t="shared" ca="1" si="82"/>
        <v/>
      </c>
      <c r="CH36" s="537" t="str">
        <f t="shared" ca="1" si="82"/>
        <v/>
      </c>
      <c r="CI36" s="537" t="str">
        <f t="shared" ca="1" si="82"/>
        <v/>
      </c>
      <c r="CJ36" s="537" t="str">
        <f t="shared" ca="1" si="82"/>
        <v/>
      </c>
      <c r="CK36" s="537" t="str">
        <f t="shared" ca="1" si="82"/>
        <v/>
      </c>
      <c r="CL36" s="537" t="str">
        <f t="shared" ca="1" si="82"/>
        <v/>
      </c>
      <c r="CN36" s="618" t="str">
        <f ca="1">IFERROR((Y36/H36)^(1/17)-1,"")</f>
        <v/>
      </c>
      <c r="CO36" s="618" t="str">
        <f ca="1">IFERROR((AN36/Y36)^(1/15)-1,"")</f>
        <v/>
      </c>
      <c r="CP36" s="618" t="str">
        <f ca="1">IFERROR((AN36/H36)^(1/32)-1,"")</f>
        <v/>
      </c>
    </row>
    <row r="37" spans="1:94" outlineLevel="1">
      <c r="A37" s="533" t="s">
        <v>255</v>
      </c>
      <c r="B37" s="533" t="s">
        <v>256</v>
      </c>
      <c r="C37" s="538" t="s">
        <v>326</v>
      </c>
      <c r="D37" s="538" t="s">
        <v>327</v>
      </c>
      <c r="E37" s="540" t="e">
        <f t="shared" ref="E37:N37" si="83">IF(E8&lt;sector_base,NA(),IF($B$6="ON", IF(E8&gt;=covid_start, IF(E8&lt;covid_recovery,NA(),IFERROR(E31+(E30*E36*E35),0)),IFERROR(E31+(E30*E36*E35),0)),IFERROR(E31+(E30*E36*E35),0)))</f>
        <v>#N/A</v>
      </c>
      <c r="F37" s="540" t="e">
        <f t="shared" si="83"/>
        <v>#N/A</v>
      </c>
      <c r="G37" s="540" t="e">
        <f t="shared" si="83"/>
        <v>#N/A</v>
      </c>
      <c r="H37" s="540" t="e">
        <f>IF(H8&lt;sector_base,NA(),IF($B$6="ON", IF(H8&gt;=covid_start, IF(H8&lt;covid_recovery,NA(),IFERROR(H31+(H30*H36*H35),0)),IFERROR(H31+(H30*H36*H35),0)),IFERROR(H31+(H30*H36*H35),0)))</f>
        <v>#N/A</v>
      </c>
      <c r="I37" s="540">
        <f ca="1">IF(I8&lt;sector_base,NA(),IF($B$6="ON", IF(I8&gt;=covid_start, IF(I8&lt;covid_recovery,NA(),IFERROR(I31+(I30*I36*I35),0)),IFERROR(I31+(I30*I36*I35),0)),IFERROR(I31+(I30*I36*I35),0)))</f>
        <v>0</v>
      </c>
      <c r="J37" s="540" t="e">
        <f t="shared" si="83"/>
        <v>#N/A</v>
      </c>
      <c r="K37" s="540" t="e">
        <f t="shared" si="83"/>
        <v>#N/A</v>
      </c>
      <c r="L37" s="540" t="e">
        <f t="shared" si="83"/>
        <v>#N/A</v>
      </c>
      <c r="M37" s="540">
        <f t="shared" ca="1" si="83"/>
        <v>0</v>
      </c>
      <c r="N37" s="540">
        <f t="shared" ca="1" si="83"/>
        <v>0</v>
      </c>
      <c r="O37" s="540">
        <f t="shared" ref="O37:AT37" ca="1" si="84">IF(O8&lt;sector_base,NA(),IF($B$6="ON", IF(O8&gt;=covid_start, IF(O8&lt;covid_recovery,NA(),IFERROR(O31+(O30*O36*O35),0)),IFERROR(O31+(O30*O36*O35),0)),IFERROR(O31+(O30*O36*O35),0)))</f>
        <v>0</v>
      </c>
      <c r="P37" s="540">
        <f t="shared" ca="1" si="84"/>
        <v>0</v>
      </c>
      <c r="Q37" s="540">
        <f t="shared" ca="1" si="84"/>
        <v>0</v>
      </c>
      <c r="R37" s="540">
        <f t="shared" ca="1" si="84"/>
        <v>0</v>
      </c>
      <c r="S37" s="540">
        <f t="shared" ca="1" si="84"/>
        <v>0</v>
      </c>
      <c r="T37" s="540">
        <f t="shared" ca="1" si="84"/>
        <v>0</v>
      </c>
      <c r="U37" s="540">
        <f t="shared" ca="1" si="84"/>
        <v>0</v>
      </c>
      <c r="V37" s="540">
        <f t="shared" ca="1" si="84"/>
        <v>0</v>
      </c>
      <c r="W37" s="540">
        <f t="shared" ca="1" si="84"/>
        <v>0</v>
      </c>
      <c r="X37" s="540">
        <f t="shared" ca="1" si="84"/>
        <v>0</v>
      </c>
      <c r="Y37" s="540">
        <f t="shared" ca="1" si="84"/>
        <v>0</v>
      </c>
      <c r="Z37" s="540">
        <f t="shared" ca="1" si="84"/>
        <v>0</v>
      </c>
      <c r="AA37" s="540">
        <f t="shared" ca="1" si="84"/>
        <v>0</v>
      </c>
      <c r="AB37" s="540">
        <f t="shared" ca="1" si="84"/>
        <v>0</v>
      </c>
      <c r="AC37" s="540">
        <f t="shared" ca="1" si="84"/>
        <v>0</v>
      </c>
      <c r="AD37" s="540">
        <f t="shared" ca="1" si="84"/>
        <v>0</v>
      </c>
      <c r="AE37" s="540">
        <f t="shared" ca="1" si="84"/>
        <v>0</v>
      </c>
      <c r="AF37" s="540">
        <f t="shared" ca="1" si="84"/>
        <v>0</v>
      </c>
      <c r="AG37" s="540">
        <f t="shared" ca="1" si="84"/>
        <v>0</v>
      </c>
      <c r="AH37" s="540">
        <f t="shared" ca="1" si="84"/>
        <v>0</v>
      </c>
      <c r="AI37" s="540">
        <f t="shared" ca="1" si="84"/>
        <v>0</v>
      </c>
      <c r="AJ37" s="540">
        <f t="shared" ca="1" si="84"/>
        <v>0</v>
      </c>
      <c r="AK37" s="540">
        <f t="shared" ca="1" si="84"/>
        <v>0</v>
      </c>
      <c r="AL37" s="540">
        <f t="shared" ca="1" si="84"/>
        <v>0</v>
      </c>
      <c r="AM37" s="540">
        <f t="shared" ca="1" si="84"/>
        <v>0</v>
      </c>
      <c r="AN37" s="540">
        <f t="shared" ca="1" si="84"/>
        <v>0</v>
      </c>
      <c r="AO37" s="540">
        <f t="shared" ca="1" si="84"/>
        <v>0</v>
      </c>
      <c r="AP37" s="540">
        <f t="shared" ca="1" si="84"/>
        <v>0</v>
      </c>
      <c r="AQ37" s="540">
        <f t="shared" ca="1" si="84"/>
        <v>0</v>
      </c>
      <c r="AR37" s="540">
        <f t="shared" ca="1" si="84"/>
        <v>0</v>
      </c>
      <c r="AS37" s="540">
        <f t="shared" ca="1" si="84"/>
        <v>0</v>
      </c>
      <c r="AT37" s="540">
        <f t="shared" ca="1" si="84"/>
        <v>0</v>
      </c>
      <c r="AU37" s="540">
        <f t="shared" ref="AU37:BZ37" ca="1" si="85">IF(AU8&lt;sector_base,NA(),IF($B$6="ON", IF(AU8&gt;=covid_start, IF(AU8&lt;covid_recovery,NA(),IFERROR(AU31+(AU30*AU36*AU35),0)),IFERROR(AU31+(AU30*AU36*AU35),0)),IFERROR(AU31+(AU30*AU36*AU35),0)))</f>
        <v>0</v>
      </c>
      <c r="AV37" s="540">
        <f t="shared" ca="1" si="85"/>
        <v>0</v>
      </c>
      <c r="AW37" s="540">
        <f t="shared" ca="1" si="85"/>
        <v>0</v>
      </c>
      <c r="AX37" s="540">
        <f t="shared" ca="1" si="85"/>
        <v>0</v>
      </c>
      <c r="AY37" s="540">
        <f t="shared" ca="1" si="85"/>
        <v>0</v>
      </c>
      <c r="AZ37" s="540">
        <f t="shared" ca="1" si="85"/>
        <v>0</v>
      </c>
      <c r="BA37" s="540">
        <f t="shared" ca="1" si="85"/>
        <v>0</v>
      </c>
      <c r="BB37" s="540">
        <f t="shared" ca="1" si="85"/>
        <v>0</v>
      </c>
      <c r="BC37" s="540">
        <f t="shared" ca="1" si="85"/>
        <v>0</v>
      </c>
      <c r="BD37" s="540">
        <f t="shared" ca="1" si="85"/>
        <v>0</v>
      </c>
      <c r="BE37" s="540">
        <f t="shared" ca="1" si="85"/>
        <v>0</v>
      </c>
      <c r="BF37" s="540">
        <f t="shared" ca="1" si="85"/>
        <v>0</v>
      </c>
      <c r="BG37" s="540">
        <f t="shared" ca="1" si="85"/>
        <v>0</v>
      </c>
      <c r="BH37" s="540">
        <f t="shared" ca="1" si="85"/>
        <v>0</v>
      </c>
      <c r="BI37" s="540">
        <f t="shared" ca="1" si="85"/>
        <v>0</v>
      </c>
      <c r="BJ37" s="540">
        <f t="shared" ca="1" si="85"/>
        <v>0</v>
      </c>
      <c r="BK37" s="540">
        <f t="shared" ca="1" si="85"/>
        <v>0</v>
      </c>
      <c r="BL37" s="540">
        <f t="shared" ca="1" si="85"/>
        <v>0</v>
      </c>
      <c r="BM37" s="540">
        <f t="shared" ca="1" si="85"/>
        <v>0</v>
      </c>
      <c r="BN37" s="540">
        <f t="shared" ca="1" si="85"/>
        <v>0</v>
      </c>
      <c r="BO37" s="540">
        <f t="shared" ca="1" si="85"/>
        <v>0</v>
      </c>
      <c r="BP37" s="540">
        <f t="shared" ca="1" si="85"/>
        <v>0</v>
      </c>
      <c r="BQ37" s="540">
        <f t="shared" ca="1" si="85"/>
        <v>0</v>
      </c>
      <c r="BR37" s="540">
        <f t="shared" ca="1" si="85"/>
        <v>0</v>
      </c>
      <c r="BS37" s="540">
        <f t="shared" ca="1" si="85"/>
        <v>0</v>
      </c>
      <c r="BT37" s="540">
        <f t="shared" ca="1" si="85"/>
        <v>0</v>
      </c>
      <c r="BU37" s="540">
        <f t="shared" ca="1" si="85"/>
        <v>0</v>
      </c>
      <c r="BV37" s="540">
        <f t="shared" ca="1" si="85"/>
        <v>0</v>
      </c>
      <c r="BW37" s="540">
        <f t="shared" ca="1" si="85"/>
        <v>0</v>
      </c>
      <c r="BX37" s="540">
        <f t="shared" ca="1" si="85"/>
        <v>0</v>
      </c>
      <c r="BY37" s="540">
        <f t="shared" ca="1" si="85"/>
        <v>0</v>
      </c>
      <c r="BZ37" s="540">
        <f t="shared" ca="1" si="85"/>
        <v>0</v>
      </c>
      <c r="CA37" s="540">
        <f t="shared" ref="CA37:CL37" ca="1" si="86">IF(CA8&lt;sector_base,NA(),IF($B$6="ON", IF(CA8&gt;=covid_start, IF(CA8&lt;covid_recovery,NA(),IFERROR(CA31+(CA30*CA36*CA35),0)),IFERROR(CA31+(CA30*CA36*CA35),0)),IFERROR(CA31+(CA30*CA36*CA35),0)))</f>
        <v>0</v>
      </c>
      <c r="CB37" s="540">
        <f t="shared" ca="1" si="86"/>
        <v>0</v>
      </c>
      <c r="CC37" s="540">
        <f t="shared" ca="1" si="86"/>
        <v>0</v>
      </c>
      <c r="CD37" s="540">
        <f t="shared" ca="1" si="86"/>
        <v>0</v>
      </c>
      <c r="CE37" s="540">
        <f t="shared" ca="1" si="86"/>
        <v>0</v>
      </c>
      <c r="CF37" s="540">
        <f t="shared" ca="1" si="86"/>
        <v>0</v>
      </c>
      <c r="CG37" s="540">
        <f t="shared" ca="1" si="86"/>
        <v>0</v>
      </c>
      <c r="CH37" s="540">
        <f t="shared" ca="1" si="86"/>
        <v>0</v>
      </c>
      <c r="CI37" s="540">
        <f t="shared" ca="1" si="86"/>
        <v>0</v>
      </c>
      <c r="CJ37" s="540">
        <f t="shared" ca="1" si="86"/>
        <v>0</v>
      </c>
      <c r="CK37" s="540">
        <f t="shared" ca="1" si="86"/>
        <v>0</v>
      </c>
      <c r="CL37" s="540">
        <f t="shared" ca="1" si="86"/>
        <v>0</v>
      </c>
      <c r="CN37" s="619" t="str">
        <f ca="1">IFERROR((Y37/H37)^(1/17)-1,"")</f>
        <v/>
      </c>
      <c r="CO37" s="619" t="str">
        <f ca="1">IFERROR((AN37/Y37)^(1/15)-1,"")</f>
        <v/>
      </c>
      <c r="CP37" s="619" t="str">
        <f ca="1">IFERROR((AN37/H37)^(1/32)-1,"")</f>
        <v/>
      </c>
    </row>
    <row r="38" spans="1:94" outlineLevel="1">
      <c r="A38" s="535" t="s">
        <v>255</v>
      </c>
      <c r="B38" s="535" t="s">
        <v>129</v>
      </c>
      <c r="C38" s="535" t="s">
        <v>328</v>
      </c>
      <c r="D38" s="535"/>
      <c r="E38" s="546" t="e">
        <f>IF(E26=base,E37, IF(E26=target,E37,#N/A))</f>
        <v>#N/A</v>
      </c>
      <c r="F38" s="541" t="e">
        <f t="shared" ref="F38:G38" si="87">IF(F34=base,F37, IF(F34=target,F37,#N/A))</f>
        <v>#N/A</v>
      </c>
      <c r="G38" s="541" t="e">
        <f t="shared" si="87"/>
        <v>#N/A</v>
      </c>
      <c r="H38" s="541" t="e">
        <f>IF(H26=base,H37, IF(H26=target,H37,#N/A))</f>
        <v>#N/A</v>
      </c>
      <c r="I38" s="541">
        <f t="shared" ref="I38:AN38" ca="1" si="88">IF(I26=base,I37, IF(I26=target,I37,#N/A))</f>
        <v>0</v>
      </c>
      <c r="J38" s="541" t="e">
        <f t="shared" si="88"/>
        <v>#N/A</v>
      </c>
      <c r="K38" s="541" t="e">
        <f t="shared" si="88"/>
        <v>#N/A</v>
      </c>
      <c r="L38" s="541" t="e">
        <f t="shared" si="88"/>
        <v>#N/A</v>
      </c>
      <c r="M38" s="541" t="e">
        <f t="shared" si="88"/>
        <v>#N/A</v>
      </c>
      <c r="N38" s="541" t="e">
        <f t="shared" si="88"/>
        <v>#N/A</v>
      </c>
      <c r="O38" s="541" t="e">
        <f t="shared" si="88"/>
        <v>#N/A</v>
      </c>
      <c r="P38" s="541" t="e">
        <f t="shared" si="88"/>
        <v>#N/A</v>
      </c>
      <c r="Q38" s="541" t="e">
        <f t="shared" si="88"/>
        <v>#N/A</v>
      </c>
      <c r="R38" s="541" t="e">
        <f t="shared" si="88"/>
        <v>#N/A</v>
      </c>
      <c r="S38" s="541" t="e">
        <f t="shared" si="88"/>
        <v>#N/A</v>
      </c>
      <c r="T38" s="541" t="e">
        <f t="shared" si="88"/>
        <v>#N/A</v>
      </c>
      <c r="U38" s="541" t="e">
        <f t="shared" si="88"/>
        <v>#N/A</v>
      </c>
      <c r="V38" s="541" t="e">
        <f t="shared" si="88"/>
        <v>#N/A</v>
      </c>
      <c r="W38" s="541" t="e">
        <f t="shared" si="88"/>
        <v>#N/A</v>
      </c>
      <c r="X38" s="541" t="e">
        <f t="shared" si="88"/>
        <v>#N/A</v>
      </c>
      <c r="Y38" s="541" t="e">
        <f>IF(Y26=base,Y37, IF(Y26=target,Y37,#N/A))</f>
        <v>#N/A</v>
      </c>
      <c r="Z38" s="541" t="e">
        <f t="shared" si="88"/>
        <v>#N/A</v>
      </c>
      <c r="AA38" s="541" t="e">
        <f t="shared" si="88"/>
        <v>#N/A</v>
      </c>
      <c r="AB38" s="541" t="e">
        <f t="shared" si="88"/>
        <v>#N/A</v>
      </c>
      <c r="AC38" s="541" t="e">
        <f t="shared" si="88"/>
        <v>#N/A</v>
      </c>
      <c r="AD38" s="541" t="e">
        <f t="shared" si="88"/>
        <v>#N/A</v>
      </c>
      <c r="AE38" s="541" t="e">
        <f t="shared" si="88"/>
        <v>#N/A</v>
      </c>
      <c r="AF38" s="541" t="e">
        <f t="shared" si="88"/>
        <v>#N/A</v>
      </c>
      <c r="AG38" s="541" t="e">
        <f t="shared" si="88"/>
        <v>#N/A</v>
      </c>
      <c r="AH38" s="541" t="e">
        <f t="shared" si="88"/>
        <v>#N/A</v>
      </c>
      <c r="AI38" s="541" t="e">
        <f t="shared" si="88"/>
        <v>#N/A</v>
      </c>
      <c r="AJ38" s="541" t="e">
        <f t="shared" si="88"/>
        <v>#N/A</v>
      </c>
      <c r="AK38" s="541" t="e">
        <f t="shared" si="88"/>
        <v>#N/A</v>
      </c>
      <c r="AL38" s="541" t="e">
        <f t="shared" si="88"/>
        <v>#N/A</v>
      </c>
      <c r="AM38" s="541" t="e">
        <f t="shared" si="88"/>
        <v>#N/A</v>
      </c>
      <c r="AN38" s="541" t="e">
        <f t="shared" si="88"/>
        <v>#N/A</v>
      </c>
      <c r="AO38" s="541">
        <f t="shared" ref="AO38:CL38" ca="1" si="89">IF(AO34=base,AO37, IF(AO34=target,AO37,#N/A))</f>
        <v>0</v>
      </c>
      <c r="AP38" s="541">
        <f t="shared" ca="1" si="89"/>
        <v>0</v>
      </c>
      <c r="AQ38" s="541">
        <f t="shared" ca="1" si="89"/>
        <v>0</v>
      </c>
      <c r="AR38" s="541">
        <f t="shared" ca="1" si="89"/>
        <v>0</v>
      </c>
      <c r="AS38" s="541">
        <f t="shared" ca="1" si="89"/>
        <v>0</v>
      </c>
      <c r="AT38" s="541">
        <f t="shared" ca="1" si="89"/>
        <v>0</v>
      </c>
      <c r="AU38" s="541">
        <f t="shared" ca="1" si="89"/>
        <v>0</v>
      </c>
      <c r="AV38" s="541">
        <f t="shared" ca="1" si="89"/>
        <v>0</v>
      </c>
      <c r="AW38" s="541">
        <f t="shared" ca="1" si="89"/>
        <v>0</v>
      </c>
      <c r="AX38" s="541">
        <f t="shared" ca="1" si="89"/>
        <v>0</v>
      </c>
      <c r="AY38" s="541">
        <f t="shared" ca="1" si="89"/>
        <v>0</v>
      </c>
      <c r="AZ38" s="541">
        <f t="shared" ca="1" si="89"/>
        <v>0</v>
      </c>
      <c r="BA38" s="541">
        <f t="shared" ca="1" si="89"/>
        <v>0</v>
      </c>
      <c r="BB38" s="541">
        <f t="shared" ca="1" si="89"/>
        <v>0</v>
      </c>
      <c r="BC38" s="541">
        <f t="shared" ca="1" si="89"/>
        <v>0</v>
      </c>
      <c r="BD38" s="541">
        <f t="shared" ca="1" si="89"/>
        <v>0</v>
      </c>
      <c r="BE38" s="541">
        <f t="shared" ca="1" si="89"/>
        <v>0</v>
      </c>
      <c r="BF38" s="541">
        <f t="shared" ca="1" si="89"/>
        <v>0</v>
      </c>
      <c r="BG38" s="541">
        <f t="shared" ca="1" si="89"/>
        <v>0</v>
      </c>
      <c r="BH38" s="541">
        <f t="shared" ca="1" si="89"/>
        <v>0</v>
      </c>
      <c r="BI38" s="541">
        <f t="shared" ca="1" si="89"/>
        <v>0</v>
      </c>
      <c r="BJ38" s="541">
        <f t="shared" ca="1" si="89"/>
        <v>0</v>
      </c>
      <c r="BK38" s="541">
        <f t="shared" ca="1" si="89"/>
        <v>0</v>
      </c>
      <c r="BL38" s="541">
        <f t="shared" ca="1" si="89"/>
        <v>0</v>
      </c>
      <c r="BM38" s="541">
        <f t="shared" ca="1" si="89"/>
        <v>0</v>
      </c>
      <c r="BN38" s="541">
        <f t="shared" ca="1" si="89"/>
        <v>0</v>
      </c>
      <c r="BO38" s="541">
        <f t="shared" ca="1" si="89"/>
        <v>0</v>
      </c>
      <c r="BP38" s="541">
        <f t="shared" ca="1" si="89"/>
        <v>0</v>
      </c>
      <c r="BQ38" s="541">
        <f t="shared" ca="1" si="89"/>
        <v>0</v>
      </c>
      <c r="BR38" s="541">
        <f t="shared" ca="1" si="89"/>
        <v>0</v>
      </c>
      <c r="BS38" s="541">
        <f t="shared" ca="1" si="89"/>
        <v>0</v>
      </c>
      <c r="BT38" s="541">
        <f t="shared" ca="1" si="89"/>
        <v>0</v>
      </c>
      <c r="BU38" s="541">
        <f t="shared" ca="1" si="89"/>
        <v>0</v>
      </c>
      <c r="BV38" s="541">
        <f t="shared" ca="1" si="89"/>
        <v>0</v>
      </c>
      <c r="BW38" s="541">
        <f t="shared" ca="1" si="89"/>
        <v>0</v>
      </c>
      <c r="BX38" s="541">
        <f t="shared" ca="1" si="89"/>
        <v>0</v>
      </c>
      <c r="BY38" s="541">
        <f t="shared" ca="1" si="89"/>
        <v>0</v>
      </c>
      <c r="BZ38" s="541">
        <f t="shared" ca="1" si="89"/>
        <v>0</v>
      </c>
      <c r="CA38" s="541">
        <f t="shared" ca="1" si="89"/>
        <v>0</v>
      </c>
      <c r="CB38" s="541">
        <f t="shared" ca="1" si="89"/>
        <v>0</v>
      </c>
      <c r="CC38" s="541">
        <f t="shared" ca="1" si="89"/>
        <v>0</v>
      </c>
      <c r="CD38" s="541">
        <f t="shared" ca="1" si="89"/>
        <v>0</v>
      </c>
      <c r="CE38" s="541">
        <f t="shared" ca="1" si="89"/>
        <v>0</v>
      </c>
      <c r="CF38" s="541">
        <f t="shared" ca="1" si="89"/>
        <v>0</v>
      </c>
      <c r="CG38" s="541">
        <f t="shared" ca="1" si="89"/>
        <v>0</v>
      </c>
      <c r="CH38" s="541">
        <f t="shared" ca="1" si="89"/>
        <v>0</v>
      </c>
      <c r="CI38" s="541">
        <f t="shared" ca="1" si="89"/>
        <v>0</v>
      </c>
      <c r="CJ38" s="541">
        <f t="shared" ca="1" si="89"/>
        <v>0</v>
      </c>
      <c r="CK38" s="541">
        <f t="shared" ca="1" si="89"/>
        <v>0</v>
      </c>
      <c r="CL38" s="541">
        <f t="shared" ca="1" si="89"/>
        <v>0</v>
      </c>
      <c r="CN38" s="620" t="str">
        <f>IFERROR((Y38/H38)^(1/17)-1,"")</f>
        <v/>
      </c>
      <c r="CO38" s="620" t="str">
        <f>IFERROR((AN38/Y38)^(1/15)-1,"")</f>
        <v/>
      </c>
      <c r="CP38" s="620" t="str">
        <f>IFERROR((AN38/H38)^(1/32)-1,"")</f>
        <v/>
      </c>
    </row>
    <row r="39" spans="1:94" outlineLevel="1">
      <c r="A39" s="538" t="s">
        <v>255</v>
      </c>
      <c r="B39" s="538" t="s">
        <v>257</v>
      </c>
      <c r="C39" s="538" t="s">
        <v>329</v>
      </c>
      <c r="D39" s="538" t="s">
        <v>330</v>
      </c>
      <c r="E39" s="539">
        <f>IFERROR((E37*E33)/1000,0)</f>
        <v>0</v>
      </c>
      <c r="F39" s="540">
        <f t="shared" ref="F39:G39" si="90">IFERROR((F37*F33)/1000,0)</f>
        <v>0</v>
      </c>
      <c r="G39" s="540">
        <f t="shared" si="90"/>
        <v>0</v>
      </c>
      <c r="H39" s="540">
        <f>IFERROR((H37*H33)/1000,0)</f>
        <v>0</v>
      </c>
      <c r="I39" s="540">
        <f ca="1">IFERROR((I37*I33)/1000,0)</f>
        <v>0</v>
      </c>
      <c r="J39" s="540">
        <f t="shared" ref="J39:BU39" si="91">IFERROR((J37*J33)/1000,0)</f>
        <v>0</v>
      </c>
      <c r="K39" s="540">
        <f t="shared" si="91"/>
        <v>0</v>
      </c>
      <c r="L39" s="540">
        <f t="shared" si="91"/>
        <v>0</v>
      </c>
      <c r="M39" s="540">
        <f t="shared" ca="1" si="91"/>
        <v>0</v>
      </c>
      <c r="N39" s="540">
        <f t="shared" ca="1" si="91"/>
        <v>0</v>
      </c>
      <c r="O39" s="540">
        <f t="shared" ca="1" si="91"/>
        <v>0</v>
      </c>
      <c r="P39" s="540">
        <f t="shared" ca="1" si="91"/>
        <v>0</v>
      </c>
      <c r="Q39" s="540">
        <f t="shared" ca="1" si="91"/>
        <v>0</v>
      </c>
      <c r="R39" s="540">
        <f t="shared" ca="1" si="91"/>
        <v>0</v>
      </c>
      <c r="S39" s="540">
        <f t="shared" ca="1" si="91"/>
        <v>0</v>
      </c>
      <c r="T39" s="540">
        <f t="shared" ca="1" si="91"/>
        <v>0</v>
      </c>
      <c r="U39" s="540">
        <f t="shared" ca="1" si="91"/>
        <v>0</v>
      </c>
      <c r="V39" s="540">
        <f t="shared" ca="1" si="91"/>
        <v>0</v>
      </c>
      <c r="W39" s="540">
        <f t="shared" ca="1" si="91"/>
        <v>0</v>
      </c>
      <c r="X39" s="540">
        <f t="shared" ca="1" si="91"/>
        <v>0</v>
      </c>
      <c r="Y39" s="540">
        <f t="shared" ca="1" si="91"/>
        <v>0</v>
      </c>
      <c r="Z39" s="540">
        <f t="shared" ca="1" si="91"/>
        <v>0</v>
      </c>
      <c r="AA39" s="540">
        <f t="shared" ca="1" si="91"/>
        <v>0</v>
      </c>
      <c r="AB39" s="540">
        <f t="shared" ca="1" si="91"/>
        <v>0</v>
      </c>
      <c r="AC39" s="540">
        <f t="shared" ca="1" si="91"/>
        <v>0</v>
      </c>
      <c r="AD39" s="540">
        <f t="shared" ca="1" si="91"/>
        <v>0</v>
      </c>
      <c r="AE39" s="540">
        <f t="shared" ca="1" si="91"/>
        <v>0</v>
      </c>
      <c r="AF39" s="540">
        <f t="shared" ca="1" si="91"/>
        <v>0</v>
      </c>
      <c r="AG39" s="540">
        <f t="shared" ca="1" si="91"/>
        <v>0</v>
      </c>
      <c r="AH39" s="540">
        <f t="shared" ca="1" si="91"/>
        <v>0</v>
      </c>
      <c r="AI39" s="540">
        <f t="shared" ca="1" si="91"/>
        <v>0</v>
      </c>
      <c r="AJ39" s="540">
        <f t="shared" ca="1" si="91"/>
        <v>0</v>
      </c>
      <c r="AK39" s="540">
        <f t="shared" ca="1" si="91"/>
        <v>0</v>
      </c>
      <c r="AL39" s="540">
        <f t="shared" ca="1" si="91"/>
        <v>0</v>
      </c>
      <c r="AM39" s="540">
        <f t="shared" ca="1" si="91"/>
        <v>0</v>
      </c>
      <c r="AN39" s="540">
        <f t="shared" ca="1" si="91"/>
        <v>0</v>
      </c>
      <c r="AO39" s="540">
        <f t="shared" ca="1" si="91"/>
        <v>0</v>
      </c>
      <c r="AP39" s="540">
        <f t="shared" ca="1" si="91"/>
        <v>0</v>
      </c>
      <c r="AQ39" s="540">
        <f t="shared" ca="1" si="91"/>
        <v>0</v>
      </c>
      <c r="AR39" s="540">
        <f t="shared" ca="1" si="91"/>
        <v>0</v>
      </c>
      <c r="AS39" s="540">
        <f t="shared" ca="1" si="91"/>
        <v>0</v>
      </c>
      <c r="AT39" s="540">
        <f t="shared" ca="1" si="91"/>
        <v>0</v>
      </c>
      <c r="AU39" s="540">
        <f t="shared" ca="1" si="91"/>
        <v>0</v>
      </c>
      <c r="AV39" s="540">
        <f t="shared" ca="1" si="91"/>
        <v>0</v>
      </c>
      <c r="AW39" s="540">
        <f t="shared" ca="1" si="91"/>
        <v>0</v>
      </c>
      <c r="AX39" s="540">
        <f t="shared" ca="1" si="91"/>
        <v>0</v>
      </c>
      <c r="AY39" s="540">
        <f t="shared" ca="1" si="91"/>
        <v>0</v>
      </c>
      <c r="AZ39" s="540">
        <f t="shared" ca="1" si="91"/>
        <v>0</v>
      </c>
      <c r="BA39" s="540">
        <f t="shared" ca="1" si="91"/>
        <v>0</v>
      </c>
      <c r="BB39" s="540">
        <f t="shared" ca="1" si="91"/>
        <v>0</v>
      </c>
      <c r="BC39" s="540">
        <f t="shared" ca="1" si="91"/>
        <v>0</v>
      </c>
      <c r="BD39" s="540">
        <f t="shared" ca="1" si="91"/>
        <v>0</v>
      </c>
      <c r="BE39" s="540">
        <f t="shared" ca="1" si="91"/>
        <v>0</v>
      </c>
      <c r="BF39" s="540">
        <f t="shared" ca="1" si="91"/>
        <v>0</v>
      </c>
      <c r="BG39" s="540">
        <f t="shared" ca="1" si="91"/>
        <v>0</v>
      </c>
      <c r="BH39" s="540">
        <f t="shared" ca="1" si="91"/>
        <v>0</v>
      </c>
      <c r="BI39" s="540">
        <f t="shared" ca="1" si="91"/>
        <v>0</v>
      </c>
      <c r="BJ39" s="540">
        <f t="shared" ca="1" si="91"/>
        <v>0</v>
      </c>
      <c r="BK39" s="540">
        <f t="shared" ca="1" si="91"/>
        <v>0</v>
      </c>
      <c r="BL39" s="540">
        <f t="shared" ca="1" si="91"/>
        <v>0</v>
      </c>
      <c r="BM39" s="540">
        <f t="shared" ca="1" si="91"/>
        <v>0</v>
      </c>
      <c r="BN39" s="540">
        <f t="shared" ca="1" si="91"/>
        <v>0</v>
      </c>
      <c r="BO39" s="540">
        <f t="shared" ca="1" si="91"/>
        <v>0</v>
      </c>
      <c r="BP39" s="540">
        <f t="shared" ca="1" si="91"/>
        <v>0</v>
      </c>
      <c r="BQ39" s="540">
        <f t="shared" ca="1" si="91"/>
        <v>0</v>
      </c>
      <c r="BR39" s="540">
        <f t="shared" ca="1" si="91"/>
        <v>0</v>
      </c>
      <c r="BS39" s="540">
        <f t="shared" ca="1" si="91"/>
        <v>0</v>
      </c>
      <c r="BT39" s="540">
        <f t="shared" ca="1" si="91"/>
        <v>0</v>
      </c>
      <c r="BU39" s="540">
        <f t="shared" ca="1" si="91"/>
        <v>0</v>
      </c>
      <c r="BV39" s="540">
        <f t="shared" ref="BV39:CL39" ca="1" si="92">IFERROR((BV37*BV33)/1000,0)</f>
        <v>0</v>
      </c>
      <c r="BW39" s="540">
        <f t="shared" ca="1" si="92"/>
        <v>0</v>
      </c>
      <c r="BX39" s="540">
        <f t="shared" ca="1" si="92"/>
        <v>0</v>
      </c>
      <c r="BY39" s="540">
        <f t="shared" ca="1" si="92"/>
        <v>0</v>
      </c>
      <c r="BZ39" s="540">
        <f t="shared" ca="1" si="92"/>
        <v>0</v>
      </c>
      <c r="CA39" s="540">
        <f t="shared" ca="1" si="92"/>
        <v>0</v>
      </c>
      <c r="CB39" s="540">
        <f t="shared" ca="1" si="92"/>
        <v>0</v>
      </c>
      <c r="CC39" s="540">
        <f t="shared" ca="1" si="92"/>
        <v>0</v>
      </c>
      <c r="CD39" s="540">
        <f t="shared" ca="1" si="92"/>
        <v>0</v>
      </c>
      <c r="CE39" s="540">
        <f t="shared" ca="1" si="92"/>
        <v>0</v>
      </c>
      <c r="CF39" s="540">
        <f t="shared" ca="1" si="92"/>
        <v>0</v>
      </c>
      <c r="CG39" s="540">
        <f t="shared" ca="1" si="92"/>
        <v>0</v>
      </c>
      <c r="CH39" s="540">
        <f t="shared" ca="1" si="92"/>
        <v>0</v>
      </c>
      <c r="CI39" s="540">
        <f t="shared" ca="1" si="92"/>
        <v>0</v>
      </c>
      <c r="CJ39" s="540">
        <f t="shared" ca="1" si="92"/>
        <v>0</v>
      </c>
      <c r="CK39" s="540">
        <f t="shared" ca="1" si="92"/>
        <v>0</v>
      </c>
      <c r="CL39" s="540">
        <f t="shared" ca="1" si="92"/>
        <v>0</v>
      </c>
      <c r="CN39" s="619" t="str">
        <f ca="1">IFERROR((Y39/H39)^(1/17)-1,"")</f>
        <v/>
      </c>
      <c r="CO39" s="619" t="str">
        <f ca="1">IFERROR((AN39/Y39)^(1/15)-1,"")</f>
        <v/>
      </c>
      <c r="CP39" s="619" t="str">
        <f ca="1">IFERROR((AN39/H39)^(1/32)-1,"")</f>
        <v/>
      </c>
    </row>
    <row r="40" spans="1:94" outlineLevel="1">
      <c r="A40" s="547" t="s">
        <v>382</v>
      </c>
      <c r="B40" s="547" t="s">
        <v>384</v>
      </c>
      <c r="C40" s="547"/>
      <c r="D40" s="547"/>
      <c r="E40" s="548" t="e">
        <f t="shared" ref="E40:AN40" si="93">IF($B$6="ON",IF(E26=covid_start-1,E29,IF(E26=covid_recovery,E29,IF(E26&gt;=covid_start,IF(E26&lt;covid_recovery,D40-(INDEX($E26:$CH39,4,MATCH(covid_start-1,$E26:$CL26,0))-INDEX($E26:$CL39,4,MATCH(covid_recovery,$E26:$CL26,0)))/(covid_recovery-covid_start+1),NA()),NA()))),NA())</f>
        <v>#N/A</v>
      </c>
      <c r="F40" s="548" t="e">
        <f t="shared" si="93"/>
        <v>#N/A</v>
      </c>
      <c r="G40" s="548" t="e">
        <f t="shared" si="93"/>
        <v>#N/A</v>
      </c>
      <c r="H40" s="548" t="e">
        <f t="shared" si="93"/>
        <v>#N/A</v>
      </c>
      <c r="I40" s="548">
        <f t="shared" ca="1" si="93"/>
        <v>584.95599084340938</v>
      </c>
      <c r="J40" s="548">
        <f t="shared" ca="1" si="93"/>
        <v>566.07026729921654</v>
      </c>
      <c r="K40" s="548">
        <f t="shared" ca="1" si="93"/>
        <v>547.1845437550237</v>
      </c>
      <c r="L40" s="548">
        <f t="shared" ca="1" si="93"/>
        <v>528.29882021083085</v>
      </c>
      <c r="M40" s="548">
        <f t="shared" ca="1" si="93"/>
        <v>509.41309666663813</v>
      </c>
      <c r="N40" s="548" t="e">
        <f t="shared" si="93"/>
        <v>#N/A</v>
      </c>
      <c r="O40" s="548" t="e">
        <f t="shared" si="93"/>
        <v>#N/A</v>
      </c>
      <c r="P40" s="548" t="e">
        <f t="shared" si="93"/>
        <v>#N/A</v>
      </c>
      <c r="Q40" s="548" t="e">
        <f t="shared" si="93"/>
        <v>#N/A</v>
      </c>
      <c r="R40" s="548" t="e">
        <f t="shared" si="93"/>
        <v>#N/A</v>
      </c>
      <c r="S40" s="548" t="e">
        <f t="shared" si="93"/>
        <v>#N/A</v>
      </c>
      <c r="T40" s="548" t="e">
        <f t="shared" si="93"/>
        <v>#N/A</v>
      </c>
      <c r="U40" s="548" t="e">
        <f t="shared" si="93"/>
        <v>#N/A</v>
      </c>
      <c r="V40" s="548" t="e">
        <f t="shared" si="93"/>
        <v>#N/A</v>
      </c>
      <c r="W40" s="548" t="e">
        <f t="shared" si="93"/>
        <v>#N/A</v>
      </c>
      <c r="X40" s="548" t="e">
        <f t="shared" si="93"/>
        <v>#N/A</v>
      </c>
      <c r="Y40" s="548" t="e">
        <f t="shared" si="93"/>
        <v>#N/A</v>
      </c>
      <c r="Z40" s="548" t="e">
        <f t="shared" si="93"/>
        <v>#N/A</v>
      </c>
      <c r="AA40" s="548" t="e">
        <f t="shared" si="93"/>
        <v>#N/A</v>
      </c>
      <c r="AB40" s="548" t="e">
        <f t="shared" si="93"/>
        <v>#N/A</v>
      </c>
      <c r="AC40" s="548" t="e">
        <f t="shared" si="93"/>
        <v>#N/A</v>
      </c>
      <c r="AD40" s="548" t="e">
        <f t="shared" si="93"/>
        <v>#N/A</v>
      </c>
      <c r="AE40" s="548" t="e">
        <f t="shared" si="93"/>
        <v>#N/A</v>
      </c>
      <c r="AF40" s="548" t="e">
        <f t="shared" si="93"/>
        <v>#N/A</v>
      </c>
      <c r="AG40" s="548" t="e">
        <f t="shared" si="93"/>
        <v>#N/A</v>
      </c>
      <c r="AH40" s="548" t="e">
        <f t="shared" si="93"/>
        <v>#N/A</v>
      </c>
      <c r="AI40" s="548" t="e">
        <f t="shared" si="93"/>
        <v>#N/A</v>
      </c>
      <c r="AJ40" s="548" t="e">
        <f t="shared" si="93"/>
        <v>#N/A</v>
      </c>
      <c r="AK40" s="548" t="e">
        <f t="shared" si="93"/>
        <v>#N/A</v>
      </c>
      <c r="AL40" s="548" t="e">
        <f t="shared" si="93"/>
        <v>#N/A</v>
      </c>
      <c r="AM40" s="548" t="e">
        <f t="shared" si="93"/>
        <v>#N/A</v>
      </c>
      <c r="AN40" s="548" t="e">
        <f t="shared" si="93"/>
        <v>#N/A</v>
      </c>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N40" s="621" t="str">
        <f t="shared" si="70"/>
        <v/>
      </c>
      <c r="CO40" s="621" t="str">
        <f t="shared" si="71"/>
        <v/>
      </c>
      <c r="CP40" s="621" t="str">
        <f t="shared" si="72"/>
        <v/>
      </c>
    </row>
    <row r="41" spans="1:94" outlineLevel="1">
      <c r="A41" s="535" t="s">
        <v>383</v>
      </c>
      <c r="B41" s="535" t="s">
        <v>384</v>
      </c>
      <c r="C41" s="535"/>
      <c r="D41" s="535"/>
      <c r="E41" s="541" t="e">
        <f t="shared" ref="E41:AN41" si="94">IF($B$6="ON",IF(E26=covid_start-1,E37,IF(E26=covid_recovery,E37,IF(E26&gt;=covid_start,IF(E26&lt;covid_recovery,D41-(INDEX($E26:$CH39,12,MATCH(covid_start-1,$E26:$CL26,0))-INDEX($E26:$CL39,12,MATCH(covid_recovery,$E26:$CL26,0)))/(covid_recovery-covid_start+1),NA()),NA()))),NA())</f>
        <v>#N/A</v>
      </c>
      <c r="F41" s="541" t="e">
        <f t="shared" si="94"/>
        <v>#N/A</v>
      </c>
      <c r="G41" s="541" t="e">
        <f t="shared" si="94"/>
        <v>#N/A</v>
      </c>
      <c r="H41" s="541" t="e">
        <f t="shared" si="94"/>
        <v>#N/A</v>
      </c>
      <c r="I41" s="541">
        <f t="shared" ca="1" si="94"/>
        <v>0</v>
      </c>
      <c r="J41" s="541">
        <f t="shared" ca="1" si="94"/>
        <v>0</v>
      </c>
      <c r="K41" s="541">
        <f t="shared" ca="1" si="94"/>
        <v>0</v>
      </c>
      <c r="L41" s="541">
        <f t="shared" ca="1" si="94"/>
        <v>0</v>
      </c>
      <c r="M41" s="541">
        <f t="shared" ca="1" si="94"/>
        <v>0</v>
      </c>
      <c r="N41" s="541" t="e">
        <f t="shared" si="94"/>
        <v>#N/A</v>
      </c>
      <c r="O41" s="541" t="e">
        <f t="shared" si="94"/>
        <v>#N/A</v>
      </c>
      <c r="P41" s="541" t="e">
        <f t="shared" si="94"/>
        <v>#N/A</v>
      </c>
      <c r="Q41" s="541" t="e">
        <f t="shared" si="94"/>
        <v>#N/A</v>
      </c>
      <c r="R41" s="541" t="e">
        <f t="shared" si="94"/>
        <v>#N/A</v>
      </c>
      <c r="S41" s="541" t="e">
        <f t="shared" si="94"/>
        <v>#N/A</v>
      </c>
      <c r="T41" s="541" t="e">
        <f t="shared" si="94"/>
        <v>#N/A</v>
      </c>
      <c r="U41" s="541" t="e">
        <f t="shared" si="94"/>
        <v>#N/A</v>
      </c>
      <c r="V41" s="541" t="e">
        <f t="shared" si="94"/>
        <v>#N/A</v>
      </c>
      <c r="W41" s="541" t="e">
        <f t="shared" si="94"/>
        <v>#N/A</v>
      </c>
      <c r="X41" s="541" t="e">
        <f t="shared" si="94"/>
        <v>#N/A</v>
      </c>
      <c r="Y41" s="541" t="e">
        <f t="shared" si="94"/>
        <v>#N/A</v>
      </c>
      <c r="Z41" s="541" t="e">
        <f t="shared" si="94"/>
        <v>#N/A</v>
      </c>
      <c r="AA41" s="541" t="e">
        <f t="shared" si="94"/>
        <v>#N/A</v>
      </c>
      <c r="AB41" s="541" t="e">
        <f t="shared" si="94"/>
        <v>#N/A</v>
      </c>
      <c r="AC41" s="541" t="e">
        <f t="shared" si="94"/>
        <v>#N/A</v>
      </c>
      <c r="AD41" s="541" t="e">
        <f t="shared" si="94"/>
        <v>#N/A</v>
      </c>
      <c r="AE41" s="541" t="e">
        <f t="shared" si="94"/>
        <v>#N/A</v>
      </c>
      <c r="AF41" s="541" t="e">
        <f t="shared" si="94"/>
        <v>#N/A</v>
      </c>
      <c r="AG41" s="541" t="e">
        <f t="shared" si="94"/>
        <v>#N/A</v>
      </c>
      <c r="AH41" s="541" t="e">
        <f t="shared" si="94"/>
        <v>#N/A</v>
      </c>
      <c r="AI41" s="541" t="e">
        <f t="shared" si="94"/>
        <v>#N/A</v>
      </c>
      <c r="AJ41" s="541" t="e">
        <f t="shared" si="94"/>
        <v>#N/A</v>
      </c>
      <c r="AK41" s="541" t="e">
        <f t="shared" si="94"/>
        <v>#N/A</v>
      </c>
      <c r="AL41" s="541" t="e">
        <f t="shared" si="94"/>
        <v>#N/A</v>
      </c>
      <c r="AM41" s="541" t="e">
        <f t="shared" si="94"/>
        <v>#N/A</v>
      </c>
      <c r="AN41" s="541" t="e">
        <f t="shared" si="94"/>
        <v>#N/A</v>
      </c>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N41" s="620" t="str">
        <f t="shared" si="70"/>
        <v/>
      </c>
      <c r="CO41" s="620" t="str">
        <f t="shared" si="71"/>
        <v/>
      </c>
      <c r="CP41" s="620" t="str">
        <f t="shared" si="72"/>
        <v/>
      </c>
    </row>
    <row r="42" spans="1:94" ht="16.5" thickBot="1">
      <c r="A42" s="525" t="s">
        <v>112</v>
      </c>
      <c r="B42" s="525"/>
      <c r="C42" s="525"/>
      <c r="D42" s="525"/>
      <c r="E42" s="527">
        <v>2015</v>
      </c>
      <c r="F42" s="528">
        <f>E42+1</f>
        <v>2016</v>
      </c>
      <c r="G42" s="528">
        <f t="shared" ref="G42:I42" si="95">F42+1</f>
        <v>2017</v>
      </c>
      <c r="H42" s="528">
        <f t="shared" si="95"/>
        <v>2018</v>
      </c>
      <c r="I42" s="528">
        <f t="shared" si="95"/>
        <v>2019</v>
      </c>
      <c r="J42" s="528">
        <f>E42+5</f>
        <v>2020</v>
      </c>
      <c r="K42" s="528">
        <f>J42+1</f>
        <v>2021</v>
      </c>
      <c r="L42" s="528">
        <f t="shared" ref="L42:N42" si="96">K42+1</f>
        <v>2022</v>
      </c>
      <c r="M42" s="528">
        <f t="shared" si="96"/>
        <v>2023</v>
      </c>
      <c r="N42" s="528">
        <f t="shared" si="96"/>
        <v>2024</v>
      </c>
      <c r="O42" s="528">
        <f>J42+5</f>
        <v>2025</v>
      </c>
      <c r="P42" s="528">
        <f>O42+1</f>
        <v>2026</v>
      </c>
      <c r="Q42" s="528">
        <f t="shared" ref="Q42:S42" si="97">P42+1</f>
        <v>2027</v>
      </c>
      <c r="R42" s="528">
        <f t="shared" si="97"/>
        <v>2028</v>
      </c>
      <c r="S42" s="528">
        <f t="shared" si="97"/>
        <v>2029</v>
      </c>
      <c r="T42" s="528">
        <f>O42+5</f>
        <v>2030</v>
      </c>
      <c r="U42" s="528">
        <f>T42+1</f>
        <v>2031</v>
      </c>
      <c r="V42" s="528">
        <f t="shared" ref="V42:X42" si="98">U42+1</f>
        <v>2032</v>
      </c>
      <c r="W42" s="528">
        <f t="shared" si="98"/>
        <v>2033</v>
      </c>
      <c r="X42" s="528">
        <f t="shared" si="98"/>
        <v>2034</v>
      </c>
      <c r="Y42" s="528">
        <f>T42+5</f>
        <v>2035</v>
      </c>
      <c r="Z42" s="528">
        <f>Y42+1</f>
        <v>2036</v>
      </c>
      <c r="AA42" s="528">
        <f t="shared" ref="AA42:AC42" si="99">Z42+1</f>
        <v>2037</v>
      </c>
      <c r="AB42" s="528">
        <f t="shared" si="99"/>
        <v>2038</v>
      </c>
      <c r="AC42" s="528">
        <f t="shared" si="99"/>
        <v>2039</v>
      </c>
      <c r="AD42" s="528">
        <f>Y42+5</f>
        <v>2040</v>
      </c>
      <c r="AE42" s="528">
        <f>AD42+1</f>
        <v>2041</v>
      </c>
      <c r="AF42" s="528">
        <f t="shared" ref="AF42:AH42" si="100">AE42+1</f>
        <v>2042</v>
      </c>
      <c r="AG42" s="528">
        <f t="shared" si="100"/>
        <v>2043</v>
      </c>
      <c r="AH42" s="528">
        <f t="shared" si="100"/>
        <v>2044</v>
      </c>
      <c r="AI42" s="528">
        <f>AD42+5</f>
        <v>2045</v>
      </c>
      <c r="AJ42" s="528">
        <f>AI42+1</f>
        <v>2046</v>
      </c>
      <c r="AK42" s="528">
        <f t="shared" ref="AK42:AM42" si="101">AJ42+1</f>
        <v>2047</v>
      </c>
      <c r="AL42" s="528">
        <f t="shared" si="101"/>
        <v>2048</v>
      </c>
      <c r="AM42" s="528">
        <f t="shared" si="101"/>
        <v>2049</v>
      </c>
      <c r="AN42" s="528">
        <f>AI42+5</f>
        <v>2050</v>
      </c>
      <c r="AO42" s="528">
        <f>AN42+1</f>
        <v>2051</v>
      </c>
      <c r="AP42" s="528">
        <f t="shared" ref="AP42:AR42" si="102">AO42+1</f>
        <v>2052</v>
      </c>
      <c r="AQ42" s="528">
        <f t="shared" si="102"/>
        <v>2053</v>
      </c>
      <c r="AR42" s="528">
        <f t="shared" si="102"/>
        <v>2054</v>
      </c>
      <c r="AS42" s="528">
        <f>AN42+5</f>
        <v>2055</v>
      </c>
      <c r="AT42" s="528">
        <f>AS42+1</f>
        <v>2056</v>
      </c>
      <c r="AU42" s="528">
        <f t="shared" ref="AU42:AW42" si="103">AT42+1</f>
        <v>2057</v>
      </c>
      <c r="AV42" s="528">
        <f t="shared" si="103"/>
        <v>2058</v>
      </c>
      <c r="AW42" s="528">
        <f t="shared" si="103"/>
        <v>2059</v>
      </c>
      <c r="AX42" s="528">
        <f>AS42+5</f>
        <v>2060</v>
      </c>
      <c r="AY42" s="528">
        <f>AX42+1</f>
        <v>2061</v>
      </c>
      <c r="AZ42" s="528">
        <f t="shared" ref="AZ42:BB42" si="104">AY42+1</f>
        <v>2062</v>
      </c>
      <c r="BA42" s="528">
        <f t="shared" si="104"/>
        <v>2063</v>
      </c>
      <c r="BB42" s="528">
        <f t="shared" si="104"/>
        <v>2064</v>
      </c>
      <c r="BC42" s="528">
        <f>AX42+5</f>
        <v>2065</v>
      </c>
      <c r="BD42" s="528">
        <f>BC42+1</f>
        <v>2066</v>
      </c>
      <c r="BE42" s="528">
        <f t="shared" ref="BE42:BG42" si="105">BD42+1</f>
        <v>2067</v>
      </c>
      <c r="BF42" s="528">
        <f t="shared" si="105"/>
        <v>2068</v>
      </c>
      <c r="BG42" s="528">
        <f t="shared" si="105"/>
        <v>2069</v>
      </c>
      <c r="BH42" s="528">
        <f>BC42+5</f>
        <v>2070</v>
      </c>
      <c r="BI42" s="528">
        <f>BH42+1</f>
        <v>2071</v>
      </c>
      <c r="BJ42" s="528">
        <f t="shared" ref="BJ42:BL42" si="106">BI42+1</f>
        <v>2072</v>
      </c>
      <c r="BK42" s="528">
        <f t="shared" si="106"/>
        <v>2073</v>
      </c>
      <c r="BL42" s="528">
        <f t="shared" si="106"/>
        <v>2074</v>
      </c>
      <c r="BM42" s="528">
        <f>BH42+5</f>
        <v>2075</v>
      </c>
      <c r="BN42" s="528">
        <f>BM42+1</f>
        <v>2076</v>
      </c>
      <c r="BO42" s="528">
        <f t="shared" ref="BO42:BQ42" si="107">BN42+1</f>
        <v>2077</v>
      </c>
      <c r="BP42" s="528">
        <f t="shared" si="107"/>
        <v>2078</v>
      </c>
      <c r="BQ42" s="528">
        <f t="shared" si="107"/>
        <v>2079</v>
      </c>
      <c r="BR42" s="528">
        <f>BM42+5</f>
        <v>2080</v>
      </c>
      <c r="BS42" s="528">
        <f>BR42+1</f>
        <v>2081</v>
      </c>
      <c r="BT42" s="528">
        <f t="shared" ref="BT42:BV42" si="108">BS42+1</f>
        <v>2082</v>
      </c>
      <c r="BU42" s="528">
        <f t="shared" si="108"/>
        <v>2083</v>
      </c>
      <c r="BV42" s="528">
        <f t="shared" si="108"/>
        <v>2084</v>
      </c>
      <c r="BW42" s="528">
        <f>BR42+5</f>
        <v>2085</v>
      </c>
      <c r="BX42" s="528">
        <f>BW42+1</f>
        <v>2086</v>
      </c>
      <c r="BY42" s="528">
        <f t="shared" ref="BY42:CA42" si="109">BX42+1</f>
        <v>2087</v>
      </c>
      <c r="BZ42" s="528">
        <f t="shared" si="109"/>
        <v>2088</v>
      </c>
      <c r="CA42" s="528">
        <f t="shared" si="109"/>
        <v>2089</v>
      </c>
      <c r="CB42" s="528">
        <f>BW42+5</f>
        <v>2090</v>
      </c>
      <c r="CC42" s="528">
        <f>CB42+1</f>
        <v>2091</v>
      </c>
      <c r="CD42" s="528">
        <f t="shared" ref="CD42:CF42" si="110">CC42+1</f>
        <v>2092</v>
      </c>
      <c r="CE42" s="528">
        <f t="shared" si="110"/>
        <v>2093</v>
      </c>
      <c r="CF42" s="528">
        <f t="shared" si="110"/>
        <v>2094</v>
      </c>
      <c r="CG42" s="528">
        <f>CB42+5</f>
        <v>2095</v>
      </c>
      <c r="CH42" s="528">
        <f>CG42+1</f>
        <v>2096</v>
      </c>
      <c r="CI42" s="528">
        <f t="shared" ref="CI42:CK42" si="111">CH42+1</f>
        <v>2097</v>
      </c>
      <c r="CJ42" s="528">
        <f t="shared" si="111"/>
        <v>2098</v>
      </c>
      <c r="CK42" s="528">
        <f t="shared" si="111"/>
        <v>2099</v>
      </c>
      <c r="CL42" s="528">
        <f>CG42+5</f>
        <v>2100</v>
      </c>
      <c r="CN42" s="612" t="s">
        <v>409</v>
      </c>
      <c r="CO42" s="612" t="s">
        <v>411</v>
      </c>
      <c r="CP42" s="612" t="s">
        <v>410</v>
      </c>
    </row>
    <row r="43" spans="1:94" ht="16.5" outlineLevel="1" thickTop="1">
      <c r="A43" s="529" t="s">
        <v>152</v>
      </c>
      <c r="B43" s="529" t="str">
        <f>$A$42</f>
        <v>Belly</v>
      </c>
      <c r="C43" s="530" t="s">
        <v>261</v>
      </c>
      <c r="D43" s="530"/>
      <c r="E43" s="531">
        <f ca="1">IF($B$6="ON", IF(E42&gt;=covid_start, IF(E42&lt;covid_recovery,NA(),SUMIFS(INDIRECT("Data_main"&amp;"["&amp;E$8&amp;"]"),Data_main[Data],$A43, Data_main[Segment],$B43, Data_main[Scenario],$B$3)),SUMIFS(INDIRECT("Data_main"&amp;"["&amp;E$8&amp;"]"),Data_main[Data],$A43, Data_main[Segment],$B43, Data_main[Scenario],$B$3)),SUMIFS(INDIRECT("Data_main"&amp;"["&amp;E$8&amp;"]"),Data_main[Data],$A43, Data_main[Segment],$B43, Data_main[Scenario],$B$3))</f>
        <v>70.822815415804456</v>
      </c>
      <c r="F43" s="531">
        <f ca="1">IF($B$6="ON", IF(F42&gt;=covid_start, IF(F42&lt;covid_recovery,NA(),SUMIFS(INDIRECT("Data_main"&amp;"["&amp;F$8&amp;"]"),Data_main[Data],$A43, Data_main[Segment],$B43, Data_main[Scenario],$B$3)),SUMIFS(INDIRECT("Data_main"&amp;"["&amp;F$8&amp;"]"),Data_main[Data],$A43, Data_main[Segment],$B43, Data_main[Scenario],$B$3)),SUMIFS(INDIRECT("Data_main"&amp;"["&amp;F$8&amp;"]"),Data_main[Data],$A43, Data_main[Segment],$B43, Data_main[Scenario],$B$3))</f>
        <v>74.528335149182837</v>
      </c>
      <c r="G43" s="531">
        <f ca="1">IF($B$6="ON", IF(G42&gt;=covid_start, IF(G42&lt;covid_recovery,NA(),SUMIFS(INDIRECT("Data_main"&amp;"["&amp;G$8&amp;"]"),Data_main[Data],$A43, Data_main[Segment],$B43, Data_main[Scenario],$B$3)),SUMIFS(INDIRECT("Data_main"&amp;"["&amp;G$8&amp;"]"),Data_main[Data],$A43, Data_main[Segment],$B43, Data_main[Scenario],$B$3)),SUMIFS(INDIRECT("Data_main"&amp;"["&amp;G$8&amp;"]"),Data_main[Data],$A43, Data_main[Segment],$B43, Data_main[Scenario],$B$3))</f>
        <v>78.233854882561218</v>
      </c>
      <c r="H43" s="531">
        <f ca="1">IF($B$6="ON", IF(H42&gt;=covid_start, IF(H42&lt;covid_recovery,NA(),SUMIFS(INDIRECT("Data_main"&amp;"["&amp;H$8&amp;"]"),Data_main[Data],$A43, Data_main[Segment],$B43, Data_main[Scenario],$B$3)),SUMIFS(INDIRECT("Data_main"&amp;"["&amp;H$8&amp;"]"),Data_main[Data],$A43, Data_main[Segment],$B43, Data_main[Scenario],$B$3)),SUMIFS(INDIRECT("Data_main"&amp;"["&amp;H$8&amp;"]"),Data_main[Data],$A43, Data_main[Segment],$B43, Data_main[Scenario],$B$3))</f>
        <v>81.939374615939613</v>
      </c>
      <c r="I43" s="531">
        <f ca="1">IF($B$6="ON", IF(I42&gt;=covid_start, IF(I42&lt;covid_recovery,NA(),SUMIFS(INDIRECT("Data_main"&amp;"["&amp;I$8&amp;"]"),Data_main[Data],$A43, Data_main[Segment],$B43, Data_main[Scenario],$B$3)),SUMIFS(INDIRECT("Data_main"&amp;"["&amp;I$8&amp;"]"),Data_main[Data],$A43, Data_main[Segment],$B43, Data_main[Scenario],$B$3)),SUMIFS(INDIRECT("Data_main"&amp;"["&amp;I$8&amp;"]"),Data_main[Data],$A43, Data_main[Segment],$B43, Data_main[Scenario],$B$3))</f>
        <v>83.929209607292663</v>
      </c>
      <c r="J43" s="531" t="e">
        <f ca="1">IF($B$6="ON", IF(J42&gt;=covid_start, IF(J42&lt;covid_recovery,NA(),SUMIFS(INDIRECT("Data_main"&amp;"["&amp;J$8&amp;"]"),Data_main[Data],$A43, Data_main[Segment],$B43, Data_main[Scenario],$B$3)),SUMIFS(INDIRECT("Data_main"&amp;"["&amp;J$8&amp;"]"),Data_main[Data],$A43, Data_main[Segment],$B43, Data_main[Scenario],$B$3)),SUMIFS(INDIRECT("Data_main"&amp;"["&amp;J$8&amp;"]"),Data_main[Data],$A43, Data_main[Segment],$B43, Data_main[Scenario],$B$3))</f>
        <v>#N/A</v>
      </c>
      <c r="K43" s="531" t="e">
        <f ca="1">IF($B$6="ON", IF(K42&gt;=covid_start, IF(K42&lt;covid_recovery,NA(),SUMIFS(INDIRECT("Data_main"&amp;"["&amp;K$8&amp;"]"),Data_main[Data],$A43, Data_main[Segment],$B43, Data_main[Scenario],$B$3)),SUMIFS(INDIRECT("Data_main"&amp;"["&amp;K$8&amp;"]"),Data_main[Data],$A43, Data_main[Segment],$B43, Data_main[Scenario],$B$3)),SUMIFS(INDIRECT("Data_main"&amp;"["&amp;K$8&amp;"]"),Data_main[Data],$A43, Data_main[Segment],$B43, Data_main[Scenario],$B$3))</f>
        <v>#N/A</v>
      </c>
      <c r="L43" s="531" t="e">
        <f ca="1">IF($B$6="ON", IF(L42&gt;=covid_start, IF(L42&lt;covid_recovery,NA(),SUMIFS(INDIRECT("Data_main"&amp;"["&amp;L$8&amp;"]"),Data_main[Data],$A43, Data_main[Segment],$B43, Data_main[Scenario],$B$3)),SUMIFS(INDIRECT("Data_main"&amp;"["&amp;L$8&amp;"]"),Data_main[Data],$A43, Data_main[Segment],$B43, Data_main[Scenario],$B$3)),SUMIFS(INDIRECT("Data_main"&amp;"["&amp;L$8&amp;"]"),Data_main[Data],$A43, Data_main[Segment],$B43, Data_main[Scenario],$B$3))</f>
        <v>#N/A</v>
      </c>
      <c r="M43" s="531">
        <f ca="1">IF($B$6="ON", IF(M42&gt;=covid_start, IF(M42&lt;covid_recovery,NA(),SUMIFS(INDIRECT("Data_main"&amp;"["&amp;M$8&amp;"]"),Data_main[Data],$A43, Data_main[Segment],$B43, Data_main[Scenario],$B$3)),SUMIFS(INDIRECT("Data_main"&amp;"["&amp;M$8&amp;"]"),Data_main[Data],$A43, Data_main[Segment],$B43, Data_main[Scenario],$B$3)),SUMIFS(INDIRECT("Data_main"&amp;"["&amp;M$8&amp;"]"),Data_main[Data],$A43, Data_main[Segment],$B43, Data_main[Scenario],$B$3))</f>
        <v>82.5917783805005</v>
      </c>
      <c r="N43" s="531">
        <f ca="1">IF($B$6="ON", IF(N42&gt;=covid_start, IF(N42&lt;covid_recovery,NA(),SUMIFS(INDIRECT("Data_main"&amp;"["&amp;N$8&amp;"]"),Data_main[Data],$A43, Data_main[Segment],$B43, Data_main[Scenario],$B$3)),SUMIFS(INDIRECT("Data_main"&amp;"["&amp;N$8&amp;"]"),Data_main[Data],$A43, Data_main[Segment],$B43, Data_main[Scenario],$B$3)),SUMIFS(INDIRECT("Data_main"&amp;"["&amp;N$8&amp;"]"),Data_main[Data],$A43, Data_main[Segment],$B43, Data_main[Scenario],$B$3))</f>
        <v>82.257420573802477</v>
      </c>
      <c r="O43" s="531">
        <f ca="1">IF($B$6="ON", IF(O42&gt;=covid_start, IF(O42&lt;covid_recovery,NA(),SUMIFS(INDIRECT("Data_main"&amp;"["&amp;O$8&amp;"]"),Data_main[Data],$A43, Data_main[Segment],$B43, Data_main[Scenario],$B$3)),SUMIFS(INDIRECT("Data_main"&amp;"["&amp;O$8&amp;"]"),Data_main[Data],$A43, Data_main[Segment],$B43, Data_main[Scenario],$B$3)),SUMIFS(INDIRECT("Data_main"&amp;"["&amp;O$8&amp;"]"),Data_main[Data],$A43, Data_main[Segment],$B43, Data_main[Scenario],$B$3))</f>
        <v>81.923062767104454</v>
      </c>
      <c r="P43" s="531">
        <f ca="1">IF($B$6="ON", IF(P42&gt;=covid_start, IF(P42&lt;covid_recovery,NA(),SUMIFS(INDIRECT("Data_main"&amp;"["&amp;P$8&amp;"]"),Data_main[Data],$A43, Data_main[Segment],$B43, Data_main[Scenario],$B$3)),SUMIFS(INDIRECT("Data_main"&amp;"["&amp;P$8&amp;"]"),Data_main[Data],$A43, Data_main[Segment],$B43, Data_main[Scenario],$B$3)),SUMIFS(INDIRECT("Data_main"&amp;"["&amp;P$8&amp;"]"),Data_main[Data],$A43, Data_main[Segment],$B43, Data_main[Scenario],$B$3))</f>
        <v>81.588704960406417</v>
      </c>
      <c r="Q43" s="531">
        <f ca="1">IF($B$6="ON", IF(Q42&gt;=covid_start, IF(Q42&lt;covid_recovery,NA(),SUMIFS(INDIRECT("Data_main"&amp;"["&amp;Q$8&amp;"]"),Data_main[Data],$A43, Data_main[Segment],$B43, Data_main[Scenario],$B$3)),SUMIFS(INDIRECT("Data_main"&amp;"["&amp;Q$8&amp;"]"),Data_main[Data],$A43, Data_main[Segment],$B43, Data_main[Scenario],$B$3)),SUMIFS(INDIRECT("Data_main"&amp;"["&amp;Q$8&amp;"]"),Data_main[Data],$A43, Data_main[Segment],$B43, Data_main[Scenario],$B$3))</f>
        <v>81.254347153708352</v>
      </c>
      <c r="R43" s="531">
        <f ca="1">IF($B$6="ON", IF(R42&gt;=covid_start, IF(R42&lt;covid_recovery,NA(),SUMIFS(INDIRECT("Data_main"&amp;"["&amp;R$8&amp;"]"),Data_main[Data],$A43, Data_main[Segment],$B43, Data_main[Scenario],$B$3)),SUMIFS(INDIRECT("Data_main"&amp;"["&amp;R$8&amp;"]"),Data_main[Data],$A43, Data_main[Segment],$B43, Data_main[Scenario],$B$3)),SUMIFS(INDIRECT("Data_main"&amp;"["&amp;R$8&amp;"]"),Data_main[Data],$A43, Data_main[Segment],$B43, Data_main[Scenario],$B$3))</f>
        <v>80.919989347010315</v>
      </c>
      <c r="S43" s="531">
        <f ca="1">IF($B$6="ON", IF(S42&gt;=covid_start, IF(S42&lt;covid_recovery,NA(),SUMIFS(INDIRECT("Data_main"&amp;"["&amp;S$8&amp;"]"),Data_main[Data],$A43, Data_main[Segment],$B43, Data_main[Scenario],$B$3)),SUMIFS(INDIRECT("Data_main"&amp;"["&amp;S$8&amp;"]"),Data_main[Data],$A43, Data_main[Segment],$B43, Data_main[Scenario],$B$3)),SUMIFS(INDIRECT("Data_main"&amp;"["&amp;S$8&amp;"]"),Data_main[Data],$A43, Data_main[Segment],$B43, Data_main[Scenario],$B$3))</f>
        <v>80.585631540312278</v>
      </c>
      <c r="T43" s="531">
        <f ca="1">IF($B$6="ON", IF(T42&gt;=covid_start, IF(T42&lt;covid_recovery,NA(),SUMIFS(INDIRECT("Data_main"&amp;"["&amp;T$8&amp;"]"),Data_main[Data],$A43, Data_main[Segment],$B43, Data_main[Scenario],$B$3)),SUMIFS(INDIRECT("Data_main"&amp;"["&amp;T$8&amp;"]"),Data_main[Data],$A43, Data_main[Segment],$B43, Data_main[Scenario],$B$3)),SUMIFS(INDIRECT("Data_main"&amp;"["&amp;T$8&amp;"]"),Data_main[Data],$A43, Data_main[Segment],$B43, Data_main[Scenario],$B$3))</f>
        <v>80.251273733614184</v>
      </c>
      <c r="U43" s="531">
        <f ca="1">IF($B$6="ON", IF(U42&gt;=covid_start, IF(U42&lt;covid_recovery,NA(),SUMIFS(INDIRECT("Data_main"&amp;"["&amp;U$8&amp;"]"),Data_main[Data],$A43, Data_main[Segment],$B43, Data_main[Scenario],$B$3)),SUMIFS(INDIRECT("Data_main"&amp;"["&amp;U$8&amp;"]"),Data_main[Data],$A43, Data_main[Segment],$B43, Data_main[Scenario],$B$3)),SUMIFS(INDIRECT("Data_main"&amp;"["&amp;U$8&amp;"]"),Data_main[Data],$A43, Data_main[Segment],$B43, Data_main[Scenario],$B$3))</f>
        <v>79.408021545079691</v>
      </c>
      <c r="V43" s="531">
        <f ca="1">IF($B$6="ON", IF(V42&gt;=covid_start, IF(V42&lt;covid_recovery,NA(),SUMIFS(INDIRECT("Data_main"&amp;"["&amp;V$8&amp;"]"),Data_main[Data],$A43, Data_main[Segment],$B43, Data_main[Scenario],$B$3)),SUMIFS(INDIRECT("Data_main"&amp;"["&amp;V$8&amp;"]"),Data_main[Data],$A43, Data_main[Segment],$B43, Data_main[Scenario],$B$3)),SUMIFS(INDIRECT("Data_main"&amp;"["&amp;V$8&amp;"]"),Data_main[Data],$A43, Data_main[Segment],$B43, Data_main[Scenario],$B$3))</f>
        <v>78.564769356545199</v>
      </c>
      <c r="W43" s="531">
        <f ca="1">IF($B$6="ON", IF(W42&gt;=covid_start, IF(W42&lt;covid_recovery,NA(),SUMIFS(INDIRECT("Data_main"&amp;"["&amp;W$8&amp;"]"),Data_main[Data],$A43, Data_main[Segment],$B43, Data_main[Scenario],$B$3)),SUMIFS(INDIRECT("Data_main"&amp;"["&amp;W$8&amp;"]"),Data_main[Data],$A43, Data_main[Segment],$B43, Data_main[Scenario],$B$3)),SUMIFS(INDIRECT("Data_main"&amp;"["&amp;W$8&amp;"]"),Data_main[Data],$A43, Data_main[Segment],$B43, Data_main[Scenario],$B$3))</f>
        <v>77.721517168010706</v>
      </c>
      <c r="X43" s="531">
        <f ca="1">IF($B$6="ON", IF(X42&gt;=covid_start, IF(X42&lt;covid_recovery,NA(),SUMIFS(INDIRECT("Data_main"&amp;"["&amp;X$8&amp;"]"),Data_main[Data],$A43, Data_main[Segment],$B43, Data_main[Scenario],$B$3)),SUMIFS(INDIRECT("Data_main"&amp;"["&amp;X$8&amp;"]"),Data_main[Data],$A43, Data_main[Segment],$B43, Data_main[Scenario],$B$3)),SUMIFS(INDIRECT("Data_main"&amp;"["&amp;X$8&amp;"]"),Data_main[Data],$A43, Data_main[Segment],$B43, Data_main[Scenario],$B$3))</f>
        <v>76.878264979476199</v>
      </c>
      <c r="Y43" s="531">
        <f ca="1">IF($B$6="ON", IF(Y42&gt;=covid_start, IF(Y42&lt;covid_recovery,NA(),SUMIFS(INDIRECT("Data_main"&amp;"["&amp;Y$8&amp;"]"),Data_main[Data],$A43, Data_main[Segment],$B43, Data_main[Scenario],$B$3)),SUMIFS(INDIRECT("Data_main"&amp;"["&amp;Y$8&amp;"]"),Data_main[Data],$A43, Data_main[Segment],$B43, Data_main[Scenario],$B$3)),SUMIFS(INDIRECT("Data_main"&amp;"["&amp;Y$8&amp;"]"),Data_main[Data],$A43, Data_main[Segment],$B43, Data_main[Scenario],$B$3))</f>
        <v>76.035012790941721</v>
      </c>
      <c r="Z43" s="531">
        <f ca="1">IF($B$6="ON", IF(Z42&gt;=covid_start, IF(Z42&lt;covid_recovery,NA(),SUMIFS(INDIRECT("Data_main"&amp;"["&amp;Z$8&amp;"]"),Data_main[Data],$A43, Data_main[Segment],$B43, Data_main[Scenario],$B$3)),SUMIFS(INDIRECT("Data_main"&amp;"["&amp;Z$8&amp;"]"),Data_main[Data],$A43, Data_main[Segment],$B43, Data_main[Scenario],$B$3)),SUMIFS(INDIRECT("Data_main"&amp;"["&amp;Z$8&amp;"]"),Data_main[Data],$A43, Data_main[Segment],$B43, Data_main[Scenario],$B$3))</f>
        <v>75.191760602407243</v>
      </c>
      <c r="AA43" s="531">
        <f ca="1">IF($B$6="ON", IF(AA42&gt;=covid_start, IF(AA42&lt;covid_recovery,NA(),SUMIFS(INDIRECT("Data_main"&amp;"["&amp;AA$8&amp;"]"),Data_main[Data],$A43, Data_main[Segment],$B43, Data_main[Scenario],$B$3)),SUMIFS(INDIRECT("Data_main"&amp;"["&amp;AA$8&amp;"]"),Data_main[Data],$A43, Data_main[Segment],$B43, Data_main[Scenario],$B$3)),SUMIFS(INDIRECT("Data_main"&amp;"["&amp;AA$8&amp;"]"),Data_main[Data],$A43, Data_main[Segment],$B43, Data_main[Scenario],$B$3))</f>
        <v>74.348508413872722</v>
      </c>
      <c r="AB43" s="531">
        <f ca="1">IF($B$6="ON", IF(AB42&gt;=covid_start, IF(AB42&lt;covid_recovery,NA(),SUMIFS(INDIRECT("Data_main"&amp;"["&amp;AB$8&amp;"]"),Data_main[Data],$A43, Data_main[Segment],$B43, Data_main[Scenario],$B$3)),SUMIFS(INDIRECT("Data_main"&amp;"["&amp;AB$8&amp;"]"),Data_main[Data],$A43, Data_main[Segment],$B43, Data_main[Scenario],$B$3)),SUMIFS(INDIRECT("Data_main"&amp;"["&amp;AB$8&amp;"]"),Data_main[Data],$A43, Data_main[Segment],$B43, Data_main[Scenario],$B$3))</f>
        <v>73.505256225338258</v>
      </c>
      <c r="AC43" s="531">
        <f ca="1">IF($B$6="ON", IF(AC42&gt;=covid_start, IF(AC42&lt;covid_recovery,NA(),SUMIFS(INDIRECT("Data_main"&amp;"["&amp;AC$8&amp;"]"),Data_main[Data],$A43, Data_main[Segment],$B43, Data_main[Scenario],$B$3)),SUMIFS(INDIRECT("Data_main"&amp;"["&amp;AC$8&amp;"]"),Data_main[Data],$A43, Data_main[Segment],$B43, Data_main[Scenario],$B$3)),SUMIFS(INDIRECT("Data_main"&amp;"["&amp;AC$8&amp;"]"),Data_main[Data],$A43, Data_main[Segment],$B43, Data_main[Scenario],$B$3))</f>
        <v>72.662004036803765</v>
      </c>
      <c r="AD43" s="531">
        <f ca="1">IF($B$6="ON", IF(AD42&gt;=covid_start, IF(AD42&lt;covid_recovery,NA(),SUMIFS(INDIRECT("Data_main"&amp;"["&amp;AD$8&amp;"]"),Data_main[Data],$A43, Data_main[Segment],$B43, Data_main[Scenario],$B$3)),SUMIFS(INDIRECT("Data_main"&amp;"["&amp;AD$8&amp;"]"),Data_main[Data],$A43, Data_main[Segment],$B43, Data_main[Scenario],$B$3)),SUMIFS(INDIRECT("Data_main"&amp;"["&amp;AD$8&amp;"]"),Data_main[Data],$A43, Data_main[Segment],$B43, Data_main[Scenario],$B$3))</f>
        <v>71.818751848269272</v>
      </c>
      <c r="AE43" s="531">
        <f ca="1">IF($B$6="ON", IF(AE42&gt;=covid_start, IF(AE42&lt;covid_recovery,NA(),SUMIFS(INDIRECT("Data_main"&amp;"["&amp;AE$8&amp;"]"),Data_main[Data],$A43, Data_main[Segment],$B43, Data_main[Scenario],$B$3)),SUMIFS(INDIRECT("Data_main"&amp;"["&amp;AE$8&amp;"]"),Data_main[Data],$A43, Data_main[Segment],$B43, Data_main[Scenario],$B$3)),SUMIFS(INDIRECT("Data_main"&amp;"["&amp;AE$8&amp;"]"),Data_main[Data],$A43, Data_main[Segment],$B43, Data_main[Scenario],$B$3))</f>
        <v>71.480040189916039</v>
      </c>
      <c r="AF43" s="531">
        <f ca="1">IF($B$6="ON", IF(AF42&gt;=covid_start, IF(AF42&lt;covid_recovery,NA(),SUMIFS(INDIRECT("Data_main"&amp;"["&amp;AF$8&amp;"]"),Data_main[Data],$A43, Data_main[Segment],$B43, Data_main[Scenario],$B$3)),SUMIFS(INDIRECT("Data_main"&amp;"["&amp;AF$8&amp;"]"),Data_main[Data],$A43, Data_main[Segment],$B43, Data_main[Scenario],$B$3)),SUMIFS(INDIRECT("Data_main"&amp;"["&amp;AF$8&amp;"]"),Data_main[Data],$A43, Data_main[Segment],$B43, Data_main[Scenario],$B$3))</f>
        <v>71.141328531562806</v>
      </c>
      <c r="AG43" s="531">
        <f ca="1">IF($B$6="ON", IF(AG42&gt;=covid_start, IF(AG42&lt;covid_recovery,NA(),SUMIFS(INDIRECT("Data_main"&amp;"["&amp;AG$8&amp;"]"),Data_main[Data],$A43, Data_main[Segment],$B43, Data_main[Scenario],$B$3)),SUMIFS(INDIRECT("Data_main"&amp;"["&amp;AG$8&amp;"]"),Data_main[Data],$A43, Data_main[Segment],$B43, Data_main[Scenario],$B$3)),SUMIFS(INDIRECT("Data_main"&amp;"["&amp;AG$8&amp;"]"),Data_main[Data],$A43, Data_main[Segment],$B43, Data_main[Scenario],$B$3))</f>
        <v>70.802616873209573</v>
      </c>
      <c r="AH43" s="531">
        <f ca="1">IF($B$6="ON", IF(AH42&gt;=covid_start, IF(AH42&lt;covid_recovery,NA(),SUMIFS(INDIRECT("Data_main"&amp;"["&amp;AH$8&amp;"]"),Data_main[Data],$A43, Data_main[Segment],$B43, Data_main[Scenario],$B$3)),SUMIFS(INDIRECT("Data_main"&amp;"["&amp;AH$8&amp;"]"),Data_main[Data],$A43, Data_main[Segment],$B43, Data_main[Scenario],$B$3)),SUMIFS(INDIRECT("Data_main"&amp;"["&amp;AH$8&amp;"]"),Data_main[Data],$A43, Data_main[Segment],$B43, Data_main[Scenario],$B$3))</f>
        <v>70.463905214856339</v>
      </c>
      <c r="AI43" s="531">
        <f ca="1">IF($B$6="ON", IF(AI42&gt;=covid_start, IF(AI42&lt;covid_recovery,NA(),SUMIFS(INDIRECT("Data_main"&amp;"["&amp;AI$8&amp;"]"),Data_main[Data],$A43, Data_main[Segment],$B43, Data_main[Scenario],$B$3)),SUMIFS(INDIRECT("Data_main"&amp;"["&amp;AI$8&amp;"]"),Data_main[Data],$A43, Data_main[Segment],$B43, Data_main[Scenario],$B$3)),SUMIFS(INDIRECT("Data_main"&amp;"["&amp;AI$8&amp;"]"),Data_main[Data],$A43, Data_main[Segment],$B43, Data_main[Scenario],$B$3))</f>
        <v>70.125193556503106</v>
      </c>
      <c r="AJ43" s="531">
        <f ca="1">IF($B$6="ON", IF(AJ42&gt;=covid_start, IF(AJ42&lt;covid_recovery,NA(),SUMIFS(INDIRECT("Data_main"&amp;"["&amp;AJ$8&amp;"]"),Data_main[Data],$A43, Data_main[Segment],$B43, Data_main[Scenario],$B$3)),SUMIFS(INDIRECT("Data_main"&amp;"["&amp;AJ$8&amp;"]"),Data_main[Data],$A43, Data_main[Segment],$B43, Data_main[Scenario],$B$3)),SUMIFS(INDIRECT("Data_main"&amp;"["&amp;AJ$8&amp;"]"),Data_main[Data],$A43, Data_main[Segment],$B43, Data_main[Scenario],$B$3))</f>
        <v>69.786481898149873</v>
      </c>
      <c r="AK43" s="531">
        <f ca="1">IF($B$6="ON", IF(AK42&gt;=covid_start, IF(AK42&lt;covid_recovery,NA(),SUMIFS(INDIRECT("Data_main"&amp;"["&amp;AK$8&amp;"]"),Data_main[Data],$A43, Data_main[Segment],$B43, Data_main[Scenario],$B$3)),SUMIFS(INDIRECT("Data_main"&amp;"["&amp;AK$8&amp;"]"),Data_main[Data],$A43, Data_main[Segment],$B43, Data_main[Scenario],$B$3)),SUMIFS(INDIRECT("Data_main"&amp;"["&amp;AK$8&amp;"]"),Data_main[Data],$A43, Data_main[Segment],$B43, Data_main[Scenario],$B$3))</f>
        <v>69.447770239796625</v>
      </c>
      <c r="AL43" s="531">
        <f ca="1">IF($B$6="ON", IF(AL42&gt;=covid_start, IF(AL42&lt;covid_recovery,NA(),SUMIFS(INDIRECT("Data_main"&amp;"["&amp;AL$8&amp;"]"),Data_main[Data],$A43, Data_main[Segment],$B43, Data_main[Scenario],$B$3)),SUMIFS(INDIRECT("Data_main"&amp;"["&amp;AL$8&amp;"]"),Data_main[Data],$A43, Data_main[Segment],$B43, Data_main[Scenario],$B$3)),SUMIFS(INDIRECT("Data_main"&amp;"["&amp;AL$8&amp;"]"),Data_main[Data],$A43, Data_main[Segment],$B43, Data_main[Scenario],$B$3))</f>
        <v>69.109058581443421</v>
      </c>
      <c r="AM43" s="531">
        <f ca="1">IF($B$6="ON", IF(AM42&gt;=covid_start, IF(AM42&lt;covid_recovery,NA(),SUMIFS(INDIRECT("Data_main"&amp;"["&amp;AM$8&amp;"]"),Data_main[Data],$A43, Data_main[Segment],$B43, Data_main[Scenario],$B$3)),SUMIFS(INDIRECT("Data_main"&amp;"["&amp;AM$8&amp;"]"),Data_main[Data],$A43, Data_main[Segment],$B43, Data_main[Scenario],$B$3)),SUMIFS(INDIRECT("Data_main"&amp;"["&amp;AM$8&amp;"]"),Data_main[Data],$A43, Data_main[Segment],$B43, Data_main[Scenario],$B$3))</f>
        <v>68.770346923090173</v>
      </c>
      <c r="AN43" s="531">
        <f ca="1">IF($B$6="ON", IF(AN42&gt;=covid_start, IF(AN42&lt;covid_recovery,NA(),SUMIFS(INDIRECT("Data_main"&amp;"["&amp;AN$8&amp;"]"),Data_main[Data],$A43, Data_main[Segment],$B43, Data_main[Scenario],$B$3)),SUMIFS(INDIRECT("Data_main"&amp;"["&amp;AN$8&amp;"]"),Data_main[Data],$A43, Data_main[Segment],$B43, Data_main[Scenario],$B$3)),SUMIFS(INDIRECT("Data_main"&amp;"["&amp;AN$8&amp;"]"),Data_main[Data],$A43, Data_main[Segment],$B43, Data_main[Scenario],$B$3))</f>
        <v>68.431635264736968</v>
      </c>
      <c r="AO43" s="531">
        <f ca="1">IF($B$6="ON", IF(AO42&gt;=covid_start, IF(AO42&lt;covid_recovery,NA(),SUMIFS(INDIRECT("Data_main"&amp;"["&amp;AO$8&amp;"]"),Data_main[Data],$A43, Data_main[Segment],$B43, Data_main[Scenario],$B$3)),SUMIFS(INDIRECT("Data_main"&amp;"["&amp;AO$8&amp;"]"),Data_main[Data],$A43, Data_main[Segment],$B43, Data_main[Scenario],$B$3)),SUMIFS(INDIRECT("Data_main"&amp;"["&amp;AO$8&amp;"]"),Data_main[Data],$A43, Data_main[Segment],$B43, Data_main[Scenario],$B$3))</f>
        <v>0</v>
      </c>
      <c r="AP43" s="531">
        <f ca="1">IF($B$6="ON", IF(AP42&gt;=covid_start, IF(AP42&lt;covid_recovery,NA(),SUMIFS(INDIRECT("Data_main"&amp;"["&amp;AP$8&amp;"]"),Data_main[Data],$A43, Data_main[Segment],$B43, Data_main[Scenario],$B$3)),SUMIFS(INDIRECT("Data_main"&amp;"["&amp;AP$8&amp;"]"),Data_main[Data],$A43, Data_main[Segment],$B43, Data_main[Scenario],$B$3)),SUMIFS(INDIRECT("Data_main"&amp;"["&amp;AP$8&amp;"]"),Data_main[Data],$A43, Data_main[Segment],$B43, Data_main[Scenario],$B$3))</f>
        <v>0</v>
      </c>
      <c r="AQ43" s="531">
        <f ca="1">IF($B$6="ON", IF(AQ42&gt;=covid_start, IF(AQ42&lt;covid_recovery,NA(),SUMIFS(INDIRECT("Data_main"&amp;"["&amp;AQ$8&amp;"]"),Data_main[Data],$A43, Data_main[Segment],$B43, Data_main[Scenario],$B$3)),SUMIFS(INDIRECT("Data_main"&amp;"["&amp;AQ$8&amp;"]"),Data_main[Data],$A43, Data_main[Segment],$B43, Data_main[Scenario],$B$3)),SUMIFS(INDIRECT("Data_main"&amp;"["&amp;AQ$8&amp;"]"),Data_main[Data],$A43, Data_main[Segment],$B43, Data_main[Scenario],$B$3))</f>
        <v>0</v>
      </c>
      <c r="AR43" s="531">
        <f ca="1">IF($B$6="ON", IF(AR42&gt;=covid_start, IF(AR42&lt;covid_recovery,NA(),SUMIFS(INDIRECT("Data_main"&amp;"["&amp;AR$8&amp;"]"),Data_main[Data],$A43, Data_main[Segment],$B43, Data_main[Scenario],$B$3)),SUMIFS(INDIRECT("Data_main"&amp;"["&amp;AR$8&amp;"]"),Data_main[Data],$A43, Data_main[Segment],$B43, Data_main[Scenario],$B$3)),SUMIFS(INDIRECT("Data_main"&amp;"["&amp;AR$8&amp;"]"),Data_main[Data],$A43, Data_main[Segment],$B43, Data_main[Scenario],$B$3))</f>
        <v>0</v>
      </c>
      <c r="AS43" s="531">
        <f ca="1">IF($B$6="ON", IF(AS42&gt;=covid_start, IF(AS42&lt;covid_recovery,NA(),SUMIFS(INDIRECT("Data_main"&amp;"["&amp;AS$8&amp;"]"),Data_main[Data],$A43, Data_main[Segment],$B43, Data_main[Scenario],$B$3)),SUMIFS(INDIRECT("Data_main"&amp;"["&amp;AS$8&amp;"]"),Data_main[Data],$A43, Data_main[Segment],$B43, Data_main[Scenario],$B$3)),SUMIFS(INDIRECT("Data_main"&amp;"["&amp;AS$8&amp;"]"),Data_main[Data],$A43, Data_main[Segment],$B43, Data_main[Scenario],$B$3))</f>
        <v>0</v>
      </c>
      <c r="AT43" s="531">
        <f ca="1">IF($B$6="ON", IF(AT42&gt;=covid_start, IF(AT42&lt;covid_recovery,NA(),SUMIFS(INDIRECT("Data_main"&amp;"["&amp;AT$8&amp;"]"),Data_main[Data],$A43, Data_main[Segment],$B43, Data_main[Scenario],$B$3)),SUMIFS(INDIRECT("Data_main"&amp;"["&amp;AT$8&amp;"]"),Data_main[Data],$A43, Data_main[Segment],$B43, Data_main[Scenario],$B$3)),SUMIFS(INDIRECT("Data_main"&amp;"["&amp;AT$8&amp;"]"),Data_main[Data],$A43, Data_main[Segment],$B43, Data_main[Scenario],$B$3))</f>
        <v>0</v>
      </c>
      <c r="AU43" s="531">
        <f ca="1">IF($B$6="ON", IF(AU42&gt;=covid_start, IF(AU42&lt;covid_recovery,NA(),SUMIFS(INDIRECT("Data_main"&amp;"["&amp;AU$8&amp;"]"),Data_main[Data],$A43, Data_main[Segment],$B43, Data_main[Scenario],$B$3)),SUMIFS(INDIRECT("Data_main"&amp;"["&amp;AU$8&amp;"]"),Data_main[Data],$A43, Data_main[Segment],$B43, Data_main[Scenario],$B$3)),SUMIFS(INDIRECT("Data_main"&amp;"["&amp;AU$8&amp;"]"),Data_main[Data],$A43, Data_main[Segment],$B43, Data_main[Scenario],$B$3))</f>
        <v>0</v>
      </c>
      <c r="AV43" s="531">
        <f ca="1">IF($B$6="ON", IF(AV42&gt;=covid_start, IF(AV42&lt;covid_recovery,NA(),SUMIFS(INDIRECT("Data_main"&amp;"["&amp;AV$8&amp;"]"),Data_main[Data],$A43, Data_main[Segment],$B43, Data_main[Scenario],$B$3)),SUMIFS(INDIRECT("Data_main"&amp;"["&amp;AV$8&amp;"]"),Data_main[Data],$A43, Data_main[Segment],$B43, Data_main[Scenario],$B$3)),SUMIFS(INDIRECT("Data_main"&amp;"["&amp;AV$8&amp;"]"),Data_main[Data],$A43, Data_main[Segment],$B43, Data_main[Scenario],$B$3))</f>
        <v>0</v>
      </c>
      <c r="AW43" s="531">
        <f ca="1">IF($B$6="ON", IF(AW42&gt;=covid_start, IF(AW42&lt;covid_recovery,NA(),SUMIFS(INDIRECT("Data_main"&amp;"["&amp;AW$8&amp;"]"),Data_main[Data],$A43, Data_main[Segment],$B43, Data_main[Scenario],$B$3)),SUMIFS(INDIRECT("Data_main"&amp;"["&amp;AW$8&amp;"]"),Data_main[Data],$A43, Data_main[Segment],$B43, Data_main[Scenario],$B$3)),SUMIFS(INDIRECT("Data_main"&amp;"["&amp;AW$8&amp;"]"),Data_main[Data],$A43, Data_main[Segment],$B43, Data_main[Scenario],$B$3))</f>
        <v>0</v>
      </c>
      <c r="AX43" s="531">
        <f ca="1">IF($B$6="ON", IF(AX42&gt;=covid_start, IF(AX42&lt;covid_recovery,NA(),SUMIFS(INDIRECT("Data_main"&amp;"["&amp;AX$8&amp;"]"),Data_main[Data],$A43, Data_main[Segment],$B43, Data_main[Scenario],$B$3)),SUMIFS(INDIRECT("Data_main"&amp;"["&amp;AX$8&amp;"]"),Data_main[Data],$A43, Data_main[Segment],$B43, Data_main[Scenario],$B$3)),SUMIFS(INDIRECT("Data_main"&amp;"["&amp;AX$8&amp;"]"),Data_main[Data],$A43, Data_main[Segment],$B43, Data_main[Scenario],$B$3))</f>
        <v>0</v>
      </c>
      <c r="AY43" s="531">
        <f ca="1">IF($B$6="ON", IF(AY42&gt;=covid_start, IF(AY42&lt;covid_recovery,NA(),SUMIFS(INDIRECT("Data_main"&amp;"["&amp;AY$8&amp;"]"),Data_main[Data],$A43, Data_main[Segment],$B43, Data_main[Scenario],$B$3)),SUMIFS(INDIRECT("Data_main"&amp;"["&amp;AY$8&amp;"]"),Data_main[Data],$A43, Data_main[Segment],$B43, Data_main[Scenario],$B$3)),SUMIFS(INDIRECT("Data_main"&amp;"["&amp;AY$8&amp;"]"),Data_main[Data],$A43, Data_main[Segment],$B43, Data_main[Scenario],$B$3))</f>
        <v>0</v>
      </c>
      <c r="AZ43" s="531">
        <f ca="1">IF($B$6="ON", IF(AZ42&gt;=covid_start, IF(AZ42&lt;covid_recovery,NA(),SUMIFS(INDIRECT("Data_main"&amp;"["&amp;AZ$8&amp;"]"),Data_main[Data],$A43, Data_main[Segment],$B43, Data_main[Scenario],$B$3)),SUMIFS(INDIRECT("Data_main"&amp;"["&amp;AZ$8&amp;"]"),Data_main[Data],$A43, Data_main[Segment],$B43, Data_main[Scenario],$B$3)),SUMIFS(INDIRECT("Data_main"&amp;"["&amp;AZ$8&amp;"]"),Data_main[Data],$A43, Data_main[Segment],$B43, Data_main[Scenario],$B$3))</f>
        <v>0</v>
      </c>
      <c r="BA43" s="531">
        <f ca="1">IF($B$6="ON", IF(BA42&gt;=covid_start, IF(BA42&lt;covid_recovery,NA(),SUMIFS(INDIRECT("Data_main"&amp;"["&amp;BA$8&amp;"]"),Data_main[Data],$A43, Data_main[Segment],$B43, Data_main[Scenario],$B$3)),SUMIFS(INDIRECT("Data_main"&amp;"["&amp;BA$8&amp;"]"),Data_main[Data],$A43, Data_main[Segment],$B43, Data_main[Scenario],$B$3)),SUMIFS(INDIRECT("Data_main"&amp;"["&amp;BA$8&amp;"]"),Data_main[Data],$A43, Data_main[Segment],$B43, Data_main[Scenario],$B$3))</f>
        <v>0</v>
      </c>
      <c r="BB43" s="531">
        <f ca="1">IF($B$6="ON", IF(BB42&gt;=covid_start, IF(BB42&lt;covid_recovery,NA(),SUMIFS(INDIRECT("Data_main"&amp;"["&amp;BB$8&amp;"]"),Data_main[Data],$A43, Data_main[Segment],$B43, Data_main[Scenario],$B$3)),SUMIFS(INDIRECT("Data_main"&amp;"["&amp;BB$8&amp;"]"),Data_main[Data],$A43, Data_main[Segment],$B43, Data_main[Scenario],$B$3)),SUMIFS(INDIRECT("Data_main"&amp;"["&amp;BB$8&amp;"]"),Data_main[Data],$A43, Data_main[Segment],$B43, Data_main[Scenario],$B$3))</f>
        <v>0</v>
      </c>
      <c r="BC43" s="531">
        <f ca="1">IF($B$6="ON", IF(BC42&gt;=covid_start, IF(BC42&lt;covid_recovery,NA(),SUMIFS(INDIRECT("Data_main"&amp;"["&amp;BC$8&amp;"]"),Data_main[Data],$A43, Data_main[Segment],$B43, Data_main[Scenario],$B$3)),SUMIFS(INDIRECT("Data_main"&amp;"["&amp;BC$8&amp;"]"),Data_main[Data],$A43, Data_main[Segment],$B43, Data_main[Scenario],$B$3)),SUMIFS(INDIRECT("Data_main"&amp;"["&amp;BC$8&amp;"]"),Data_main[Data],$A43, Data_main[Segment],$B43, Data_main[Scenario],$B$3))</f>
        <v>0</v>
      </c>
      <c r="BD43" s="531">
        <f ca="1">IF($B$6="ON", IF(BD42&gt;=covid_start, IF(BD42&lt;covid_recovery,NA(),SUMIFS(INDIRECT("Data_main"&amp;"["&amp;BD$8&amp;"]"),Data_main[Data],$A43, Data_main[Segment],$B43, Data_main[Scenario],$B$3)),SUMIFS(INDIRECT("Data_main"&amp;"["&amp;BD$8&amp;"]"),Data_main[Data],$A43, Data_main[Segment],$B43, Data_main[Scenario],$B$3)),SUMIFS(INDIRECT("Data_main"&amp;"["&amp;BD$8&amp;"]"),Data_main[Data],$A43, Data_main[Segment],$B43, Data_main[Scenario],$B$3))</f>
        <v>0</v>
      </c>
      <c r="BE43" s="531">
        <f ca="1">IF($B$6="ON", IF(BE42&gt;=covid_start, IF(BE42&lt;covid_recovery,NA(),SUMIFS(INDIRECT("Data_main"&amp;"["&amp;BE$8&amp;"]"),Data_main[Data],$A43, Data_main[Segment],$B43, Data_main[Scenario],$B$3)),SUMIFS(INDIRECT("Data_main"&amp;"["&amp;BE$8&amp;"]"),Data_main[Data],$A43, Data_main[Segment],$B43, Data_main[Scenario],$B$3)),SUMIFS(INDIRECT("Data_main"&amp;"["&amp;BE$8&amp;"]"),Data_main[Data],$A43, Data_main[Segment],$B43, Data_main[Scenario],$B$3))</f>
        <v>0</v>
      </c>
      <c r="BF43" s="531">
        <f ca="1">IF($B$6="ON", IF(BF42&gt;=covid_start, IF(BF42&lt;covid_recovery,NA(),SUMIFS(INDIRECT("Data_main"&amp;"["&amp;BF$8&amp;"]"),Data_main[Data],$A43, Data_main[Segment],$B43, Data_main[Scenario],$B$3)),SUMIFS(INDIRECT("Data_main"&amp;"["&amp;BF$8&amp;"]"),Data_main[Data],$A43, Data_main[Segment],$B43, Data_main[Scenario],$B$3)),SUMIFS(INDIRECT("Data_main"&amp;"["&amp;BF$8&amp;"]"),Data_main[Data],$A43, Data_main[Segment],$B43, Data_main[Scenario],$B$3))</f>
        <v>0</v>
      </c>
      <c r="BG43" s="531">
        <f ca="1">IF($B$6="ON", IF(BG42&gt;=covid_start, IF(BG42&lt;covid_recovery,NA(),SUMIFS(INDIRECT("Data_main"&amp;"["&amp;BG$8&amp;"]"),Data_main[Data],$A43, Data_main[Segment],$B43, Data_main[Scenario],$B$3)),SUMIFS(INDIRECT("Data_main"&amp;"["&amp;BG$8&amp;"]"),Data_main[Data],$A43, Data_main[Segment],$B43, Data_main[Scenario],$B$3)),SUMIFS(INDIRECT("Data_main"&amp;"["&amp;BG$8&amp;"]"),Data_main[Data],$A43, Data_main[Segment],$B43, Data_main[Scenario],$B$3))</f>
        <v>0</v>
      </c>
      <c r="BH43" s="531">
        <f ca="1">IF($B$6="ON", IF(BH42&gt;=covid_start, IF(BH42&lt;covid_recovery,NA(),SUMIFS(INDIRECT("Data_main"&amp;"["&amp;BH$8&amp;"]"),Data_main[Data],$A43, Data_main[Segment],$B43, Data_main[Scenario],$B$3)),SUMIFS(INDIRECT("Data_main"&amp;"["&amp;BH$8&amp;"]"),Data_main[Data],$A43, Data_main[Segment],$B43, Data_main[Scenario],$B$3)),SUMIFS(INDIRECT("Data_main"&amp;"["&amp;BH$8&amp;"]"),Data_main[Data],$A43, Data_main[Segment],$B43, Data_main[Scenario],$B$3))</f>
        <v>0</v>
      </c>
      <c r="BI43" s="531">
        <f ca="1">IF($B$6="ON", IF(BI42&gt;=covid_start, IF(BI42&lt;covid_recovery,NA(),SUMIFS(INDIRECT("Data_main"&amp;"["&amp;BI$8&amp;"]"),Data_main[Data],$A43, Data_main[Segment],$B43, Data_main[Scenario],$B$3)),SUMIFS(INDIRECT("Data_main"&amp;"["&amp;BI$8&amp;"]"),Data_main[Data],$A43, Data_main[Segment],$B43, Data_main[Scenario],$B$3)),SUMIFS(INDIRECT("Data_main"&amp;"["&amp;BI$8&amp;"]"),Data_main[Data],$A43, Data_main[Segment],$B43, Data_main[Scenario],$B$3))</f>
        <v>0</v>
      </c>
      <c r="BJ43" s="531">
        <f ca="1">IF($B$6="ON", IF(BJ42&gt;=covid_start, IF(BJ42&lt;covid_recovery,NA(),SUMIFS(INDIRECT("Data_main"&amp;"["&amp;BJ$8&amp;"]"),Data_main[Data],$A43, Data_main[Segment],$B43, Data_main[Scenario],$B$3)),SUMIFS(INDIRECT("Data_main"&amp;"["&amp;BJ$8&amp;"]"),Data_main[Data],$A43, Data_main[Segment],$B43, Data_main[Scenario],$B$3)),SUMIFS(INDIRECT("Data_main"&amp;"["&amp;BJ$8&amp;"]"),Data_main[Data],$A43, Data_main[Segment],$B43, Data_main[Scenario],$B$3))</f>
        <v>0</v>
      </c>
      <c r="BK43" s="531">
        <f ca="1">IF($B$6="ON", IF(BK42&gt;=covid_start, IF(BK42&lt;covid_recovery,NA(),SUMIFS(INDIRECT("Data_main"&amp;"["&amp;BK$8&amp;"]"),Data_main[Data],$A43, Data_main[Segment],$B43, Data_main[Scenario],$B$3)),SUMIFS(INDIRECT("Data_main"&amp;"["&amp;BK$8&amp;"]"),Data_main[Data],$A43, Data_main[Segment],$B43, Data_main[Scenario],$B$3)),SUMIFS(INDIRECT("Data_main"&amp;"["&amp;BK$8&amp;"]"),Data_main[Data],$A43, Data_main[Segment],$B43, Data_main[Scenario],$B$3))</f>
        <v>0</v>
      </c>
      <c r="BL43" s="531">
        <f ca="1">IF($B$6="ON", IF(BL42&gt;=covid_start, IF(BL42&lt;covid_recovery,NA(),SUMIFS(INDIRECT("Data_main"&amp;"["&amp;BL$8&amp;"]"),Data_main[Data],$A43, Data_main[Segment],$B43, Data_main[Scenario],$B$3)),SUMIFS(INDIRECT("Data_main"&amp;"["&amp;BL$8&amp;"]"),Data_main[Data],$A43, Data_main[Segment],$B43, Data_main[Scenario],$B$3)),SUMIFS(INDIRECT("Data_main"&amp;"["&amp;BL$8&amp;"]"),Data_main[Data],$A43, Data_main[Segment],$B43, Data_main[Scenario],$B$3))</f>
        <v>0</v>
      </c>
      <c r="BM43" s="531">
        <f ca="1">IF($B$6="ON", IF(BM42&gt;=covid_start, IF(BM42&lt;covid_recovery,NA(),SUMIFS(INDIRECT("Data_main"&amp;"["&amp;BM$8&amp;"]"),Data_main[Data],$A43, Data_main[Segment],$B43, Data_main[Scenario],$B$3)),SUMIFS(INDIRECT("Data_main"&amp;"["&amp;BM$8&amp;"]"),Data_main[Data],$A43, Data_main[Segment],$B43, Data_main[Scenario],$B$3)),SUMIFS(INDIRECT("Data_main"&amp;"["&amp;BM$8&amp;"]"),Data_main[Data],$A43, Data_main[Segment],$B43, Data_main[Scenario],$B$3))</f>
        <v>0</v>
      </c>
      <c r="BN43" s="531">
        <f ca="1">IF($B$6="ON", IF(BN42&gt;=covid_start, IF(BN42&lt;covid_recovery,NA(),SUMIFS(INDIRECT("Data_main"&amp;"["&amp;BN$8&amp;"]"),Data_main[Data],$A43, Data_main[Segment],$B43, Data_main[Scenario],$B$3)),SUMIFS(INDIRECT("Data_main"&amp;"["&amp;BN$8&amp;"]"),Data_main[Data],$A43, Data_main[Segment],$B43, Data_main[Scenario],$B$3)),SUMIFS(INDIRECT("Data_main"&amp;"["&amp;BN$8&amp;"]"),Data_main[Data],$A43, Data_main[Segment],$B43, Data_main[Scenario],$B$3))</f>
        <v>0</v>
      </c>
      <c r="BO43" s="531">
        <f ca="1">IF($B$6="ON", IF(BO42&gt;=covid_start, IF(BO42&lt;covid_recovery,NA(),SUMIFS(INDIRECT("Data_main"&amp;"["&amp;BO$8&amp;"]"),Data_main[Data],$A43, Data_main[Segment],$B43, Data_main[Scenario],$B$3)),SUMIFS(INDIRECT("Data_main"&amp;"["&amp;BO$8&amp;"]"),Data_main[Data],$A43, Data_main[Segment],$B43, Data_main[Scenario],$B$3)),SUMIFS(INDIRECT("Data_main"&amp;"["&amp;BO$8&amp;"]"),Data_main[Data],$A43, Data_main[Segment],$B43, Data_main[Scenario],$B$3))</f>
        <v>0</v>
      </c>
      <c r="BP43" s="531">
        <f ca="1">IF($B$6="ON", IF(BP42&gt;=covid_start, IF(BP42&lt;covid_recovery,NA(),SUMIFS(INDIRECT("Data_main"&amp;"["&amp;BP$8&amp;"]"),Data_main[Data],$A43, Data_main[Segment],$B43, Data_main[Scenario],$B$3)),SUMIFS(INDIRECT("Data_main"&amp;"["&amp;BP$8&amp;"]"),Data_main[Data],$A43, Data_main[Segment],$B43, Data_main[Scenario],$B$3)),SUMIFS(INDIRECT("Data_main"&amp;"["&amp;BP$8&amp;"]"),Data_main[Data],$A43, Data_main[Segment],$B43, Data_main[Scenario],$B$3))</f>
        <v>0</v>
      </c>
      <c r="BQ43" s="531">
        <f ca="1">IF($B$6="ON", IF(BQ42&gt;=covid_start, IF(BQ42&lt;covid_recovery,NA(),SUMIFS(INDIRECT("Data_main"&amp;"["&amp;BQ$8&amp;"]"),Data_main[Data],$A43, Data_main[Segment],$B43, Data_main[Scenario],$B$3)),SUMIFS(INDIRECT("Data_main"&amp;"["&amp;BQ$8&amp;"]"),Data_main[Data],$A43, Data_main[Segment],$B43, Data_main[Scenario],$B$3)),SUMIFS(INDIRECT("Data_main"&amp;"["&amp;BQ$8&amp;"]"),Data_main[Data],$A43, Data_main[Segment],$B43, Data_main[Scenario],$B$3))</f>
        <v>0</v>
      </c>
      <c r="BR43" s="531">
        <f ca="1">IF($B$6="ON", IF(BR42&gt;=covid_start, IF(BR42&lt;covid_recovery,NA(),SUMIFS(INDIRECT("Data_main"&amp;"["&amp;BR$8&amp;"]"),Data_main[Data],$A43, Data_main[Segment],$B43, Data_main[Scenario],$B$3)),SUMIFS(INDIRECT("Data_main"&amp;"["&amp;BR$8&amp;"]"),Data_main[Data],$A43, Data_main[Segment],$B43, Data_main[Scenario],$B$3)),SUMIFS(INDIRECT("Data_main"&amp;"["&amp;BR$8&amp;"]"),Data_main[Data],$A43, Data_main[Segment],$B43, Data_main[Scenario],$B$3))</f>
        <v>0</v>
      </c>
      <c r="BS43" s="531">
        <f ca="1">IF($B$6="ON", IF(BS42&gt;=covid_start, IF(BS42&lt;covid_recovery,NA(),SUMIFS(INDIRECT("Data_main"&amp;"["&amp;BS$8&amp;"]"),Data_main[Data],$A43, Data_main[Segment],$B43, Data_main[Scenario],$B$3)),SUMIFS(INDIRECT("Data_main"&amp;"["&amp;BS$8&amp;"]"),Data_main[Data],$A43, Data_main[Segment],$B43, Data_main[Scenario],$B$3)),SUMIFS(INDIRECT("Data_main"&amp;"["&amp;BS$8&amp;"]"),Data_main[Data],$A43, Data_main[Segment],$B43, Data_main[Scenario],$B$3))</f>
        <v>0</v>
      </c>
      <c r="BT43" s="531">
        <f ca="1">IF($B$6="ON", IF(BT42&gt;=covid_start, IF(BT42&lt;covid_recovery,NA(),SUMIFS(INDIRECT("Data_main"&amp;"["&amp;BT$8&amp;"]"),Data_main[Data],$A43, Data_main[Segment],$B43, Data_main[Scenario],$B$3)),SUMIFS(INDIRECT("Data_main"&amp;"["&amp;BT$8&amp;"]"),Data_main[Data],$A43, Data_main[Segment],$B43, Data_main[Scenario],$B$3)),SUMIFS(INDIRECT("Data_main"&amp;"["&amp;BT$8&amp;"]"),Data_main[Data],$A43, Data_main[Segment],$B43, Data_main[Scenario],$B$3))</f>
        <v>0</v>
      </c>
      <c r="BU43" s="531">
        <f ca="1">IF($B$6="ON", IF(BU42&gt;=covid_start, IF(BU42&lt;covid_recovery,NA(),SUMIFS(INDIRECT("Data_main"&amp;"["&amp;BU$8&amp;"]"),Data_main[Data],$A43, Data_main[Segment],$B43, Data_main[Scenario],$B$3)),SUMIFS(INDIRECT("Data_main"&amp;"["&amp;BU$8&amp;"]"),Data_main[Data],$A43, Data_main[Segment],$B43, Data_main[Scenario],$B$3)),SUMIFS(INDIRECT("Data_main"&amp;"["&amp;BU$8&amp;"]"),Data_main[Data],$A43, Data_main[Segment],$B43, Data_main[Scenario],$B$3))</f>
        <v>0</v>
      </c>
      <c r="BV43" s="531">
        <f ca="1">IF($B$6="ON", IF(BV42&gt;=covid_start, IF(BV42&lt;covid_recovery,NA(),SUMIFS(INDIRECT("Data_main"&amp;"["&amp;BV$8&amp;"]"),Data_main[Data],$A43, Data_main[Segment],$B43, Data_main[Scenario],$B$3)),SUMIFS(INDIRECT("Data_main"&amp;"["&amp;BV$8&amp;"]"),Data_main[Data],$A43, Data_main[Segment],$B43, Data_main[Scenario],$B$3)),SUMIFS(INDIRECT("Data_main"&amp;"["&amp;BV$8&amp;"]"),Data_main[Data],$A43, Data_main[Segment],$B43, Data_main[Scenario],$B$3))</f>
        <v>0</v>
      </c>
      <c r="BW43" s="531">
        <f ca="1">IF($B$6="ON", IF(BW42&gt;=covid_start, IF(BW42&lt;covid_recovery,NA(),SUMIFS(INDIRECT("Data_main"&amp;"["&amp;BW$8&amp;"]"),Data_main[Data],$A43, Data_main[Segment],$B43, Data_main[Scenario],$B$3)),SUMIFS(INDIRECT("Data_main"&amp;"["&amp;BW$8&amp;"]"),Data_main[Data],$A43, Data_main[Segment],$B43, Data_main[Scenario],$B$3)),SUMIFS(INDIRECT("Data_main"&amp;"["&amp;BW$8&amp;"]"),Data_main[Data],$A43, Data_main[Segment],$B43, Data_main[Scenario],$B$3))</f>
        <v>0</v>
      </c>
      <c r="BX43" s="531">
        <f ca="1">IF($B$6="ON", IF(BX42&gt;=covid_start, IF(BX42&lt;covid_recovery,NA(),SUMIFS(INDIRECT("Data_main"&amp;"["&amp;BX$8&amp;"]"),Data_main[Data],$A43, Data_main[Segment],$B43, Data_main[Scenario],$B$3)),SUMIFS(INDIRECT("Data_main"&amp;"["&amp;BX$8&amp;"]"),Data_main[Data],$A43, Data_main[Segment],$B43, Data_main[Scenario],$B$3)),SUMIFS(INDIRECT("Data_main"&amp;"["&amp;BX$8&amp;"]"),Data_main[Data],$A43, Data_main[Segment],$B43, Data_main[Scenario],$B$3))</f>
        <v>0</v>
      </c>
      <c r="BY43" s="531">
        <f ca="1">IF($B$6="ON", IF(BY42&gt;=covid_start, IF(BY42&lt;covid_recovery,NA(),SUMIFS(INDIRECT("Data_main"&amp;"["&amp;BY$8&amp;"]"),Data_main[Data],$A43, Data_main[Segment],$B43, Data_main[Scenario],$B$3)),SUMIFS(INDIRECT("Data_main"&amp;"["&amp;BY$8&amp;"]"),Data_main[Data],$A43, Data_main[Segment],$B43, Data_main[Scenario],$B$3)),SUMIFS(INDIRECT("Data_main"&amp;"["&amp;BY$8&amp;"]"),Data_main[Data],$A43, Data_main[Segment],$B43, Data_main[Scenario],$B$3))</f>
        <v>0</v>
      </c>
      <c r="BZ43" s="531">
        <f ca="1">IF($B$6="ON", IF(BZ42&gt;=covid_start, IF(BZ42&lt;covid_recovery,NA(),SUMIFS(INDIRECT("Data_main"&amp;"["&amp;BZ$8&amp;"]"),Data_main[Data],$A43, Data_main[Segment],$B43, Data_main[Scenario],$B$3)),SUMIFS(INDIRECT("Data_main"&amp;"["&amp;BZ$8&amp;"]"),Data_main[Data],$A43, Data_main[Segment],$B43, Data_main[Scenario],$B$3)),SUMIFS(INDIRECT("Data_main"&amp;"["&amp;BZ$8&amp;"]"),Data_main[Data],$A43, Data_main[Segment],$B43, Data_main[Scenario],$B$3))</f>
        <v>0</v>
      </c>
      <c r="CA43" s="531">
        <f ca="1">IF($B$6="ON", IF(CA42&gt;=covid_start, IF(CA42&lt;covid_recovery,NA(),SUMIFS(INDIRECT("Data_main"&amp;"["&amp;CA$8&amp;"]"),Data_main[Data],$A43, Data_main[Segment],$B43, Data_main[Scenario],$B$3)),SUMIFS(INDIRECT("Data_main"&amp;"["&amp;CA$8&amp;"]"),Data_main[Data],$A43, Data_main[Segment],$B43, Data_main[Scenario],$B$3)),SUMIFS(INDIRECT("Data_main"&amp;"["&amp;CA$8&amp;"]"),Data_main[Data],$A43, Data_main[Segment],$B43, Data_main[Scenario],$B$3))</f>
        <v>0</v>
      </c>
      <c r="CB43" s="531">
        <f ca="1">IF($B$6="ON", IF(CB42&gt;=covid_start, IF(CB42&lt;covid_recovery,NA(),SUMIFS(INDIRECT("Data_main"&amp;"["&amp;CB$8&amp;"]"),Data_main[Data],$A43, Data_main[Segment],$B43, Data_main[Scenario],$B$3)),SUMIFS(INDIRECT("Data_main"&amp;"["&amp;CB$8&amp;"]"),Data_main[Data],$A43, Data_main[Segment],$B43, Data_main[Scenario],$B$3)),SUMIFS(INDIRECT("Data_main"&amp;"["&amp;CB$8&amp;"]"),Data_main[Data],$A43, Data_main[Segment],$B43, Data_main[Scenario],$B$3))</f>
        <v>0</v>
      </c>
      <c r="CC43" s="531">
        <f ca="1">IF($B$6="ON", IF(CC42&gt;=covid_start, IF(CC42&lt;covid_recovery,NA(),SUMIFS(INDIRECT("Data_main"&amp;"["&amp;CC$8&amp;"]"),Data_main[Data],$A43, Data_main[Segment],$B43, Data_main[Scenario],$B$3)),SUMIFS(INDIRECT("Data_main"&amp;"["&amp;CC$8&amp;"]"),Data_main[Data],$A43, Data_main[Segment],$B43, Data_main[Scenario],$B$3)),SUMIFS(INDIRECT("Data_main"&amp;"["&amp;CC$8&amp;"]"),Data_main[Data],$A43, Data_main[Segment],$B43, Data_main[Scenario],$B$3))</f>
        <v>0</v>
      </c>
      <c r="CD43" s="531">
        <f ca="1">IF($B$6="ON", IF(CD42&gt;=covid_start, IF(CD42&lt;covid_recovery,NA(),SUMIFS(INDIRECT("Data_main"&amp;"["&amp;CD$8&amp;"]"),Data_main[Data],$A43, Data_main[Segment],$B43, Data_main[Scenario],$B$3)),SUMIFS(INDIRECT("Data_main"&amp;"["&amp;CD$8&amp;"]"),Data_main[Data],$A43, Data_main[Segment],$B43, Data_main[Scenario],$B$3)),SUMIFS(INDIRECT("Data_main"&amp;"["&amp;CD$8&amp;"]"),Data_main[Data],$A43, Data_main[Segment],$B43, Data_main[Scenario],$B$3))</f>
        <v>0</v>
      </c>
      <c r="CE43" s="531">
        <f ca="1">IF($B$6="ON", IF(CE42&gt;=covid_start, IF(CE42&lt;covid_recovery,NA(),SUMIFS(INDIRECT("Data_main"&amp;"["&amp;CE$8&amp;"]"),Data_main[Data],$A43, Data_main[Segment],$B43, Data_main[Scenario],$B$3)),SUMIFS(INDIRECT("Data_main"&amp;"["&amp;CE$8&amp;"]"),Data_main[Data],$A43, Data_main[Segment],$B43, Data_main[Scenario],$B$3)),SUMIFS(INDIRECT("Data_main"&amp;"["&amp;CE$8&amp;"]"),Data_main[Data],$A43, Data_main[Segment],$B43, Data_main[Scenario],$B$3))</f>
        <v>0</v>
      </c>
      <c r="CF43" s="531">
        <f ca="1">IF($B$6="ON", IF(CF42&gt;=covid_start, IF(CF42&lt;covid_recovery,NA(),SUMIFS(INDIRECT("Data_main"&amp;"["&amp;CF$8&amp;"]"),Data_main[Data],$A43, Data_main[Segment],$B43, Data_main[Scenario],$B$3)),SUMIFS(INDIRECT("Data_main"&amp;"["&amp;CF$8&amp;"]"),Data_main[Data],$A43, Data_main[Segment],$B43, Data_main[Scenario],$B$3)),SUMIFS(INDIRECT("Data_main"&amp;"["&amp;CF$8&amp;"]"),Data_main[Data],$A43, Data_main[Segment],$B43, Data_main[Scenario],$B$3))</f>
        <v>0</v>
      </c>
      <c r="CG43" s="531">
        <f ca="1">IF($B$6="ON", IF(CG42&gt;=covid_start, IF(CG42&lt;covid_recovery,NA(),SUMIFS(INDIRECT("Data_main"&amp;"["&amp;CG$8&amp;"]"),Data_main[Data],$A43, Data_main[Segment],$B43, Data_main[Scenario],$B$3)),SUMIFS(INDIRECT("Data_main"&amp;"["&amp;CG$8&amp;"]"),Data_main[Data],$A43, Data_main[Segment],$B43, Data_main[Scenario],$B$3)),SUMIFS(INDIRECT("Data_main"&amp;"["&amp;CG$8&amp;"]"),Data_main[Data],$A43, Data_main[Segment],$B43, Data_main[Scenario],$B$3))</f>
        <v>0</v>
      </c>
      <c r="CH43" s="531">
        <f ca="1">IF($B$6="ON", IF(CH42&gt;=covid_start, IF(CH42&lt;covid_recovery,NA(),SUMIFS(INDIRECT("Data_main"&amp;"["&amp;CH$8&amp;"]"),Data_main[Data],$A43, Data_main[Segment],$B43, Data_main[Scenario],$B$3)),SUMIFS(INDIRECT("Data_main"&amp;"["&amp;CH$8&amp;"]"),Data_main[Data],$A43, Data_main[Segment],$B43, Data_main[Scenario],$B$3)),SUMIFS(INDIRECT("Data_main"&amp;"["&amp;CH$8&amp;"]"),Data_main[Data],$A43, Data_main[Segment],$B43, Data_main[Scenario],$B$3))</f>
        <v>0</v>
      </c>
      <c r="CI43" s="531">
        <f ca="1">IF($B$6="ON", IF(CI42&gt;=covid_start, IF(CI42&lt;covid_recovery,NA(),SUMIFS(INDIRECT("Data_main"&amp;"["&amp;CI$8&amp;"]"),Data_main[Data],$A43, Data_main[Segment],$B43, Data_main[Scenario],$B$3)),SUMIFS(INDIRECT("Data_main"&amp;"["&amp;CI$8&amp;"]"),Data_main[Data],$A43, Data_main[Segment],$B43, Data_main[Scenario],$B$3)),SUMIFS(INDIRECT("Data_main"&amp;"["&amp;CI$8&amp;"]"),Data_main[Data],$A43, Data_main[Segment],$B43, Data_main[Scenario],$B$3))</f>
        <v>0</v>
      </c>
      <c r="CJ43" s="531">
        <f ca="1">IF($B$6="ON", IF(CJ42&gt;=covid_start, IF(CJ42&lt;covid_recovery,NA(),SUMIFS(INDIRECT("Data_main"&amp;"["&amp;CJ$8&amp;"]"),Data_main[Data],$A43, Data_main[Segment],$B43, Data_main[Scenario],$B$3)),SUMIFS(INDIRECT("Data_main"&amp;"["&amp;CJ$8&amp;"]"),Data_main[Data],$A43, Data_main[Segment],$B43, Data_main[Scenario],$B$3)),SUMIFS(INDIRECT("Data_main"&amp;"["&amp;CJ$8&amp;"]"),Data_main[Data],$A43, Data_main[Segment],$B43, Data_main[Scenario],$B$3))</f>
        <v>0</v>
      </c>
      <c r="CK43" s="531">
        <f ca="1">IF($B$6="ON", IF(CK42&gt;=covid_start, IF(CK42&lt;covid_recovery,NA(),SUMIFS(INDIRECT("Data_main"&amp;"["&amp;CK$8&amp;"]"),Data_main[Data],$A43, Data_main[Segment],$B43, Data_main[Scenario],$B$3)),SUMIFS(INDIRECT("Data_main"&amp;"["&amp;CK$8&amp;"]"),Data_main[Data],$A43, Data_main[Segment],$B43, Data_main[Scenario],$B$3)),SUMIFS(INDIRECT("Data_main"&amp;"["&amp;CK$8&amp;"]"),Data_main[Data],$A43, Data_main[Segment],$B43, Data_main[Scenario],$B$3))</f>
        <v>0</v>
      </c>
      <c r="CL43" s="531">
        <f ca="1">IF($B$6="ON", IF(CL42&gt;=covid_start, IF(CL42&lt;covid_recovery,NA(),SUMIFS(INDIRECT("Data_main"&amp;"["&amp;CL$8&amp;"]"),Data_main[Data],$A43, Data_main[Segment],$B43, Data_main[Scenario],$B$3)),SUMIFS(INDIRECT("Data_main"&amp;"["&amp;CL$8&amp;"]"),Data_main[Data],$A43, Data_main[Segment],$B43, Data_main[Scenario],$B$3)),SUMIFS(INDIRECT("Data_main"&amp;"["&amp;CL$8&amp;"]"),Data_main[Data],$A43, Data_main[Segment],$B43, Data_main[Scenario],$B$3))</f>
        <v>0</v>
      </c>
      <c r="CN43" s="613">
        <f ca="1">IFERROR((Y43/H43)^(1/17)-1,"")</f>
        <v>-4.3894973452969221E-3</v>
      </c>
      <c r="CO43" s="613">
        <f ca="1">IFERROR((AN43/Y43)^(1/15)-1,"")</f>
        <v>-6.9993037866263874E-3</v>
      </c>
      <c r="CP43" s="613">
        <f ca="1">IFERROR((AN43/H43)^(1/32)-1,"")</f>
        <v>-5.6136970556908139E-3</v>
      </c>
    </row>
    <row r="44" spans="1:94" outlineLevel="1">
      <c r="A44" s="532" t="s">
        <v>157</v>
      </c>
      <c r="B44" s="532" t="str">
        <f t="shared" ref="B44:B45" si="112">$A$42</f>
        <v>Belly</v>
      </c>
      <c r="C44" s="533" t="s">
        <v>262</v>
      </c>
      <c r="D44" s="530"/>
      <c r="E44" s="531">
        <f ca="1">IF($B$6="ON", IF(E42&gt;=covid_start, IF(E42&lt;covid_recovery,NA(),SUMIFS(INDIRECT("Data_main"&amp;"["&amp;E$8&amp;"]"),Data_main[Data],$A44, Data_main[Segment],$B44, Data_main[Scenario],$B$3)),SUMIFS(INDIRECT("Data_main"&amp;"["&amp;E$8&amp;"]"),Data_main[Data],$A44, Data_main[Segment],$B44, Data_main[Scenario],$B$3)),SUMIFS(INDIRECT("Data_main"&amp;"["&amp;E$8&amp;"]"),Data_main[Data],$A44, Data_main[Segment],$B44, Data_main[Scenario],$B$3))</f>
        <v>103.64940771618524</v>
      </c>
      <c r="F44" s="531">
        <f ca="1">IF($B$6="ON", IF(F42&gt;=covid_start, IF(F42&lt;covid_recovery,NA(),SUMIFS(INDIRECT("Data_main"&amp;"["&amp;F$8&amp;"]"),Data_main[Data],$A44, Data_main[Segment],$B44, Data_main[Scenario],$B$3)),SUMIFS(INDIRECT("Data_main"&amp;"["&amp;F$8&amp;"]"),Data_main[Data],$A44, Data_main[Segment],$B44, Data_main[Scenario],$B$3)),SUMIFS(INDIRECT("Data_main"&amp;"["&amp;F$8&amp;"]"),Data_main[Data],$A44, Data_main[Segment],$B44, Data_main[Scenario],$B$3))</f>
        <v>111.17873423744896</v>
      </c>
      <c r="G44" s="531">
        <f ca="1">IF($B$6="ON", IF(G42&gt;=covid_start, IF(G42&lt;covid_recovery,NA(),SUMIFS(INDIRECT("Data_main"&amp;"["&amp;G$8&amp;"]"),Data_main[Data],$A44, Data_main[Segment],$B44, Data_main[Scenario],$B$3)),SUMIFS(INDIRECT("Data_main"&amp;"["&amp;G$8&amp;"]"),Data_main[Data],$A44, Data_main[Segment],$B44, Data_main[Scenario],$B$3)),SUMIFS(INDIRECT("Data_main"&amp;"["&amp;G$8&amp;"]"),Data_main[Data],$A44, Data_main[Segment],$B44, Data_main[Scenario],$B$3))</f>
        <v>118.70806075871269</v>
      </c>
      <c r="H44" s="531">
        <f ca="1">IF($B$6="ON", IF(H42&gt;=covid_start, IF(H42&lt;covid_recovery,NA(),SUMIFS(INDIRECT("Data_main"&amp;"["&amp;H$8&amp;"]"),Data_main[Data],$A44, Data_main[Segment],$B44, Data_main[Scenario],$B$3)),SUMIFS(INDIRECT("Data_main"&amp;"["&amp;H$8&amp;"]"),Data_main[Data],$A44, Data_main[Segment],$B44, Data_main[Scenario],$B$3)),SUMIFS(INDIRECT("Data_main"&amp;"["&amp;H$8&amp;"]"),Data_main[Data],$A44, Data_main[Segment],$B44, Data_main[Scenario],$B$3))</f>
        <v>126.23738727997639</v>
      </c>
      <c r="I44" s="531">
        <f ca="1">IF($B$6="ON", IF(I42&gt;=covid_start, IF(I42&lt;covid_recovery,NA(),SUMIFS(INDIRECT("Data_main"&amp;"["&amp;I$8&amp;"]"),Data_main[Data],$A44, Data_main[Segment],$B44, Data_main[Scenario],$B$3)),SUMIFS(INDIRECT("Data_main"&amp;"["&amp;I$8&amp;"]"),Data_main[Data],$A44, Data_main[Segment],$B44, Data_main[Scenario],$B$3)),SUMIFS(INDIRECT("Data_main"&amp;"["&amp;I$8&amp;"]"),Data_main[Data],$A44, Data_main[Segment],$B44, Data_main[Scenario],$B$3))</f>
        <v>132.05856292170913</v>
      </c>
      <c r="J44" s="531" t="e">
        <f ca="1">IF($B$6="ON", IF(J42&gt;=covid_start, IF(J42&lt;covid_recovery,NA(),SUMIFS(INDIRECT("Data_main"&amp;"["&amp;J$8&amp;"]"),Data_main[Data],$A44, Data_main[Segment],$B44, Data_main[Scenario],$B$3)),SUMIFS(INDIRECT("Data_main"&amp;"["&amp;J$8&amp;"]"),Data_main[Data],$A44, Data_main[Segment],$B44, Data_main[Scenario],$B$3)),SUMIFS(INDIRECT("Data_main"&amp;"["&amp;J$8&amp;"]"),Data_main[Data],$A44, Data_main[Segment],$B44, Data_main[Scenario],$B$3))</f>
        <v>#N/A</v>
      </c>
      <c r="K44" s="531" t="e">
        <f ca="1">IF($B$6="ON", IF(K42&gt;=covid_start, IF(K42&lt;covid_recovery,NA(),SUMIFS(INDIRECT("Data_main"&amp;"["&amp;K$8&amp;"]"),Data_main[Data],$A44, Data_main[Segment],$B44, Data_main[Scenario],$B$3)),SUMIFS(INDIRECT("Data_main"&amp;"["&amp;K$8&amp;"]"),Data_main[Data],$A44, Data_main[Segment],$B44, Data_main[Scenario],$B$3)),SUMIFS(INDIRECT("Data_main"&amp;"["&amp;K$8&amp;"]"),Data_main[Data],$A44, Data_main[Segment],$B44, Data_main[Scenario],$B$3))</f>
        <v>#N/A</v>
      </c>
      <c r="L44" s="531" t="e">
        <f ca="1">IF($B$6="ON", IF(L42&gt;=covid_start, IF(L42&lt;covid_recovery,NA(),SUMIFS(INDIRECT("Data_main"&amp;"["&amp;L$8&amp;"]"),Data_main[Data],$A44, Data_main[Segment],$B44, Data_main[Scenario],$B$3)),SUMIFS(INDIRECT("Data_main"&amp;"["&amp;L$8&amp;"]"),Data_main[Data],$A44, Data_main[Segment],$B44, Data_main[Scenario],$B$3)),SUMIFS(INDIRECT("Data_main"&amp;"["&amp;L$8&amp;"]"),Data_main[Data],$A44, Data_main[Segment],$B44, Data_main[Scenario],$B$3))</f>
        <v>#N/A</v>
      </c>
      <c r="M44" s="531">
        <f ca="1">IF($B$6="ON", IF(M42&gt;=covid_start, IF(M42&lt;covid_recovery,NA(),SUMIFS(INDIRECT("Data_main"&amp;"["&amp;M$8&amp;"]"),Data_main[Data],$A44, Data_main[Segment],$B44, Data_main[Scenario],$B$3)),SUMIFS(INDIRECT("Data_main"&amp;"["&amp;M$8&amp;"]"),Data_main[Data],$A44, Data_main[Segment],$B44, Data_main[Scenario],$B$3)),SUMIFS(INDIRECT("Data_main"&amp;"["&amp;M$8&amp;"]"),Data_main[Data],$A44, Data_main[Segment],$B44, Data_main[Scenario],$B$3))</f>
        <v>149.22560152397358</v>
      </c>
      <c r="N44" s="531">
        <f ca="1">IF($B$6="ON", IF(N42&gt;=covid_start, IF(N42&lt;covid_recovery,NA(),SUMIFS(INDIRECT("Data_main"&amp;"["&amp;N$8&amp;"]"),Data_main[Data],$A44, Data_main[Segment],$B44, Data_main[Scenario],$B$3)),SUMIFS(INDIRECT("Data_main"&amp;"["&amp;N$8&amp;"]"),Data_main[Data],$A44, Data_main[Segment],$B44, Data_main[Scenario],$B$3)),SUMIFS(INDIRECT("Data_main"&amp;"["&amp;N$8&amp;"]"),Data_main[Data],$A44, Data_main[Segment],$B44, Data_main[Scenario],$B$3))</f>
        <v>153.51736117453967</v>
      </c>
      <c r="O44" s="531">
        <f ca="1">IF($B$6="ON", IF(O42&gt;=covid_start, IF(O42&lt;covid_recovery,NA(),SUMIFS(INDIRECT("Data_main"&amp;"["&amp;O$8&amp;"]"),Data_main[Data],$A44, Data_main[Segment],$B44, Data_main[Scenario],$B$3)),SUMIFS(INDIRECT("Data_main"&amp;"["&amp;O$8&amp;"]"),Data_main[Data],$A44, Data_main[Segment],$B44, Data_main[Scenario],$B$3)),SUMIFS(INDIRECT("Data_main"&amp;"["&amp;O$8&amp;"]"),Data_main[Data],$A44, Data_main[Segment],$B44, Data_main[Scenario],$B$3))</f>
        <v>157.80912082510579</v>
      </c>
      <c r="P44" s="531">
        <f ca="1">IF($B$6="ON", IF(P42&gt;=covid_start, IF(P42&lt;covid_recovery,NA(),SUMIFS(INDIRECT("Data_main"&amp;"["&amp;P$8&amp;"]"),Data_main[Data],$A44, Data_main[Segment],$B44, Data_main[Scenario],$B$3)),SUMIFS(INDIRECT("Data_main"&amp;"["&amp;P$8&amp;"]"),Data_main[Data],$A44, Data_main[Segment],$B44, Data_main[Scenario],$B$3)),SUMIFS(INDIRECT("Data_main"&amp;"["&amp;P$8&amp;"]"),Data_main[Data],$A44, Data_main[Segment],$B44, Data_main[Scenario],$B$3))</f>
        <v>162.10088047567194</v>
      </c>
      <c r="Q44" s="531">
        <f ca="1">IF($B$6="ON", IF(Q42&gt;=covid_start, IF(Q42&lt;covid_recovery,NA(),SUMIFS(INDIRECT("Data_main"&amp;"["&amp;Q$8&amp;"]"),Data_main[Data],$A44, Data_main[Segment],$B44, Data_main[Scenario],$B$3)),SUMIFS(INDIRECT("Data_main"&amp;"["&amp;Q$8&amp;"]"),Data_main[Data],$A44, Data_main[Segment],$B44, Data_main[Scenario],$B$3)),SUMIFS(INDIRECT("Data_main"&amp;"["&amp;Q$8&amp;"]"),Data_main[Data],$A44, Data_main[Segment],$B44, Data_main[Scenario],$B$3))</f>
        <v>166.39264012623804</v>
      </c>
      <c r="R44" s="531">
        <f ca="1">IF($B$6="ON", IF(R42&gt;=covid_start, IF(R42&lt;covid_recovery,NA(),SUMIFS(INDIRECT("Data_main"&amp;"["&amp;R$8&amp;"]"),Data_main[Data],$A44, Data_main[Segment],$B44, Data_main[Scenario],$B$3)),SUMIFS(INDIRECT("Data_main"&amp;"["&amp;R$8&amp;"]"),Data_main[Data],$A44, Data_main[Segment],$B44, Data_main[Scenario],$B$3)),SUMIFS(INDIRECT("Data_main"&amp;"["&amp;R$8&amp;"]"),Data_main[Data],$A44, Data_main[Segment],$B44, Data_main[Scenario],$B$3))</f>
        <v>170.68439977680413</v>
      </c>
      <c r="S44" s="531">
        <f ca="1">IF($B$6="ON", IF(S42&gt;=covid_start, IF(S42&lt;covid_recovery,NA(),SUMIFS(INDIRECT("Data_main"&amp;"["&amp;S$8&amp;"]"),Data_main[Data],$A44, Data_main[Segment],$B44, Data_main[Scenario],$B$3)),SUMIFS(INDIRECT("Data_main"&amp;"["&amp;S$8&amp;"]"),Data_main[Data],$A44, Data_main[Segment],$B44, Data_main[Scenario],$B$3)),SUMIFS(INDIRECT("Data_main"&amp;"["&amp;S$8&amp;"]"),Data_main[Data],$A44, Data_main[Segment],$B44, Data_main[Scenario],$B$3))</f>
        <v>174.97615942737025</v>
      </c>
      <c r="T44" s="531">
        <f ca="1">IF($B$6="ON", IF(T42&gt;=covid_start, IF(T42&lt;covid_recovery,NA(),SUMIFS(INDIRECT("Data_main"&amp;"["&amp;T$8&amp;"]"),Data_main[Data],$A44, Data_main[Segment],$B44, Data_main[Scenario],$B$3)),SUMIFS(INDIRECT("Data_main"&amp;"["&amp;T$8&amp;"]"),Data_main[Data],$A44, Data_main[Segment],$B44, Data_main[Scenario],$B$3)),SUMIFS(INDIRECT("Data_main"&amp;"["&amp;T$8&amp;"]"),Data_main[Data],$A44, Data_main[Segment],$B44, Data_main[Scenario],$B$3))</f>
        <v>179.26791907793648</v>
      </c>
      <c r="U44" s="531">
        <f ca="1">IF($B$6="ON", IF(U42&gt;=covid_start, IF(U42&lt;covid_recovery,NA(),SUMIFS(INDIRECT("Data_main"&amp;"["&amp;U$8&amp;"]"),Data_main[Data],$A44, Data_main[Segment],$B44, Data_main[Scenario],$B$3)),SUMIFS(INDIRECT("Data_main"&amp;"["&amp;U$8&amp;"]"),Data_main[Data],$A44, Data_main[Segment],$B44, Data_main[Scenario],$B$3)),SUMIFS(INDIRECT("Data_main"&amp;"["&amp;U$8&amp;"]"),Data_main[Data],$A44, Data_main[Segment],$B44, Data_main[Scenario],$B$3))</f>
        <v>184.71017266537498</v>
      </c>
      <c r="V44" s="531">
        <f ca="1">IF($B$6="ON", IF(V42&gt;=covid_start, IF(V42&lt;covid_recovery,NA(),SUMIFS(INDIRECT("Data_main"&amp;"["&amp;V$8&amp;"]"),Data_main[Data],$A44, Data_main[Segment],$B44, Data_main[Scenario],$B$3)),SUMIFS(INDIRECT("Data_main"&amp;"["&amp;V$8&amp;"]"),Data_main[Data],$A44, Data_main[Segment],$B44, Data_main[Scenario],$B$3)),SUMIFS(INDIRECT("Data_main"&amp;"["&amp;V$8&amp;"]"),Data_main[Data],$A44, Data_main[Segment],$B44, Data_main[Scenario],$B$3))</f>
        <v>190.15242625281348</v>
      </c>
      <c r="W44" s="531">
        <f ca="1">IF($B$6="ON", IF(W42&gt;=covid_start, IF(W42&lt;covid_recovery,NA(),SUMIFS(INDIRECT("Data_main"&amp;"["&amp;W$8&amp;"]"),Data_main[Data],$A44, Data_main[Segment],$B44, Data_main[Scenario],$B$3)),SUMIFS(INDIRECT("Data_main"&amp;"["&amp;W$8&amp;"]"),Data_main[Data],$A44, Data_main[Segment],$B44, Data_main[Scenario],$B$3)),SUMIFS(INDIRECT("Data_main"&amp;"["&amp;W$8&amp;"]"),Data_main[Data],$A44, Data_main[Segment],$B44, Data_main[Scenario],$B$3))</f>
        <v>195.59467984025196</v>
      </c>
      <c r="X44" s="531">
        <f ca="1">IF($B$6="ON", IF(X42&gt;=covid_start, IF(X42&lt;covid_recovery,NA(),SUMIFS(INDIRECT("Data_main"&amp;"["&amp;X$8&amp;"]"),Data_main[Data],$A44, Data_main[Segment],$B44, Data_main[Scenario],$B$3)),SUMIFS(INDIRECT("Data_main"&amp;"["&amp;X$8&amp;"]"),Data_main[Data],$A44, Data_main[Segment],$B44, Data_main[Scenario],$B$3)),SUMIFS(INDIRECT("Data_main"&amp;"["&amp;X$8&amp;"]"),Data_main[Data],$A44, Data_main[Segment],$B44, Data_main[Scenario],$B$3))</f>
        <v>201.03693342769046</v>
      </c>
      <c r="Y44" s="531">
        <f ca="1">IF($B$6="ON", IF(Y42&gt;=covid_start, IF(Y42&lt;covid_recovery,NA(),SUMIFS(INDIRECT("Data_main"&amp;"["&amp;Y$8&amp;"]"),Data_main[Data],$A44, Data_main[Segment],$B44, Data_main[Scenario],$B$3)),SUMIFS(INDIRECT("Data_main"&amp;"["&amp;Y$8&amp;"]"),Data_main[Data],$A44, Data_main[Segment],$B44, Data_main[Scenario],$B$3)),SUMIFS(INDIRECT("Data_main"&amp;"["&amp;Y$8&amp;"]"),Data_main[Data],$A44, Data_main[Segment],$B44, Data_main[Scenario],$B$3))</f>
        <v>206.47918701512896</v>
      </c>
      <c r="Z44" s="531">
        <f ca="1">IF($B$6="ON", IF(Z42&gt;=covid_start, IF(Z42&lt;covid_recovery,NA(),SUMIFS(INDIRECT("Data_main"&amp;"["&amp;Z$8&amp;"]"),Data_main[Data],$A44, Data_main[Segment],$B44, Data_main[Scenario],$B$3)),SUMIFS(INDIRECT("Data_main"&amp;"["&amp;Z$8&amp;"]"),Data_main[Data],$A44, Data_main[Segment],$B44, Data_main[Scenario],$B$3)),SUMIFS(INDIRECT("Data_main"&amp;"["&amp;Z$8&amp;"]"),Data_main[Data],$A44, Data_main[Segment],$B44, Data_main[Scenario],$B$3))</f>
        <v>211.92144060256749</v>
      </c>
      <c r="AA44" s="531">
        <f ca="1">IF($B$6="ON", IF(AA42&gt;=covid_start, IF(AA42&lt;covid_recovery,NA(),SUMIFS(INDIRECT("Data_main"&amp;"["&amp;AA$8&amp;"]"),Data_main[Data],$A44, Data_main[Segment],$B44, Data_main[Scenario],$B$3)),SUMIFS(INDIRECT("Data_main"&amp;"["&amp;AA$8&amp;"]"),Data_main[Data],$A44, Data_main[Segment],$B44, Data_main[Scenario],$B$3)),SUMIFS(INDIRECT("Data_main"&amp;"["&amp;AA$8&amp;"]"),Data_main[Data],$A44, Data_main[Segment],$B44, Data_main[Scenario],$B$3))</f>
        <v>217.36369419000596</v>
      </c>
      <c r="AB44" s="531">
        <f ca="1">IF($B$6="ON", IF(AB42&gt;=covid_start, IF(AB42&lt;covid_recovery,NA(),SUMIFS(INDIRECT("Data_main"&amp;"["&amp;AB$8&amp;"]"),Data_main[Data],$A44, Data_main[Segment],$B44, Data_main[Scenario],$B$3)),SUMIFS(INDIRECT("Data_main"&amp;"["&amp;AB$8&amp;"]"),Data_main[Data],$A44, Data_main[Segment],$B44, Data_main[Scenario],$B$3)),SUMIFS(INDIRECT("Data_main"&amp;"["&amp;AB$8&amp;"]"),Data_main[Data],$A44, Data_main[Segment],$B44, Data_main[Scenario],$B$3))</f>
        <v>222.80594777744446</v>
      </c>
      <c r="AC44" s="531">
        <f ca="1">IF($B$6="ON", IF(AC42&gt;=covid_start, IF(AC42&lt;covid_recovery,NA(),SUMIFS(INDIRECT("Data_main"&amp;"["&amp;AC$8&amp;"]"),Data_main[Data],$A44, Data_main[Segment],$B44, Data_main[Scenario],$B$3)),SUMIFS(INDIRECT("Data_main"&amp;"["&amp;AC$8&amp;"]"),Data_main[Data],$A44, Data_main[Segment],$B44, Data_main[Scenario],$B$3)),SUMIFS(INDIRECT("Data_main"&amp;"["&amp;AC$8&amp;"]"),Data_main[Data],$A44, Data_main[Segment],$B44, Data_main[Scenario],$B$3))</f>
        <v>228.24820136488299</v>
      </c>
      <c r="AD44" s="531">
        <f ca="1">IF($B$6="ON", IF(AD42&gt;=covid_start, IF(AD42&lt;covid_recovery,NA(),SUMIFS(INDIRECT("Data_main"&amp;"["&amp;AD$8&amp;"]"),Data_main[Data],$A44, Data_main[Segment],$B44, Data_main[Scenario],$B$3)),SUMIFS(INDIRECT("Data_main"&amp;"["&amp;AD$8&amp;"]"),Data_main[Data],$A44, Data_main[Segment],$B44, Data_main[Scenario],$B$3)),SUMIFS(INDIRECT("Data_main"&amp;"["&amp;AD$8&amp;"]"),Data_main[Data],$A44, Data_main[Segment],$B44, Data_main[Scenario],$B$3))</f>
        <v>233.6904549523214</v>
      </c>
      <c r="AE44" s="531">
        <f ca="1">IF($B$6="ON", IF(AE42&gt;=covid_start, IF(AE42&lt;covid_recovery,NA(),SUMIFS(INDIRECT("Data_main"&amp;"["&amp;AE$8&amp;"]"),Data_main[Data],$A44, Data_main[Segment],$B44, Data_main[Scenario],$B$3)),SUMIFS(INDIRECT("Data_main"&amp;"["&amp;AE$8&amp;"]"),Data_main[Data],$A44, Data_main[Segment],$B44, Data_main[Scenario],$B$3)),SUMIFS(INDIRECT("Data_main"&amp;"["&amp;AE$8&amp;"]"),Data_main[Data],$A44, Data_main[Segment],$B44, Data_main[Scenario],$B$3))</f>
        <v>241.2483393669209</v>
      </c>
      <c r="AF44" s="531">
        <f ca="1">IF($B$6="ON", IF(AF42&gt;=covid_start, IF(AF42&lt;covid_recovery,NA(),SUMIFS(INDIRECT("Data_main"&amp;"["&amp;AF$8&amp;"]"),Data_main[Data],$A44, Data_main[Segment],$B44, Data_main[Scenario],$B$3)),SUMIFS(INDIRECT("Data_main"&amp;"["&amp;AF$8&amp;"]"),Data_main[Data],$A44, Data_main[Segment],$B44, Data_main[Scenario],$B$3)),SUMIFS(INDIRECT("Data_main"&amp;"["&amp;AF$8&amp;"]"),Data_main[Data],$A44, Data_main[Segment],$B44, Data_main[Scenario],$B$3))</f>
        <v>248.80622378152043</v>
      </c>
      <c r="AG44" s="531">
        <f ca="1">IF($B$6="ON", IF(AG42&gt;=covid_start, IF(AG42&lt;covid_recovery,NA(),SUMIFS(INDIRECT("Data_main"&amp;"["&amp;AG$8&amp;"]"),Data_main[Data],$A44, Data_main[Segment],$B44, Data_main[Scenario],$B$3)),SUMIFS(INDIRECT("Data_main"&amp;"["&amp;AG$8&amp;"]"),Data_main[Data],$A44, Data_main[Segment],$B44, Data_main[Scenario],$B$3)),SUMIFS(INDIRECT("Data_main"&amp;"["&amp;AG$8&amp;"]"),Data_main[Data],$A44, Data_main[Segment],$B44, Data_main[Scenario],$B$3))</f>
        <v>256.36410819611996</v>
      </c>
      <c r="AH44" s="531">
        <f ca="1">IF($B$6="ON", IF(AH42&gt;=covid_start, IF(AH42&lt;covid_recovery,NA(),SUMIFS(INDIRECT("Data_main"&amp;"["&amp;AH$8&amp;"]"),Data_main[Data],$A44, Data_main[Segment],$B44, Data_main[Scenario],$B$3)),SUMIFS(INDIRECT("Data_main"&amp;"["&amp;AH$8&amp;"]"),Data_main[Data],$A44, Data_main[Segment],$B44, Data_main[Scenario],$B$3)),SUMIFS(INDIRECT("Data_main"&amp;"["&amp;AH$8&amp;"]"),Data_main[Data],$A44, Data_main[Segment],$B44, Data_main[Scenario],$B$3))</f>
        <v>263.92199261071943</v>
      </c>
      <c r="AI44" s="531">
        <f ca="1">IF($B$6="ON", IF(AI42&gt;=covid_start, IF(AI42&lt;covid_recovery,NA(),SUMIFS(INDIRECT("Data_main"&amp;"["&amp;AI$8&amp;"]"),Data_main[Data],$A44, Data_main[Segment],$B44, Data_main[Scenario],$B$3)),SUMIFS(INDIRECT("Data_main"&amp;"["&amp;AI$8&amp;"]"),Data_main[Data],$A44, Data_main[Segment],$B44, Data_main[Scenario],$B$3)),SUMIFS(INDIRECT("Data_main"&amp;"["&amp;AI$8&amp;"]"),Data_main[Data],$A44, Data_main[Segment],$B44, Data_main[Scenario],$B$3))</f>
        <v>271.4798770253189</v>
      </c>
      <c r="AJ44" s="531">
        <f ca="1">IF($B$6="ON", IF(AJ42&gt;=covid_start, IF(AJ42&lt;covid_recovery,NA(),SUMIFS(INDIRECT("Data_main"&amp;"["&amp;AJ$8&amp;"]"),Data_main[Data],$A44, Data_main[Segment],$B44, Data_main[Scenario],$B$3)),SUMIFS(INDIRECT("Data_main"&amp;"["&amp;AJ$8&amp;"]"),Data_main[Data],$A44, Data_main[Segment],$B44, Data_main[Scenario],$B$3)),SUMIFS(INDIRECT("Data_main"&amp;"["&amp;AJ$8&amp;"]"),Data_main[Data],$A44, Data_main[Segment],$B44, Data_main[Scenario],$B$3))</f>
        <v>279.03776143991843</v>
      </c>
      <c r="AK44" s="531">
        <f ca="1">IF($B$6="ON", IF(AK42&gt;=covid_start, IF(AK42&lt;covid_recovery,NA(),SUMIFS(INDIRECT("Data_main"&amp;"["&amp;AK$8&amp;"]"),Data_main[Data],$A44, Data_main[Segment],$B44, Data_main[Scenario],$B$3)),SUMIFS(INDIRECT("Data_main"&amp;"["&amp;AK$8&amp;"]"),Data_main[Data],$A44, Data_main[Segment],$B44, Data_main[Scenario],$B$3)),SUMIFS(INDIRECT("Data_main"&amp;"["&amp;AK$8&amp;"]"),Data_main[Data],$A44, Data_main[Segment],$B44, Data_main[Scenario],$B$3))</f>
        <v>286.5956458545179</v>
      </c>
      <c r="AL44" s="531">
        <f ca="1">IF($B$6="ON", IF(AL42&gt;=covid_start, IF(AL42&lt;covid_recovery,NA(),SUMIFS(INDIRECT("Data_main"&amp;"["&amp;AL$8&amp;"]"),Data_main[Data],$A44, Data_main[Segment],$B44, Data_main[Scenario],$B$3)),SUMIFS(INDIRECT("Data_main"&amp;"["&amp;AL$8&amp;"]"),Data_main[Data],$A44, Data_main[Segment],$B44, Data_main[Scenario],$B$3)),SUMIFS(INDIRECT("Data_main"&amp;"["&amp;AL$8&amp;"]"),Data_main[Data],$A44, Data_main[Segment],$B44, Data_main[Scenario],$B$3))</f>
        <v>294.15353026911737</v>
      </c>
      <c r="AM44" s="531">
        <f ca="1">IF($B$6="ON", IF(AM42&gt;=covid_start, IF(AM42&lt;covid_recovery,NA(),SUMIFS(INDIRECT("Data_main"&amp;"["&amp;AM$8&amp;"]"),Data_main[Data],$A44, Data_main[Segment],$B44, Data_main[Scenario],$B$3)),SUMIFS(INDIRECT("Data_main"&amp;"["&amp;AM$8&amp;"]"),Data_main[Data],$A44, Data_main[Segment],$B44, Data_main[Scenario],$B$3)),SUMIFS(INDIRECT("Data_main"&amp;"["&amp;AM$8&amp;"]"),Data_main[Data],$A44, Data_main[Segment],$B44, Data_main[Scenario],$B$3))</f>
        <v>301.71141468371684</v>
      </c>
      <c r="AN44" s="531">
        <f ca="1">IF($B$6="ON", IF(AN42&gt;=covid_start, IF(AN42&lt;covid_recovery,NA(),SUMIFS(INDIRECT("Data_main"&amp;"["&amp;AN$8&amp;"]"),Data_main[Data],$A44, Data_main[Segment],$B44, Data_main[Scenario],$B$3)),SUMIFS(INDIRECT("Data_main"&amp;"["&amp;AN$8&amp;"]"),Data_main[Data],$A44, Data_main[Segment],$B44, Data_main[Scenario],$B$3)),SUMIFS(INDIRECT("Data_main"&amp;"["&amp;AN$8&amp;"]"),Data_main[Data],$A44, Data_main[Segment],$B44, Data_main[Scenario],$B$3))</f>
        <v>309.26929909831654</v>
      </c>
      <c r="AO44" s="531">
        <f ca="1">IF($B$6="ON", IF(AO42&gt;=covid_start, IF(AO42&lt;covid_recovery,NA(),SUMIFS(INDIRECT("Data_main"&amp;"["&amp;AO$8&amp;"]"),Data_main[Data],$A44, Data_main[Segment],$B44, Data_main[Scenario],$B$3)),SUMIFS(INDIRECT("Data_main"&amp;"["&amp;AO$8&amp;"]"),Data_main[Data],$A44, Data_main[Segment],$B44, Data_main[Scenario],$B$3)),SUMIFS(INDIRECT("Data_main"&amp;"["&amp;AO$8&amp;"]"),Data_main[Data],$A44, Data_main[Segment],$B44, Data_main[Scenario],$B$3))</f>
        <v>0</v>
      </c>
      <c r="AP44" s="531">
        <f ca="1">IF($B$6="ON", IF(AP42&gt;=covid_start, IF(AP42&lt;covid_recovery,NA(),SUMIFS(INDIRECT("Data_main"&amp;"["&amp;AP$8&amp;"]"),Data_main[Data],$A44, Data_main[Segment],$B44, Data_main[Scenario],$B$3)),SUMIFS(INDIRECT("Data_main"&amp;"["&amp;AP$8&amp;"]"),Data_main[Data],$A44, Data_main[Segment],$B44, Data_main[Scenario],$B$3)),SUMIFS(INDIRECT("Data_main"&amp;"["&amp;AP$8&amp;"]"),Data_main[Data],$A44, Data_main[Segment],$B44, Data_main[Scenario],$B$3))</f>
        <v>0</v>
      </c>
      <c r="AQ44" s="531">
        <f ca="1">IF($B$6="ON", IF(AQ42&gt;=covid_start, IF(AQ42&lt;covid_recovery,NA(),SUMIFS(INDIRECT("Data_main"&amp;"["&amp;AQ$8&amp;"]"),Data_main[Data],$A44, Data_main[Segment],$B44, Data_main[Scenario],$B$3)),SUMIFS(INDIRECT("Data_main"&amp;"["&amp;AQ$8&amp;"]"),Data_main[Data],$A44, Data_main[Segment],$B44, Data_main[Scenario],$B$3)),SUMIFS(INDIRECT("Data_main"&amp;"["&amp;AQ$8&amp;"]"),Data_main[Data],$A44, Data_main[Segment],$B44, Data_main[Scenario],$B$3))</f>
        <v>0</v>
      </c>
      <c r="AR44" s="531">
        <f ca="1">IF($B$6="ON", IF(AR42&gt;=covid_start, IF(AR42&lt;covid_recovery,NA(),SUMIFS(INDIRECT("Data_main"&amp;"["&amp;AR$8&amp;"]"),Data_main[Data],$A44, Data_main[Segment],$B44, Data_main[Scenario],$B$3)),SUMIFS(INDIRECT("Data_main"&amp;"["&amp;AR$8&amp;"]"),Data_main[Data],$A44, Data_main[Segment],$B44, Data_main[Scenario],$B$3)),SUMIFS(INDIRECT("Data_main"&amp;"["&amp;AR$8&amp;"]"),Data_main[Data],$A44, Data_main[Segment],$B44, Data_main[Scenario],$B$3))</f>
        <v>0</v>
      </c>
      <c r="AS44" s="531">
        <f ca="1">IF($B$6="ON", IF(AS42&gt;=covid_start, IF(AS42&lt;covid_recovery,NA(),SUMIFS(INDIRECT("Data_main"&amp;"["&amp;AS$8&amp;"]"),Data_main[Data],$A44, Data_main[Segment],$B44, Data_main[Scenario],$B$3)),SUMIFS(INDIRECT("Data_main"&amp;"["&amp;AS$8&amp;"]"),Data_main[Data],$A44, Data_main[Segment],$B44, Data_main[Scenario],$B$3)),SUMIFS(INDIRECT("Data_main"&amp;"["&amp;AS$8&amp;"]"),Data_main[Data],$A44, Data_main[Segment],$B44, Data_main[Scenario],$B$3))</f>
        <v>0</v>
      </c>
      <c r="AT44" s="531">
        <f ca="1">IF($B$6="ON", IF(AT42&gt;=covid_start, IF(AT42&lt;covid_recovery,NA(),SUMIFS(INDIRECT("Data_main"&amp;"["&amp;AT$8&amp;"]"),Data_main[Data],$A44, Data_main[Segment],$B44, Data_main[Scenario],$B$3)),SUMIFS(INDIRECT("Data_main"&amp;"["&amp;AT$8&amp;"]"),Data_main[Data],$A44, Data_main[Segment],$B44, Data_main[Scenario],$B$3)),SUMIFS(INDIRECT("Data_main"&amp;"["&amp;AT$8&amp;"]"),Data_main[Data],$A44, Data_main[Segment],$B44, Data_main[Scenario],$B$3))</f>
        <v>0</v>
      </c>
      <c r="AU44" s="531">
        <f ca="1">IF($B$6="ON", IF(AU42&gt;=covid_start, IF(AU42&lt;covid_recovery,NA(),SUMIFS(INDIRECT("Data_main"&amp;"["&amp;AU$8&amp;"]"),Data_main[Data],$A44, Data_main[Segment],$B44, Data_main[Scenario],$B$3)),SUMIFS(INDIRECT("Data_main"&amp;"["&amp;AU$8&amp;"]"),Data_main[Data],$A44, Data_main[Segment],$B44, Data_main[Scenario],$B$3)),SUMIFS(INDIRECT("Data_main"&amp;"["&amp;AU$8&amp;"]"),Data_main[Data],$A44, Data_main[Segment],$B44, Data_main[Scenario],$B$3))</f>
        <v>0</v>
      </c>
      <c r="AV44" s="531">
        <f ca="1">IF($B$6="ON", IF(AV42&gt;=covid_start, IF(AV42&lt;covid_recovery,NA(),SUMIFS(INDIRECT("Data_main"&amp;"["&amp;AV$8&amp;"]"),Data_main[Data],$A44, Data_main[Segment],$B44, Data_main[Scenario],$B$3)),SUMIFS(INDIRECT("Data_main"&amp;"["&amp;AV$8&amp;"]"),Data_main[Data],$A44, Data_main[Segment],$B44, Data_main[Scenario],$B$3)),SUMIFS(INDIRECT("Data_main"&amp;"["&amp;AV$8&amp;"]"),Data_main[Data],$A44, Data_main[Segment],$B44, Data_main[Scenario],$B$3))</f>
        <v>0</v>
      </c>
      <c r="AW44" s="531">
        <f ca="1">IF($B$6="ON", IF(AW42&gt;=covid_start, IF(AW42&lt;covid_recovery,NA(),SUMIFS(INDIRECT("Data_main"&amp;"["&amp;AW$8&amp;"]"),Data_main[Data],$A44, Data_main[Segment],$B44, Data_main[Scenario],$B$3)),SUMIFS(INDIRECT("Data_main"&amp;"["&amp;AW$8&amp;"]"),Data_main[Data],$A44, Data_main[Segment],$B44, Data_main[Scenario],$B$3)),SUMIFS(INDIRECT("Data_main"&amp;"["&amp;AW$8&amp;"]"),Data_main[Data],$A44, Data_main[Segment],$B44, Data_main[Scenario],$B$3))</f>
        <v>0</v>
      </c>
      <c r="AX44" s="531">
        <f ca="1">IF($B$6="ON", IF(AX42&gt;=covid_start, IF(AX42&lt;covid_recovery,NA(),SUMIFS(INDIRECT("Data_main"&amp;"["&amp;AX$8&amp;"]"),Data_main[Data],$A44, Data_main[Segment],$B44, Data_main[Scenario],$B$3)),SUMIFS(INDIRECT("Data_main"&amp;"["&amp;AX$8&amp;"]"),Data_main[Data],$A44, Data_main[Segment],$B44, Data_main[Scenario],$B$3)),SUMIFS(INDIRECT("Data_main"&amp;"["&amp;AX$8&amp;"]"),Data_main[Data],$A44, Data_main[Segment],$B44, Data_main[Scenario],$B$3))</f>
        <v>0</v>
      </c>
      <c r="AY44" s="531">
        <f ca="1">IF($B$6="ON", IF(AY42&gt;=covid_start, IF(AY42&lt;covid_recovery,NA(),SUMIFS(INDIRECT("Data_main"&amp;"["&amp;AY$8&amp;"]"),Data_main[Data],$A44, Data_main[Segment],$B44, Data_main[Scenario],$B$3)),SUMIFS(INDIRECT("Data_main"&amp;"["&amp;AY$8&amp;"]"),Data_main[Data],$A44, Data_main[Segment],$B44, Data_main[Scenario],$B$3)),SUMIFS(INDIRECT("Data_main"&amp;"["&amp;AY$8&amp;"]"),Data_main[Data],$A44, Data_main[Segment],$B44, Data_main[Scenario],$B$3))</f>
        <v>0</v>
      </c>
      <c r="AZ44" s="531">
        <f ca="1">IF($B$6="ON", IF(AZ42&gt;=covid_start, IF(AZ42&lt;covid_recovery,NA(),SUMIFS(INDIRECT("Data_main"&amp;"["&amp;AZ$8&amp;"]"),Data_main[Data],$A44, Data_main[Segment],$B44, Data_main[Scenario],$B$3)),SUMIFS(INDIRECT("Data_main"&amp;"["&amp;AZ$8&amp;"]"),Data_main[Data],$A44, Data_main[Segment],$B44, Data_main[Scenario],$B$3)),SUMIFS(INDIRECT("Data_main"&amp;"["&amp;AZ$8&amp;"]"),Data_main[Data],$A44, Data_main[Segment],$B44, Data_main[Scenario],$B$3))</f>
        <v>0</v>
      </c>
      <c r="BA44" s="531">
        <f ca="1">IF($B$6="ON", IF(BA42&gt;=covid_start, IF(BA42&lt;covid_recovery,NA(),SUMIFS(INDIRECT("Data_main"&amp;"["&amp;BA$8&amp;"]"),Data_main[Data],$A44, Data_main[Segment],$B44, Data_main[Scenario],$B$3)),SUMIFS(INDIRECT("Data_main"&amp;"["&amp;BA$8&amp;"]"),Data_main[Data],$A44, Data_main[Segment],$B44, Data_main[Scenario],$B$3)),SUMIFS(INDIRECT("Data_main"&amp;"["&amp;BA$8&amp;"]"),Data_main[Data],$A44, Data_main[Segment],$B44, Data_main[Scenario],$B$3))</f>
        <v>0</v>
      </c>
      <c r="BB44" s="531">
        <f ca="1">IF($B$6="ON", IF(BB42&gt;=covid_start, IF(BB42&lt;covid_recovery,NA(),SUMIFS(INDIRECT("Data_main"&amp;"["&amp;BB$8&amp;"]"),Data_main[Data],$A44, Data_main[Segment],$B44, Data_main[Scenario],$B$3)),SUMIFS(INDIRECT("Data_main"&amp;"["&amp;BB$8&amp;"]"),Data_main[Data],$A44, Data_main[Segment],$B44, Data_main[Scenario],$B$3)),SUMIFS(INDIRECT("Data_main"&amp;"["&amp;BB$8&amp;"]"),Data_main[Data],$A44, Data_main[Segment],$B44, Data_main[Scenario],$B$3))</f>
        <v>0</v>
      </c>
      <c r="BC44" s="531">
        <f ca="1">IF($B$6="ON", IF(BC42&gt;=covid_start, IF(BC42&lt;covid_recovery,NA(),SUMIFS(INDIRECT("Data_main"&amp;"["&amp;BC$8&amp;"]"),Data_main[Data],$A44, Data_main[Segment],$B44, Data_main[Scenario],$B$3)),SUMIFS(INDIRECT("Data_main"&amp;"["&amp;BC$8&amp;"]"),Data_main[Data],$A44, Data_main[Segment],$B44, Data_main[Scenario],$B$3)),SUMIFS(INDIRECT("Data_main"&amp;"["&amp;BC$8&amp;"]"),Data_main[Data],$A44, Data_main[Segment],$B44, Data_main[Scenario],$B$3))</f>
        <v>0</v>
      </c>
      <c r="BD44" s="531">
        <f ca="1">IF($B$6="ON", IF(BD42&gt;=covid_start, IF(BD42&lt;covid_recovery,NA(),SUMIFS(INDIRECT("Data_main"&amp;"["&amp;BD$8&amp;"]"),Data_main[Data],$A44, Data_main[Segment],$B44, Data_main[Scenario],$B$3)),SUMIFS(INDIRECT("Data_main"&amp;"["&amp;BD$8&amp;"]"),Data_main[Data],$A44, Data_main[Segment],$B44, Data_main[Scenario],$B$3)),SUMIFS(INDIRECT("Data_main"&amp;"["&amp;BD$8&amp;"]"),Data_main[Data],$A44, Data_main[Segment],$B44, Data_main[Scenario],$B$3))</f>
        <v>0</v>
      </c>
      <c r="BE44" s="531">
        <f ca="1">IF($B$6="ON", IF(BE42&gt;=covid_start, IF(BE42&lt;covid_recovery,NA(),SUMIFS(INDIRECT("Data_main"&amp;"["&amp;BE$8&amp;"]"),Data_main[Data],$A44, Data_main[Segment],$B44, Data_main[Scenario],$B$3)),SUMIFS(INDIRECT("Data_main"&amp;"["&amp;BE$8&amp;"]"),Data_main[Data],$A44, Data_main[Segment],$B44, Data_main[Scenario],$B$3)),SUMIFS(INDIRECT("Data_main"&amp;"["&amp;BE$8&amp;"]"),Data_main[Data],$A44, Data_main[Segment],$B44, Data_main[Scenario],$B$3))</f>
        <v>0</v>
      </c>
      <c r="BF44" s="531">
        <f ca="1">IF($B$6="ON", IF(BF42&gt;=covid_start, IF(BF42&lt;covid_recovery,NA(),SUMIFS(INDIRECT("Data_main"&amp;"["&amp;BF$8&amp;"]"),Data_main[Data],$A44, Data_main[Segment],$B44, Data_main[Scenario],$B$3)),SUMIFS(INDIRECT("Data_main"&amp;"["&amp;BF$8&amp;"]"),Data_main[Data],$A44, Data_main[Segment],$B44, Data_main[Scenario],$B$3)),SUMIFS(INDIRECT("Data_main"&amp;"["&amp;BF$8&amp;"]"),Data_main[Data],$A44, Data_main[Segment],$B44, Data_main[Scenario],$B$3))</f>
        <v>0</v>
      </c>
      <c r="BG44" s="531">
        <f ca="1">IF($B$6="ON", IF(BG42&gt;=covid_start, IF(BG42&lt;covid_recovery,NA(),SUMIFS(INDIRECT("Data_main"&amp;"["&amp;BG$8&amp;"]"),Data_main[Data],$A44, Data_main[Segment],$B44, Data_main[Scenario],$B$3)),SUMIFS(INDIRECT("Data_main"&amp;"["&amp;BG$8&amp;"]"),Data_main[Data],$A44, Data_main[Segment],$B44, Data_main[Scenario],$B$3)),SUMIFS(INDIRECT("Data_main"&amp;"["&amp;BG$8&amp;"]"),Data_main[Data],$A44, Data_main[Segment],$B44, Data_main[Scenario],$B$3))</f>
        <v>0</v>
      </c>
      <c r="BH44" s="531">
        <f ca="1">IF($B$6="ON", IF(BH42&gt;=covid_start, IF(BH42&lt;covid_recovery,NA(),SUMIFS(INDIRECT("Data_main"&amp;"["&amp;BH$8&amp;"]"),Data_main[Data],$A44, Data_main[Segment],$B44, Data_main[Scenario],$B$3)),SUMIFS(INDIRECT("Data_main"&amp;"["&amp;BH$8&amp;"]"),Data_main[Data],$A44, Data_main[Segment],$B44, Data_main[Scenario],$B$3)),SUMIFS(INDIRECT("Data_main"&amp;"["&amp;BH$8&amp;"]"),Data_main[Data],$A44, Data_main[Segment],$B44, Data_main[Scenario],$B$3))</f>
        <v>0</v>
      </c>
      <c r="BI44" s="531">
        <f ca="1">IF($B$6="ON", IF(BI42&gt;=covid_start, IF(BI42&lt;covid_recovery,NA(),SUMIFS(INDIRECT("Data_main"&amp;"["&amp;BI$8&amp;"]"),Data_main[Data],$A44, Data_main[Segment],$B44, Data_main[Scenario],$B$3)),SUMIFS(INDIRECT("Data_main"&amp;"["&amp;BI$8&amp;"]"),Data_main[Data],$A44, Data_main[Segment],$B44, Data_main[Scenario],$B$3)),SUMIFS(INDIRECT("Data_main"&amp;"["&amp;BI$8&amp;"]"),Data_main[Data],$A44, Data_main[Segment],$B44, Data_main[Scenario],$B$3))</f>
        <v>0</v>
      </c>
      <c r="BJ44" s="531">
        <f ca="1">IF($B$6="ON", IF(BJ42&gt;=covid_start, IF(BJ42&lt;covid_recovery,NA(),SUMIFS(INDIRECT("Data_main"&amp;"["&amp;BJ$8&amp;"]"),Data_main[Data],$A44, Data_main[Segment],$B44, Data_main[Scenario],$B$3)),SUMIFS(INDIRECT("Data_main"&amp;"["&amp;BJ$8&amp;"]"),Data_main[Data],$A44, Data_main[Segment],$B44, Data_main[Scenario],$B$3)),SUMIFS(INDIRECT("Data_main"&amp;"["&amp;BJ$8&amp;"]"),Data_main[Data],$A44, Data_main[Segment],$B44, Data_main[Scenario],$B$3))</f>
        <v>0</v>
      </c>
      <c r="BK44" s="531">
        <f ca="1">IF($B$6="ON", IF(BK42&gt;=covid_start, IF(BK42&lt;covid_recovery,NA(),SUMIFS(INDIRECT("Data_main"&amp;"["&amp;BK$8&amp;"]"),Data_main[Data],$A44, Data_main[Segment],$B44, Data_main[Scenario],$B$3)),SUMIFS(INDIRECT("Data_main"&amp;"["&amp;BK$8&amp;"]"),Data_main[Data],$A44, Data_main[Segment],$B44, Data_main[Scenario],$B$3)),SUMIFS(INDIRECT("Data_main"&amp;"["&amp;BK$8&amp;"]"),Data_main[Data],$A44, Data_main[Segment],$B44, Data_main[Scenario],$B$3))</f>
        <v>0</v>
      </c>
      <c r="BL44" s="531">
        <f ca="1">IF($B$6="ON", IF(BL42&gt;=covid_start, IF(BL42&lt;covid_recovery,NA(),SUMIFS(INDIRECT("Data_main"&amp;"["&amp;BL$8&amp;"]"),Data_main[Data],$A44, Data_main[Segment],$B44, Data_main[Scenario],$B$3)),SUMIFS(INDIRECT("Data_main"&amp;"["&amp;BL$8&amp;"]"),Data_main[Data],$A44, Data_main[Segment],$B44, Data_main[Scenario],$B$3)),SUMIFS(INDIRECT("Data_main"&amp;"["&amp;BL$8&amp;"]"),Data_main[Data],$A44, Data_main[Segment],$B44, Data_main[Scenario],$B$3))</f>
        <v>0</v>
      </c>
      <c r="BM44" s="531">
        <f ca="1">IF($B$6="ON", IF(BM42&gt;=covid_start, IF(BM42&lt;covid_recovery,NA(),SUMIFS(INDIRECT("Data_main"&amp;"["&amp;BM$8&amp;"]"),Data_main[Data],$A44, Data_main[Segment],$B44, Data_main[Scenario],$B$3)),SUMIFS(INDIRECT("Data_main"&amp;"["&amp;BM$8&amp;"]"),Data_main[Data],$A44, Data_main[Segment],$B44, Data_main[Scenario],$B$3)),SUMIFS(INDIRECT("Data_main"&amp;"["&amp;BM$8&amp;"]"),Data_main[Data],$A44, Data_main[Segment],$B44, Data_main[Scenario],$B$3))</f>
        <v>0</v>
      </c>
      <c r="BN44" s="531">
        <f ca="1">IF($B$6="ON", IF(BN42&gt;=covid_start, IF(BN42&lt;covid_recovery,NA(),SUMIFS(INDIRECT("Data_main"&amp;"["&amp;BN$8&amp;"]"),Data_main[Data],$A44, Data_main[Segment],$B44, Data_main[Scenario],$B$3)),SUMIFS(INDIRECT("Data_main"&amp;"["&amp;BN$8&amp;"]"),Data_main[Data],$A44, Data_main[Segment],$B44, Data_main[Scenario],$B$3)),SUMIFS(INDIRECT("Data_main"&amp;"["&amp;BN$8&amp;"]"),Data_main[Data],$A44, Data_main[Segment],$B44, Data_main[Scenario],$B$3))</f>
        <v>0</v>
      </c>
      <c r="BO44" s="531">
        <f ca="1">IF($B$6="ON", IF(BO42&gt;=covid_start, IF(BO42&lt;covid_recovery,NA(),SUMIFS(INDIRECT("Data_main"&amp;"["&amp;BO$8&amp;"]"),Data_main[Data],$A44, Data_main[Segment],$B44, Data_main[Scenario],$B$3)),SUMIFS(INDIRECT("Data_main"&amp;"["&amp;BO$8&amp;"]"),Data_main[Data],$A44, Data_main[Segment],$B44, Data_main[Scenario],$B$3)),SUMIFS(INDIRECT("Data_main"&amp;"["&amp;BO$8&amp;"]"),Data_main[Data],$A44, Data_main[Segment],$B44, Data_main[Scenario],$B$3))</f>
        <v>0</v>
      </c>
      <c r="BP44" s="531">
        <f ca="1">IF($B$6="ON", IF(BP42&gt;=covid_start, IF(BP42&lt;covid_recovery,NA(),SUMIFS(INDIRECT("Data_main"&amp;"["&amp;BP$8&amp;"]"),Data_main[Data],$A44, Data_main[Segment],$B44, Data_main[Scenario],$B$3)),SUMIFS(INDIRECT("Data_main"&amp;"["&amp;BP$8&amp;"]"),Data_main[Data],$A44, Data_main[Segment],$B44, Data_main[Scenario],$B$3)),SUMIFS(INDIRECT("Data_main"&amp;"["&amp;BP$8&amp;"]"),Data_main[Data],$A44, Data_main[Segment],$B44, Data_main[Scenario],$B$3))</f>
        <v>0</v>
      </c>
      <c r="BQ44" s="531">
        <f ca="1">IF($B$6="ON", IF(BQ42&gt;=covid_start, IF(BQ42&lt;covid_recovery,NA(),SUMIFS(INDIRECT("Data_main"&amp;"["&amp;BQ$8&amp;"]"),Data_main[Data],$A44, Data_main[Segment],$B44, Data_main[Scenario],$B$3)),SUMIFS(INDIRECT("Data_main"&amp;"["&amp;BQ$8&amp;"]"),Data_main[Data],$A44, Data_main[Segment],$B44, Data_main[Scenario],$B$3)),SUMIFS(INDIRECT("Data_main"&amp;"["&amp;BQ$8&amp;"]"),Data_main[Data],$A44, Data_main[Segment],$B44, Data_main[Scenario],$B$3))</f>
        <v>0</v>
      </c>
      <c r="BR44" s="531">
        <f ca="1">IF($B$6="ON", IF(BR42&gt;=covid_start, IF(BR42&lt;covid_recovery,NA(),SUMIFS(INDIRECT("Data_main"&amp;"["&amp;BR$8&amp;"]"),Data_main[Data],$A44, Data_main[Segment],$B44, Data_main[Scenario],$B$3)),SUMIFS(INDIRECT("Data_main"&amp;"["&amp;BR$8&amp;"]"),Data_main[Data],$A44, Data_main[Segment],$B44, Data_main[Scenario],$B$3)),SUMIFS(INDIRECT("Data_main"&amp;"["&amp;BR$8&amp;"]"),Data_main[Data],$A44, Data_main[Segment],$B44, Data_main[Scenario],$B$3))</f>
        <v>0</v>
      </c>
      <c r="BS44" s="531">
        <f ca="1">IF($B$6="ON", IF(BS42&gt;=covid_start, IF(BS42&lt;covid_recovery,NA(),SUMIFS(INDIRECT("Data_main"&amp;"["&amp;BS$8&amp;"]"),Data_main[Data],$A44, Data_main[Segment],$B44, Data_main[Scenario],$B$3)),SUMIFS(INDIRECT("Data_main"&amp;"["&amp;BS$8&amp;"]"),Data_main[Data],$A44, Data_main[Segment],$B44, Data_main[Scenario],$B$3)),SUMIFS(INDIRECT("Data_main"&amp;"["&amp;BS$8&amp;"]"),Data_main[Data],$A44, Data_main[Segment],$B44, Data_main[Scenario],$B$3))</f>
        <v>0</v>
      </c>
      <c r="BT44" s="531">
        <f ca="1">IF($B$6="ON", IF(BT42&gt;=covid_start, IF(BT42&lt;covid_recovery,NA(),SUMIFS(INDIRECT("Data_main"&amp;"["&amp;BT$8&amp;"]"),Data_main[Data],$A44, Data_main[Segment],$B44, Data_main[Scenario],$B$3)),SUMIFS(INDIRECT("Data_main"&amp;"["&amp;BT$8&amp;"]"),Data_main[Data],$A44, Data_main[Segment],$B44, Data_main[Scenario],$B$3)),SUMIFS(INDIRECT("Data_main"&amp;"["&amp;BT$8&amp;"]"),Data_main[Data],$A44, Data_main[Segment],$B44, Data_main[Scenario],$B$3))</f>
        <v>0</v>
      </c>
      <c r="BU44" s="531">
        <f ca="1">IF($B$6="ON", IF(BU42&gt;=covid_start, IF(BU42&lt;covid_recovery,NA(),SUMIFS(INDIRECT("Data_main"&amp;"["&amp;BU$8&amp;"]"),Data_main[Data],$A44, Data_main[Segment],$B44, Data_main[Scenario],$B$3)),SUMIFS(INDIRECT("Data_main"&amp;"["&amp;BU$8&amp;"]"),Data_main[Data],$A44, Data_main[Segment],$B44, Data_main[Scenario],$B$3)),SUMIFS(INDIRECT("Data_main"&amp;"["&amp;BU$8&amp;"]"),Data_main[Data],$A44, Data_main[Segment],$B44, Data_main[Scenario],$B$3))</f>
        <v>0</v>
      </c>
      <c r="BV44" s="531">
        <f ca="1">IF($B$6="ON", IF(BV42&gt;=covid_start, IF(BV42&lt;covid_recovery,NA(),SUMIFS(INDIRECT("Data_main"&amp;"["&amp;BV$8&amp;"]"),Data_main[Data],$A44, Data_main[Segment],$B44, Data_main[Scenario],$B$3)),SUMIFS(INDIRECT("Data_main"&amp;"["&amp;BV$8&amp;"]"),Data_main[Data],$A44, Data_main[Segment],$B44, Data_main[Scenario],$B$3)),SUMIFS(INDIRECT("Data_main"&amp;"["&amp;BV$8&amp;"]"),Data_main[Data],$A44, Data_main[Segment],$B44, Data_main[Scenario],$B$3))</f>
        <v>0</v>
      </c>
      <c r="BW44" s="531">
        <f ca="1">IF($B$6="ON", IF(BW42&gt;=covid_start, IF(BW42&lt;covid_recovery,NA(),SUMIFS(INDIRECT("Data_main"&amp;"["&amp;BW$8&amp;"]"),Data_main[Data],$A44, Data_main[Segment],$B44, Data_main[Scenario],$B$3)),SUMIFS(INDIRECT("Data_main"&amp;"["&amp;BW$8&amp;"]"),Data_main[Data],$A44, Data_main[Segment],$B44, Data_main[Scenario],$B$3)),SUMIFS(INDIRECT("Data_main"&amp;"["&amp;BW$8&amp;"]"),Data_main[Data],$A44, Data_main[Segment],$B44, Data_main[Scenario],$B$3))</f>
        <v>0</v>
      </c>
      <c r="BX44" s="531">
        <f ca="1">IF($B$6="ON", IF(BX42&gt;=covid_start, IF(BX42&lt;covid_recovery,NA(),SUMIFS(INDIRECT("Data_main"&amp;"["&amp;BX$8&amp;"]"),Data_main[Data],$A44, Data_main[Segment],$B44, Data_main[Scenario],$B$3)),SUMIFS(INDIRECT("Data_main"&amp;"["&amp;BX$8&amp;"]"),Data_main[Data],$A44, Data_main[Segment],$B44, Data_main[Scenario],$B$3)),SUMIFS(INDIRECT("Data_main"&amp;"["&amp;BX$8&amp;"]"),Data_main[Data],$A44, Data_main[Segment],$B44, Data_main[Scenario],$B$3))</f>
        <v>0</v>
      </c>
      <c r="BY44" s="531">
        <f ca="1">IF($B$6="ON", IF(BY42&gt;=covid_start, IF(BY42&lt;covid_recovery,NA(),SUMIFS(INDIRECT("Data_main"&amp;"["&amp;BY$8&amp;"]"),Data_main[Data],$A44, Data_main[Segment],$B44, Data_main[Scenario],$B$3)),SUMIFS(INDIRECT("Data_main"&amp;"["&amp;BY$8&amp;"]"),Data_main[Data],$A44, Data_main[Segment],$B44, Data_main[Scenario],$B$3)),SUMIFS(INDIRECT("Data_main"&amp;"["&amp;BY$8&amp;"]"),Data_main[Data],$A44, Data_main[Segment],$B44, Data_main[Scenario],$B$3))</f>
        <v>0</v>
      </c>
      <c r="BZ44" s="531">
        <f ca="1">IF($B$6="ON", IF(BZ42&gt;=covid_start, IF(BZ42&lt;covid_recovery,NA(),SUMIFS(INDIRECT("Data_main"&amp;"["&amp;BZ$8&amp;"]"),Data_main[Data],$A44, Data_main[Segment],$B44, Data_main[Scenario],$B$3)),SUMIFS(INDIRECT("Data_main"&amp;"["&amp;BZ$8&amp;"]"),Data_main[Data],$A44, Data_main[Segment],$B44, Data_main[Scenario],$B$3)),SUMIFS(INDIRECT("Data_main"&amp;"["&amp;BZ$8&amp;"]"),Data_main[Data],$A44, Data_main[Segment],$B44, Data_main[Scenario],$B$3))</f>
        <v>0</v>
      </c>
      <c r="CA44" s="531">
        <f ca="1">IF($B$6="ON", IF(CA42&gt;=covid_start, IF(CA42&lt;covid_recovery,NA(),SUMIFS(INDIRECT("Data_main"&amp;"["&amp;CA$8&amp;"]"),Data_main[Data],$A44, Data_main[Segment],$B44, Data_main[Scenario],$B$3)),SUMIFS(INDIRECT("Data_main"&amp;"["&amp;CA$8&amp;"]"),Data_main[Data],$A44, Data_main[Segment],$B44, Data_main[Scenario],$B$3)),SUMIFS(INDIRECT("Data_main"&amp;"["&amp;CA$8&amp;"]"),Data_main[Data],$A44, Data_main[Segment],$B44, Data_main[Scenario],$B$3))</f>
        <v>0</v>
      </c>
      <c r="CB44" s="531">
        <f ca="1">IF($B$6="ON", IF(CB42&gt;=covid_start, IF(CB42&lt;covid_recovery,NA(),SUMIFS(INDIRECT("Data_main"&amp;"["&amp;CB$8&amp;"]"),Data_main[Data],$A44, Data_main[Segment],$B44, Data_main[Scenario],$B$3)),SUMIFS(INDIRECT("Data_main"&amp;"["&amp;CB$8&amp;"]"),Data_main[Data],$A44, Data_main[Segment],$B44, Data_main[Scenario],$B$3)),SUMIFS(INDIRECT("Data_main"&amp;"["&amp;CB$8&amp;"]"),Data_main[Data],$A44, Data_main[Segment],$B44, Data_main[Scenario],$B$3))</f>
        <v>0</v>
      </c>
      <c r="CC44" s="531">
        <f ca="1">IF($B$6="ON", IF(CC42&gt;=covid_start, IF(CC42&lt;covid_recovery,NA(),SUMIFS(INDIRECT("Data_main"&amp;"["&amp;CC$8&amp;"]"),Data_main[Data],$A44, Data_main[Segment],$B44, Data_main[Scenario],$B$3)),SUMIFS(INDIRECT("Data_main"&amp;"["&amp;CC$8&amp;"]"),Data_main[Data],$A44, Data_main[Segment],$B44, Data_main[Scenario],$B$3)),SUMIFS(INDIRECT("Data_main"&amp;"["&amp;CC$8&amp;"]"),Data_main[Data],$A44, Data_main[Segment],$B44, Data_main[Scenario],$B$3))</f>
        <v>0</v>
      </c>
      <c r="CD44" s="531">
        <f ca="1">IF($B$6="ON", IF(CD42&gt;=covid_start, IF(CD42&lt;covid_recovery,NA(),SUMIFS(INDIRECT("Data_main"&amp;"["&amp;CD$8&amp;"]"),Data_main[Data],$A44, Data_main[Segment],$B44, Data_main[Scenario],$B$3)),SUMIFS(INDIRECT("Data_main"&amp;"["&amp;CD$8&amp;"]"),Data_main[Data],$A44, Data_main[Segment],$B44, Data_main[Scenario],$B$3)),SUMIFS(INDIRECT("Data_main"&amp;"["&amp;CD$8&amp;"]"),Data_main[Data],$A44, Data_main[Segment],$B44, Data_main[Scenario],$B$3))</f>
        <v>0</v>
      </c>
      <c r="CE44" s="531">
        <f ca="1">IF($B$6="ON", IF(CE42&gt;=covid_start, IF(CE42&lt;covid_recovery,NA(),SUMIFS(INDIRECT("Data_main"&amp;"["&amp;CE$8&amp;"]"),Data_main[Data],$A44, Data_main[Segment],$B44, Data_main[Scenario],$B$3)),SUMIFS(INDIRECT("Data_main"&amp;"["&amp;CE$8&amp;"]"),Data_main[Data],$A44, Data_main[Segment],$B44, Data_main[Scenario],$B$3)),SUMIFS(INDIRECT("Data_main"&amp;"["&amp;CE$8&amp;"]"),Data_main[Data],$A44, Data_main[Segment],$B44, Data_main[Scenario],$B$3))</f>
        <v>0</v>
      </c>
      <c r="CF44" s="531">
        <f ca="1">IF($B$6="ON", IF(CF42&gt;=covid_start, IF(CF42&lt;covid_recovery,NA(),SUMIFS(INDIRECT("Data_main"&amp;"["&amp;CF$8&amp;"]"),Data_main[Data],$A44, Data_main[Segment],$B44, Data_main[Scenario],$B$3)),SUMIFS(INDIRECT("Data_main"&amp;"["&amp;CF$8&amp;"]"),Data_main[Data],$A44, Data_main[Segment],$B44, Data_main[Scenario],$B$3)),SUMIFS(INDIRECT("Data_main"&amp;"["&amp;CF$8&amp;"]"),Data_main[Data],$A44, Data_main[Segment],$B44, Data_main[Scenario],$B$3))</f>
        <v>0</v>
      </c>
      <c r="CG44" s="531">
        <f ca="1">IF($B$6="ON", IF(CG42&gt;=covid_start, IF(CG42&lt;covid_recovery,NA(),SUMIFS(INDIRECT("Data_main"&amp;"["&amp;CG$8&amp;"]"),Data_main[Data],$A44, Data_main[Segment],$B44, Data_main[Scenario],$B$3)),SUMIFS(INDIRECT("Data_main"&amp;"["&amp;CG$8&amp;"]"),Data_main[Data],$A44, Data_main[Segment],$B44, Data_main[Scenario],$B$3)),SUMIFS(INDIRECT("Data_main"&amp;"["&amp;CG$8&amp;"]"),Data_main[Data],$A44, Data_main[Segment],$B44, Data_main[Scenario],$B$3))</f>
        <v>0</v>
      </c>
      <c r="CH44" s="531">
        <f ca="1">IF($B$6="ON", IF(CH42&gt;=covid_start, IF(CH42&lt;covid_recovery,NA(),SUMIFS(INDIRECT("Data_main"&amp;"["&amp;CH$8&amp;"]"),Data_main[Data],$A44, Data_main[Segment],$B44, Data_main[Scenario],$B$3)),SUMIFS(INDIRECT("Data_main"&amp;"["&amp;CH$8&amp;"]"),Data_main[Data],$A44, Data_main[Segment],$B44, Data_main[Scenario],$B$3)),SUMIFS(INDIRECT("Data_main"&amp;"["&amp;CH$8&amp;"]"),Data_main[Data],$A44, Data_main[Segment],$B44, Data_main[Scenario],$B$3))</f>
        <v>0</v>
      </c>
      <c r="CI44" s="531">
        <f ca="1">IF($B$6="ON", IF(CI42&gt;=covid_start, IF(CI42&lt;covid_recovery,NA(),SUMIFS(INDIRECT("Data_main"&amp;"["&amp;CI$8&amp;"]"),Data_main[Data],$A44, Data_main[Segment],$B44, Data_main[Scenario],$B$3)),SUMIFS(INDIRECT("Data_main"&amp;"["&amp;CI$8&amp;"]"),Data_main[Data],$A44, Data_main[Segment],$B44, Data_main[Scenario],$B$3)),SUMIFS(INDIRECT("Data_main"&amp;"["&amp;CI$8&amp;"]"),Data_main[Data],$A44, Data_main[Segment],$B44, Data_main[Scenario],$B$3))</f>
        <v>0</v>
      </c>
      <c r="CJ44" s="531">
        <f ca="1">IF($B$6="ON", IF(CJ42&gt;=covid_start, IF(CJ42&lt;covid_recovery,NA(),SUMIFS(INDIRECT("Data_main"&amp;"["&amp;CJ$8&amp;"]"),Data_main[Data],$A44, Data_main[Segment],$B44, Data_main[Scenario],$B$3)),SUMIFS(INDIRECT("Data_main"&amp;"["&amp;CJ$8&amp;"]"),Data_main[Data],$A44, Data_main[Segment],$B44, Data_main[Scenario],$B$3)),SUMIFS(INDIRECT("Data_main"&amp;"["&amp;CJ$8&amp;"]"),Data_main[Data],$A44, Data_main[Segment],$B44, Data_main[Scenario],$B$3))</f>
        <v>0</v>
      </c>
      <c r="CK44" s="531">
        <f ca="1">IF($B$6="ON", IF(CK42&gt;=covid_start, IF(CK42&lt;covid_recovery,NA(),SUMIFS(INDIRECT("Data_main"&amp;"["&amp;CK$8&amp;"]"),Data_main[Data],$A44, Data_main[Segment],$B44, Data_main[Scenario],$B$3)),SUMIFS(INDIRECT("Data_main"&amp;"["&amp;CK$8&amp;"]"),Data_main[Data],$A44, Data_main[Segment],$B44, Data_main[Scenario],$B$3)),SUMIFS(INDIRECT("Data_main"&amp;"["&amp;CK$8&amp;"]"),Data_main[Data],$A44, Data_main[Segment],$B44, Data_main[Scenario],$B$3))</f>
        <v>0</v>
      </c>
      <c r="CL44" s="531">
        <f ca="1">IF($B$6="ON", IF(CL42&gt;=covid_start, IF(CL42&lt;covid_recovery,NA(),SUMIFS(INDIRECT("Data_main"&amp;"["&amp;CL$8&amp;"]"),Data_main[Data],$A44, Data_main[Segment],$B44, Data_main[Scenario],$B$3)),SUMIFS(INDIRECT("Data_main"&amp;"["&amp;CL$8&amp;"]"),Data_main[Data],$A44, Data_main[Segment],$B44, Data_main[Scenario],$B$3)),SUMIFS(INDIRECT("Data_main"&amp;"["&amp;CL$8&amp;"]"),Data_main[Data],$A44, Data_main[Segment],$B44, Data_main[Scenario],$B$3))</f>
        <v>0</v>
      </c>
      <c r="CN44" s="613">
        <f ca="1">IFERROR((Y44/H44)^(1/17)-1,"")</f>
        <v>2.9366188858404474E-2</v>
      </c>
      <c r="CO44" s="613">
        <f ca="1">IFERROR((AN44/Y44)^(1/15)-1,"")</f>
        <v>2.7300190311734696E-2</v>
      </c>
      <c r="CP44" s="613">
        <f ca="1">IFERROR((AN44/H44)^(1/32)-1,"")</f>
        <v>2.83972352121733E-2</v>
      </c>
    </row>
    <row r="45" spans="1:94" outlineLevel="1">
      <c r="A45" s="532" t="s">
        <v>158</v>
      </c>
      <c r="B45" s="532" t="str">
        <f t="shared" si="112"/>
        <v>Belly</v>
      </c>
      <c r="C45" s="533" t="s">
        <v>263</v>
      </c>
      <c r="D45" s="530" t="s">
        <v>276</v>
      </c>
      <c r="E45" s="531">
        <f ca="1">IF($B$6="ON", IF(E42&gt;=covid_start, IF(E42&lt;covid_recovery,NA(),SUMIFS(INDIRECT("Data_main"&amp;"["&amp;E$8&amp;"]"),Data_main[Data],$A45, Data_main[Segment],$B45, Data_main[Scenario],$B$3)),SUMIFS(INDIRECT("Data_main"&amp;"["&amp;E$8&amp;"]"),Data_main[Data],$A45, Data_main[Segment],$B45, Data_main[Scenario],$B$3)),SUMIFS(INDIRECT("Data_main"&amp;"["&amp;E$8&amp;"]"),Data_main[Data],$A45, Data_main[Segment],$B45, Data_main[Scenario],$B$3))</f>
        <v>683.29204166542684</v>
      </c>
      <c r="F45" s="531">
        <f ca="1">IF($B$6="ON", IF(F42&gt;=covid_start, IF(F42&lt;covid_recovery,NA(),SUMIFS(INDIRECT("Data_main"&amp;"["&amp;F$8&amp;"]"),Data_main[Data],$A45, Data_main[Segment],$B45, Data_main[Scenario],$B$3)),SUMIFS(INDIRECT("Data_main"&amp;"["&amp;F$8&amp;"]"),Data_main[Data],$A45, Data_main[Segment],$B45, Data_main[Scenario],$B$3)),SUMIFS(INDIRECT("Data_main"&amp;"["&amp;F$8&amp;"]"),Data_main[Data],$A45, Data_main[Segment],$B45, Data_main[Scenario],$B$3))</f>
        <v>670.34703768087195</v>
      </c>
      <c r="G45" s="531">
        <f ca="1">IF($B$6="ON", IF(G42&gt;=covid_start, IF(G42&lt;covid_recovery,NA(),SUMIFS(INDIRECT("Data_main"&amp;"["&amp;G$8&amp;"]"),Data_main[Data],$A45, Data_main[Segment],$B45, Data_main[Scenario],$B$3)),SUMIFS(INDIRECT("Data_main"&amp;"["&amp;G$8&amp;"]"),Data_main[Data],$A45, Data_main[Segment],$B45, Data_main[Scenario],$B$3)),SUMIFS(INDIRECT("Data_main"&amp;"["&amp;G$8&amp;"]"),Data_main[Data],$A45, Data_main[Segment],$B45, Data_main[Scenario],$B$3))</f>
        <v>659.04416585138404</v>
      </c>
      <c r="H45" s="531">
        <f ca="1">IF($B$6="ON", IF(H42&gt;=covid_start, IF(H42&lt;covid_recovery,NA(),SUMIFS(INDIRECT("Data_main"&amp;"["&amp;H$8&amp;"]"),Data_main[Data],$A45, Data_main[Segment],$B45, Data_main[Scenario],$B$3)),SUMIFS(INDIRECT("Data_main"&amp;"["&amp;H$8&amp;"]"),Data_main[Data],$A45, Data_main[Segment],$B45, Data_main[Scenario],$B$3)),SUMIFS(INDIRECT("Data_main"&amp;"["&amp;H$8&amp;"]"),Data_main[Data],$A45, Data_main[Segment],$B45, Data_main[Scenario],$B$3))</f>
        <v>649.08959525762248</v>
      </c>
      <c r="I45" s="531">
        <f ca="1">IF($B$6="ON", IF(I42&gt;=covid_start, IF(I42&lt;covid_recovery,NA(),SUMIFS(INDIRECT("Data_main"&amp;"["&amp;I$8&amp;"]"),Data_main[Data],$A45, Data_main[Segment],$B45, Data_main[Scenario],$B$3)),SUMIFS(INDIRECT("Data_main"&amp;"["&amp;I$8&amp;"]"),Data_main[Data],$A45, Data_main[Segment],$B45, Data_main[Scenario],$B$3)),SUMIFS(INDIRECT("Data_main"&amp;"["&amp;I$8&amp;"]"),Data_main[Data],$A45, Data_main[Segment],$B45, Data_main[Scenario],$B$3))</f>
        <v>635.54538040104273</v>
      </c>
      <c r="J45" s="531" t="e">
        <f ca="1">IF($B$6="ON", IF(J42&gt;=covid_start, IF(J42&lt;covid_recovery,NA(),SUMIFS(INDIRECT("Data_main"&amp;"["&amp;J$8&amp;"]"),Data_main[Data],$A45, Data_main[Segment],$B45, Data_main[Scenario],$B$3)),SUMIFS(INDIRECT("Data_main"&amp;"["&amp;J$8&amp;"]"),Data_main[Data],$A45, Data_main[Segment],$B45, Data_main[Scenario],$B$3)),SUMIFS(INDIRECT("Data_main"&amp;"["&amp;J$8&amp;"]"),Data_main[Data],$A45, Data_main[Segment],$B45, Data_main[Scenario],$B$3))</f>
        <v>#N/A</v>
      </c>
      <c r="K45" s="531" t="e">
        <f ca="1">IF($B$6="ON", IF(K42&gt;=covid_start, IF(K42&lt;covid_recovery,NA(),SUMIFS(INDIRECT("Data_main"&amp;"["&amp;K$8&amp;"]"),Data_main[Data],$A45, Data_main[Segment],$B45, Data_main[Scenario],$B$3)),SUMIFS(INDIRECT("Data_main"&amp;"["&amp;K$8&amp;"]"),Data_main[Data],$A45, Data_main[Segment],$B45, Data_main[Scenario],$B$3)),SUMIFS(INDIRECT("Data_main"&amp;"["&amp;K$8&amp;"]"),Data_main[Data],$A45, Data_main[Segment],$B45, Data_main[Scenario],$B$3))</f>
        <v>#N/A</v>
      </c>
      <c r="L45" s="531" t="e">
        <f ca="1">IF($B$6="ON", IF(L42&gt;=covid_start, IF(L42&lt;covid_recovery,NA(),SUMIFS(INDIRECT("Data_main"&amp;"["&amp;L$8&amp;"]"),Data_main[Data],$A45, Data_main[Segment],$B45, Data_main[Scenario],$B$3)),SUMIFS(INDIRECT("Data_main"&amp;"["&amp;L$8&amp;"]"),Data_main[Data],$A45, Data_main[Segment],$B45, Data_main[Scenario],$B$3)),SUMIFS(INDIRECT("Data_main"&amp;"["&amp;L$8&amp;"]"),Data_main[Data],$A45, Data_main[Segment],$B45, Data_main[Scenario],$B$3))</f>
        <v>#N/A</v>
      </c>
      <c r="M45" s="531">
        <f ca="1">IF($B$6="ON", IF(M42&gt;=covid_start, IF(M42&lt;covid_recovery,NA(),SUMIFS(INDIRECT("Data_main"&amp;"["&amp;M$8&amp;"]"),Data_main[Data],$A45, Data_main[Segment],$B45, Data_main[Scenario],$B$3)),SUMIFS(INDIRECT("Data_main"&amp;"["&amp;M$8&amp;"]"),Data_main[Data],$A45, Data_main[Segment],$B45, Data_main[Scenario],$B$3)),SUMIFS(INDIRECT("Data_main"&amp;"["&amp;M$8&amp;"]"),Data_main[Data],$A45, Data_main[Segment],$B45, Data_main[Scenario],$B$3))</f>
        <v>553.46922737806392</v>
      </c>
      <c r="N45" s="531">
        <f ca="1">IF($B$6="ON", IF(N42&gt;=covid_start, IF(N42&lt;covid_recovery,NA(),SUMIFS(INDIRECT("Data_main"&amp;"["&amp;N$8&amp;"]"),Data_main[Data],$A45, Data_main[Segment],$B45, Data_main[Scenario],$B$3)),SUMIFS(INDIRECT("Data_main"&amp;"["&amp;N$8&amp;"]"),Data_main[Data],$A45, Data_main[Segment],$B45, Data_main[Scenario],$B$3)),SUMIFS(INDIRECT("Data_main"&amp;"["&amp;N$8&amp;"]"),Data_main[Data],$A45, Data_main[Segment],$B45, Data_main[Scenario],$B$3))</f>
        <v>535.81835920356218</v>
      </c>
      <c r="O45" s="531">
        <f ca="1">IF($B$6="ON", IF(O42&gt;=covid_start, IF(O42&lt;covid_recovery,NA(),SUMIFS(INDIRECT("Data_main"&amp;"["&amp;O$8&amp;"]"),Data_main[Data],$A45, Data_main[Segment],$B45, Data_main[Scenario],$B$3)),SUMIFS(INDIRECT("Data_main"&amp;"["&amp;O$8&amp;"]"),Data_main[Data],$A45, Data_main[Segment],$B45, Data_main[Scenario],$B$3)),SUMIFS(INDIRECT("Data_main"&amp;"["&amp;O$8&amp;"]"),Data_main[Data],$A45, Data_main[Segment],$B45, Data_main[Scenario],$B$3))</f>
        <v>519.12755320332121</v>
      </c>
      <c r="P45" s="531">
        <f ca="1">IF($B$6="ON", IF(P42&gt;=covid_start, IF(P42&lt;covid_recovery,NA(),SUMIFS(INDIRECT("Data_main"&amp;"["&amp;P$8&amp;"]"),Data_main[Data],$A45, Data_main[Segment],$B45, Data_main[Scenario],$B$3)),SUMIFS(INDIRECT("Data_main"&amp;"["&amp;P$8&amp;"]"),Data_main[Data],$A45, Data_main[Segment],$B45, Data_main[Scenario],$B$3)),SUMIFS(INDIRECT("Data_main"&amp;"["&amp;P$8&amp;"]"),Data_main[Data],$A45, Data_main[Segment],$B45, Data_main[Scenario],$B$3))</f>
        <v>503.32055397226071</v>
      </c>
      <c r="Q45" s="531">
        <f ca="1">IF($B$6="ON", IF(Q42&gt;=covid_start, IF(Q42&lt;covid_recovery,NA(),SUMIFS(INDIRECT("Data_main"&amp;"["&amp;Q$8&amp;"]"),Data_main[Data],$A45, Data_main[Segment],$B45, Data_main[Scenario],$B$3)),SUMIFS(INDIRECT("Data_main"&amp;"["&amp;Q$8&amp;"]"),Data_main[Data],$A45, Data_main[Segment],$B45, Data_main[Scenario],$B$3)),SUMIFS(INDIRECT("Data_main"&amp;"["&amp;Q$8&amp;"]"),Data_main[Data],$A45, Data_main[Segment],$B45, Data_main[Scenario],$B$3))</f>
        <v>488.32897351747442</v>
      </c>
      <c r="R45" s="531">
        <f ca="1">IF($B$6="ON", IF(R42&gt;=covid_start, IF(R42&lt;covid_recovery,NA(),SUMIFS(INDIRECT("Data_main"&amp;"["&amp;R$8&amp;"]"),Data_main[Data],$A45, Data_main[Segment],$B45, Data_main[Scenario],$B$3)),SUMIFS(INDIRECT("Data_main"&amp;"["&amp;R$8&amp;"]"),Data_main[Data],$A45, Data_main[Segment],$B45, Data_main[Scenario],$B$3)),SUMIFS(INDIRECT("Data_main"&amp;"["&amp;R$8&amp;"]"),Data_main[Data],$A45, Data_main[Segment],$B45, Data_main[Scenario],$B$3))</f>
        <v>474.09130215078557</v>
      </c>
      <c r="S45" s="531">
        <f ca="1">IF($B$6="ON", IF(S42&gt;=covid_start, IF(S42&lt;covid_recovery,NA(),SUMIFS(INDIRECT("Data_main"&amp;"["&amp;S$8&amp;"]"),Data_main[Data],$A45, Data_main[Segment],$B45, Data_main[Scenario],$B$3)),SUMIFS(INDIRECT("Data_main"&amp;"["&amp;S$8&amp;"]"),Data_main[Data],$A45, Data_main[Segment],$B45, Data_main[Scenario],$B$3)),SUMIFS(INDIRECT("Data_main"&amp;"["&amp;S$8&amp;"]"),Data_main[Data],$A45, Data_main[Segment],$B45, Data_main[Scenario],$B$3))</f>
        <v>460.5520649443792</v>
      </c>
      <c r="T45" s="531">
        <f ca="1">IF($B$6="ON", IF(T42&gt;=covid_start, IF(T42&lt;covid_recovery,NA(),SUMIFS(INDIRECT("Data_main"&amp;"["&amp;T$8&amp;"]"),Data_main[Data],$A45, Data_main[Segment],$B45, Data_main[Scenario],$B$3)),SUMIFS(INDIRECT("Data_main"&amp;"["&amp;T$8&amp;"]"),Data_main[Data],$A45, Data_main[Segment],$B45, Data_main[Scenario],$B$3)),SUMIFS(INDIRECT("Data_main"&amp;"["&amp;T$8&amp;"]"),Data_main[Data],$A45, Data_main[Segment],$B45, Data_main[Scenario],$B$3))</f>
        <v>447.66109935556875</v>
      </c>
      <c r="U45" s="531">
        <f ca="1">IF($B$6="ON", IF(U42&gt;=covid_start, IF(U42&lt;covid_recovery,NA(),SUMIFS(INDIRECT("Data_main"&amp;"["&amp;U$8&amp;"]"),Data_main[Data],$A45, Data_main[Segment],$B45, Data_main[Scenario],$B$3)),SUMIFS(INDIRECT("Data_main"&amp;"["&amp;U$8&amp;"]"),Data_main[Data],$A45, Data_main[Segment],$B45, Data_main[Scenario],$B$3)),SUMIFS(INDIRECT("Data_main"&amp;"["&amp;U$8&amp;"]"),Data_main[Data],$A45, Data_main[Segment],$B45, Data_main[Scenario],$B$3))</f>
        <v>429.90605443771096</v>
      </c>
      <c r="V45" s="531">
        <f ca="1">IF($B$6="ON", IF(V42&gt;=covid_start, IF(V42&lt;covid_recovery,NA(),SUMIFS(INDIRECT("Data_main"&amp;"["&amp;V$8&amp;"]"),Data_main[Data],$A45, Data_main[Segment],$B45, Data_main[Scenario],$B$3)),SUMIFS(INDIRECT("Data_main"&amp;"["&amp;V$8&amp;"]"),Data_main[Data],$A45, Data_main[Segment],$B45, Data_main[Scenario],$B$3)),SUMIFS(INDIRECT("Data_main"&amp;"["&amp;V$8&amp;"]"),Data_main[Data],$A45, Data_main[Segment],$B45, Data_main[Scenario],$B$3))</f>
        <v>413.16732531243605</v>
      </c>
      <c r="W45" s="531">
        <f ca="1">IF($B$6="ON", IF(W42&gt;=covid_start, IF(W42&lt;covid_recovery,NA(),SUMIFS(INDIRECT("Data_main"&amp;"["&amp;W$8&amp;"]"),Data_main[Data],$A45, Data_main[Segment],$B45, Data_main[Scenario],$B$3)),SUMIFS(INDIRECT("Data_main"&amp;"["&amp;W$8&amp;"]"),Data_main[Data],$A45, Data_main[Segment],$B45, Data_main[Scenario],$B$3)),SUMIFS(INDIRECT("Data_main"&amp;"["&amp;W$8&amp;"]"),Data_main[Data],$A45, Data_main[Segment],$B45, Data_main[Scenario],$B$3))</f>
        <v>397.36007764366701</v>
      </c>
      <c r="X45" s="531">
        <f ca="1">IF($B$6="ON", IF(X42&gt;=covid_start, IF(X42&lt;covid_recovery,NA(),SUMIFS(INDIRECT("Data_main"&amp;"["&amp;X$8&amp;"]"),Data_main[Data],$A45, Data_main[Segment],$B45, Data_main[Scenario],$B$3)),SUMIFS(INDIRECT("Data_main"&amp;"["&amp;X$8&amp;"]"),Data_main[Data],$A45, Data_main[Segment],$B45, Data_main[Scenario],$B$3)),SUMIFS(INDIRECT("Data_main"&amp;"["&amp;X$8&amp;"]"),Data_main[Data],$A45, Data_main[Segment],$B45, Data_main[Scenario],$B$3))</f>
        <v>382.40866326747863</v>
      </c>
      <c r="Y45" s="531">
        <f ca="1">IF($B$6="ON", IF(Y42&gt;=covid_start, IF(Y42&lt;covid_recovery,NA(),SUMIFS(INDIRECT("Data_main"&amp;"["&amp;Y$8&amp;"]"),Data_main[Data],$A45, Data_main[Segment],$B45, Data_main[Scenario],$B$3)),SUMIFS(INDIRECT("Data_main"&amp;"["&amp;Y$8&amp;"]"),Data_main[Data],$A45, Data_main[Segment],$B45, Data_main[Scenario],$B$3)),SUMIFS(INDIRECT("Data_main"&amp;"["&amp;Y$8&amp;"]"),Data_main[Data],$A45, Data_main[Segment],$B45, Data_main[Scenario],$B$3))</f>
        <v>368.24540957423739</v>
      </c>
      <c r="Z45" s="531">
        <f ca="1">IF($B$6="ON", IF(Z42&gt;=covid_start, IF(Z42&lt;covid_recovery,NA(),SUMIFS(INDIRECT("Data_main"&amp;"["&amp;Z$8&amp;"]"),Data_main[Data],$A45, Data_main[Segment],$B45, Data_main[Scenario],$B$3)),SUMIFS(INDIRECT("Data_main"&amp;"["&amp;Z$8&amp;"]"),Data_main[Data],$A45, Data_main[Segment],$B45, Data_main[Scenario],$B$3)),SUMIFS(INDIRECT("Data_main"&amp;"["&amp;Z$8&amp;"]"),Data_main[Data],$A45, Data_main[Segment],$B45, Data_main[Scenario],$B$3))</f>
        <v>354.80959542654352</v>
      </c>
      <c r="AA45" s="531">
        <f ca="1">IF($B$6="ON", IF(AA42&gt;=covid_start, IF(AA42&lt;covid_recovery,NA(),SUMIFS(INDIRECT("Data_main"&amp;"["&amp;AA$8&amp;"]"),Data_main[Data],$A45, Data_main[Segment],$B45, Data_main[Scenario],$B$3)),SUMIFS(INDIRECT("Data_main"&amp;"["&amp;AA$8&amp;"]"),Data_main[Data],$A45, Data_main[Segment],$B45, Data_main[Scenario],$B$3)),SUMIFS(INDIRECT("Data_main"&amp;"["&amp;AA$8&amp;"]"),Data_main[Data],$A45, Data_main[Segment],$B45, Data_main[Scenario],$B$3))</f>
        <v>342.0465809201873</v>
      </c>
      <c r="AB45" s="531">
        <f ca="1">IF($B$6="ON", IF(AB42&gt;=covid_start, IF(AB42&lt;covid_recovery,NA(),SUMIFS(INDIRECT("Data_main"&amp;"["&amp;AB$8&amp;"]"),Data_main[Data],$A45, Data_main[Segment],$B45, Data_main[Scenario],$B$3)),SUMIFS(INDIRECT("Data_main"&amp;"["&amp;AB$8&amp;"]"),Data_main[Data],$A45, Data_main[Segment],$B45, Data_main[Scenario],$B$3)),SUMIFS(INDIRECT("Data_main"&amp;"["&amp;AB$8&amp;"]"),Data_main[Data],$A45, Data_main[Segment],$B45, Data_main[Scenario],$B$3))</f>
        <v>329.90706468375299</v>
      </c>
      <c r="AC45" s="531">
        <f ca="1">IF($B$6="ON", IF(AC42&gt;=covid_start, IF(AC42&lt;covid_recovery,NA(),SUMIFS(INDIRECT("Data_main"&amp;"["&amp;AC$8&amp;"]"),Data_main[Data],$A45, Data_main[Segment],$B45, Data_main[Scenario],$B$3)),SUMIFS(INDIRECT("Data_main"&amp;"["&amp;AC$8&amp;"]"),Data_main[Data],$A45, Data_main[Segment],$B45, Data_main[Scenario],$B$3)),SUMIFS(INDIRECT("Data_main"&amp;"["&amp;AC$8&amp;"]"),Data_main[Data],$A45, Data_main[Segment],$B45, Data_main[Scenario],$B$3))</f>
        <v>318.34644743002622</v>
      </c>
      <c r="AD45" s="531">
        <f ca="1">IF($B$6="ON", IF(AD42&gt;=covid_start, IF(AD42&lt;covid_recovery,NA(),SUMIFS(INDIRECT("Data_main"&amp;"["&amp;AD$8&amp;"]"),Data_main[Data],$A45, Data_main[Segment],$B45, Data_main[Scenario],$B$3)),SUMIFS(INDIRECT("Data_main"&amp;"["&amp;AD$8&amp;"]"),Data_main[Data],$A45, Data_main[Segment],$B45, Data_main[Scenario],$B$3)),SUMIFS(INDIRECT("Data_main"&amp;"["&amp;AD$8&amp;"]"),Data_main[Data],$A45, Data_main[Segment],$B45, Data_main[Scenario],$B$3))</f>
        <v>307.32428443824142</v>
      </c>
      <c r="AE45" s="531">
        <f ca="1">IF($B$6="ON", IF(AE42&gt;=covid_start, IF(AE42&lt;covid_recovery,NA(),SUMIFS(INDIRECT("Data_main"&amp;"["&amp;AE$8&amp;"]"),Data_main[Data],$A45, Data_main[Segment],$B45, Data_main[Scenario],$B$3)),SUMIFS(INDIRECT("Data_main"&amp;"["&amp;AE$8&amp;"]"),Data_main[Data],$A45, Data_main[Segment],$B45, Data_main[Scenario],$B$3)),SUMIFS(INDIRECT("Data_main"&amp;"["&amp;AE$8&amp;"]"),Data_main[Data],$A45, Data_main[Segment],$B45, Data_main[Scenario],$B$3))</f>
        <v>296.2923615453376</v>
      </c>
      <c r="AF45" s="531">
        <f ca="1">IF($B$6="ON", IF(AF42&gt;=covid_start, IF(AF42&lt;covid_recovery,NA(),SUMIFS(INDIRECT("Data_main"&amp;"["&amp;AF$8&amp;"]"),Data_main[Data],$A45, Data_main[Segment],$B45, Data_main[Scenario],$B$3)),SUMIFS(INDIRECT("Data_main"&amp;"["&amp;AF$8&amp;"]"),Data_main[Data],$A45, Data_main[Segment],$B45, Data_main[Scenario],$B$3)),SUMIFS(INDIRECT("Data_main"&amp;"["&amp;AF$8&amp;"]"),Data_main[Data],$A45, Data_main[Segment],$B45, Data_main[Scenario],$B$3))</f>
        <v>285.93066302888315</v>
      </c>
      <c r="AG45" s="531">
        <f ca="1">IF($B$6="ON", IF(AG42&gt;=covid_start, IF(AG42&lt;covid_recovery,NA(),SUMIFS(INDIRECT("Data_main"&amp;"["&amp;AG$8&amp;"]"),Data_main[Data],$A45, Data_main[Segment],$B45, Data_main[Scenario],$B$3)),SUMIFS(INDIRECT("Data_main"&amp;"["&amp;AG$8&amp;"]"),Data_main[Data],$A45, Data_main[Segment],$B45, Data_main[Scenario],$B$3)),SUMIFS(INDIRECT("Data_main"&amp;"["&amp;AG$8&amp;"]"),Data_main[Data],$A45, Data_main[Segment],$B45, Data_main[Scenario],$B$3))</f>
        <v>276.1799121234443</v>
      </c>
      <c r="AH45" s="531">
        <f ca="1">IF($B$6="ON", IF(AH42&gt;=covid_start, IF(AH42&lt;covid_recovery,NA(),SUMIFS(INDIRECT("Data_main"&amp;"["&amp;AH$8&amp;"]"),Data_main[Data],$A45, Data_main[Segment],$B45, Data_main[Scenario],$B$3)),SUMIFS(INDIRECT("Data_main"&amp;"["&amp;AH$8&amp;"]"),Data_main[Data],$A45, Data_main[Segment],$B45, Data_main[Scenario],$B$3)),SUMIFS(INDIRECT("Data_main"&amp;"["&amp;AH$8&amp;"]"),Data_main[Data],$A45, Data_main[Segment],$B45, Data_main[Scenario],$B$3))</f>
        <v>266.98762205387493</v>
      </c>
      <c r="AI45" s="531">
        <f ca="1">IF($B$6="ON", IF(AI42&gt;=covid_start, IF(AI42&lt;covid_recovery,NA(),SUMIFS(INDIRECT("Data_main"&amp;"["&amp;AI$8&amp;"]"),Data_main[Data],$A45, Data_main[Segment],$B45, Data_main[Scenario],$B$3)),SUMIFS(INDIRECT("Data_main"&amp;"["&amp;AI$8&amp;"]"),Data_main[Data],$A45, Data_main[Segment],$B45, Data_main[Scenario],$B$3)),SUMIFS(INDIRECT("Data_main"&amp;"["&amp;AI$8&amp;"]"),Data_main[Data],$A45, Data_main[Segment],$B45, Data_main[Scenario],$B$3))</f>
        <v>258.30715088309489</v>
      </c>
      <c r="AJ45" s="531">
        <f ca="1">IF($B$6="ON", IF(AJ42&gt;=covid_start, IF(AJ42&lt;covid_recovery,NA(),SUMIFS(INDIRECT("Data_main"&amp;"["&amp;AJ$8&amp;"]"),Data_main[Data],$A45, Data_main[Segment],$B45, Data_main[Scenario],$B$3)),SUMIFS(INDIRECT("Data_main"&amp;"["&amp;AJ$8&amp;"]"),Data_main[Data],$A45, Data_main[Segment],$B45, Data_main[Scenario],$B$3)),SUMIFS(INDIRECT("Data_main"&amp;"["&amp;AJ$8&amp;"]"),Data_main[Data],$A45, Data_main[Segment],$B45, Data_main[Scenario],$B$3))</f>
        <v>250.09690995953636</v>
      </c>
      <c r="AK45" s="531">
        <f ca="1">IF($B$6="ON", IF(AK42&gt;=covid_start, IF(AK42&lt;covid_recovery,NA(),SUMIFS(INDIRECT("Data_main"&amp;"["&amp;AK$8&amp;"]"),Data_main[Data],$A45, Data_main[Segment],$B45, Data_main[Scenario],$B$3)),SUMIFS(INDIRECT("Data_main"&amp;"["&amp;AK$8&amp;"]"),Data_main[Data],$A45, Data_main[Segment],$B45, Data_main[Scenario],$B$3)),SUMIFS(INDIRECT("Data_main"&amp;"["&amp;AK$8&amp;"]"),Data_main[Data],$A45, Data_main[Segment],$B45, Data_main[Scenario],$B$3))</f>
        <v>242.31969760995534</v>
      </c>
      <c r="AL45" s="531">
        <f ca="1">IF($B$6="ON", IF(AL42&gt;=covid_start, IF(AL42&lt;covid_recovery,NA(),SUMIFS(INDIRECT("Data_main"&amp;"["&amp;AL$8&amp;"]"),Data_main[Data],$A45, Data_main[Segment],$B45, Data_main[Scenario],$B$3)),SUMIFS(INDIRECT("Data_main"&amp;"["&amp;AL$8&amp;"]"),Data_main[Data],$A45, Data_main[Segment],$B45, Data_main[Scenario],$B$3)),SUMIFS(INDIRECT("Data_main"&amp;"["&amp;AL$8&amp;"]"),Data_main[Data],$A45, Data_main[Segment],$B45, Data_main[Scenario],$B$3))</f>
        <v>234.94213555151424</v>
      </c>
      <c r="AM45" s="531">
        <f ca="1">IF($B$6="ON", IF(AM42&gt;=covid_start, IF(AM42&lt;covid_recovery,NA(),SUMIFS(INDIRECT("Data_main"&amp;"["&amp;AM$8&amp;"]"),Data_main[Data],$A45, Data_main[Segment],$B45, Data_main[Scenario],$B$3)),SUMIFS(INDIRECT("Data_main"&amp;"["&amp;AM$8&amp;"]"),Data_main[Data],$A45, Data_main[Segment],$B45, Data_main[Scenario],$B$3)),SUMIFS(INDIRECT("Data_main"&amp;"["&amp;AM$8&amp;"]"),Data_main[Data],$A45, Data_main[Segment],$B45, Data_main[Scenario],$B$3))</f>
        <v>227.93419001127921</v>
      </c>
      <c r="AN45" s="531">
        <f ca="1">IF($B$6="ON", IF(AN42&gt;=covid_start, IF(AN42&lt;covid_recovery,NA(),SUMIFS(INDIRECT("Data_main"&amp;"["&amp;AN$8&amp;"]"),Data_main[Data],$A45, Data_main[Segment],$B45, Data_main[Scenario],$B$3)),SUMIFS(INDIRECT("Data_main"&amp;"["&amp;AN$8&amp;"]"),Data_main[Data],$A45, Data_main[Segment],$B45, Data_main[Scenario],$B$3)),SUMIFS(INDIRECT("Data_main"&amp;"["&amp;AN$8&amp;"]"),Data_main[Data],$A45, Data_main[Segment],$B45, Data_main[Scenario],$B$3))</f>
        <v>221.26876306264916</v>
      </c>
      <c r="AO45" s="531">
        <f ca="1">IF($B$6="ON", IF(AO42&gt;=covid_start, IF(AO42&lt;covid_recovery,NA(),SUMIFS(INDIRECT("Data_main"&amp;"["&amp;AO$8&amp;"]"),Data_main[Data],$A45, Data_main[Segment],$B45, Data_main[Scenario],$B$3)),SUMIFS(INDIRECT("Data_main"&amp;"["&amp;AO$8&amp;"]"),Data_main[Data],$A45, Data_main[Segment],$B45, Data_main[Scenario],$B$3)),SUMIFS(INDIRECT("Data_main"&amp;"["&amp;AO$8&amp;"]"),Data_main[Data],$A45, Data_main[Segment],$B45, Data_main[Scenario],$B$3))</f>
        <v>0</v>
      </c>
      <c r="AP45" s="531">
        <f ca="1">IF($B$6="ON", IF(AP42&gt;=covid_start, IF(AP42&lt;covid_recovery,NA(),SUMIFS(INDIRECT("Data_main"&amp;"["&amp;AP$8&amp;"]"),Data_main[Data],$A45, Data_main[Segment],$B45, Data_main[Scenario],$B$3)),SUMIFS(INDIRECT("Data_main"&amp;"["&amp;AP$8&amp;"]"),Data_main[Data],$A45, Data_main[Segment],$B45, Data_main[Scenario],$B$3)),SUMIFS(INDIRECT("Data_main"&amp;"["&amp;AP$8&amp;"]"),Data_main[Data],$A45, Data_main[Segment],$B45, Data_main[Scenario],$B$3))</f>
        <v>0</v>
      </c>
      <c r="AQ45" s="531">
        <f ca="1">IF($B$6="ON", IF(AQ42&gt;=covid_start, IF(AQ42&lt;covid_recovery,NA(),SUMIFS(INDIRECT("Data_main"&amp;"["&amp;AQ$8&amp;"]"),Data_main[Data],$A45, Data_main[Segment],$B45, Data_main[Scenario],$B$3)),SUMIFS(INDIRECT("Data_main"&amp;"["&amp;AQ$8&amp;"]"),Data_main[Data],$A45, Data_main[Segment],$B45, Data_main[Scenario],$B$3)),SUMIFS(INDIRECT("Data_main"&amp;"["&amp;AQ$8&amp;"]"),Data_main[Data],$A45, Data_main[Segment],$B45, Data_main[Scenario],$B$3))</f>
        <v>0</v>
      </c>
      <c r="AR45" s="531">
        <f ca="1">IF($B$6="ON", IF(AR42&gt;=covid_start, IF(AR42&lt;covid_recovery,NA(),SUMIFS(INDIRECT("Data_main"&amp;"["&amp;AR$8&amp;"]"),Data_main[Data],$A45, Data_main[Segment],$B45, Data_main[Scenario],$B$3)),SUMIFS(INDIRECT("Data_main"&amp;"["&amp;AR$8&amp;"]"),Data_main[Data],$A45, Data_main[Segment],$B45, Data_main[Scenario],$B$3)),SUMIFS(INDIRECT("Data_main"&amp;"["&amp;AR$8&amp;"]"),Data_main[Data],$A45, Data_main[Segment],$B45, Data_main[Scenario],$B$3))</f>
        <v>0</v>
      </c>
      <c r="AS45" s="531">
        <f ca="1">IF($B$6="ON", IF(AS42&gt;=covid_start, IF(AS42&lt;covid_recovery,NA(),SUMIFS(INDIRECT("Data_main"&amp;"["&amp;AS$8&amp;"]"),Data_main[Data],$A45, Data_main[Segment],$B45, Data_main[Scenario],$B$3)),SUMIFS(INDIRECT("Data_main"&amp;"["&amp;AS$8&amp;"]"),Data_main[Data],$A45, Data_main[Segment],$B45, Data_main[Scenario],$B$3)),SUMIFS(INDIRECT("Data_main"&amp;"["&amp;AS$8&amp;"]"),Data_main[Data],$A45, Data_main[Segment],$B45, Data_main[Scenario],$B$3))</f>
        <v>0</v>
      </c>
      <c r="AT45" s="531">
        <f ca="1">IF($B$6="ON", IF(AT42&gt;=covid_start, IF(AT42&lt;covid_recovery,NA(),SUMIFS(INDIRECT("Data_main"&amp;"["&amp;AT$8&amp;"]"),Data_main[Data],$A45, Data_main[Segment],$B45, Data_main[Scenario],$B$3)),SUMIFS(INDIRECT("Data_main"&amp;"["&amp;AT$8&amp;"]"),Data_main[Data],$A45, Data_main[Segment],$B45, Data_main[Scenario],$B$3)),SUMIFS(INDIRECT("Data_main"&amp;"["&amp;AT$8&amp;"]"),Data_main[Data],$A45, Data_main[Segment],$B45, Data_main[Scenario],$B$3))</f>
        <v>0</v>
      </c>
      <c r="AU45" s="531">
        <f ca="1">IF($B$6="ON", IF(AU42&gt;=covid_start, IF(AU42&lt;covid_recovery,NA(),SUMIFS(INDIRECT("Data_main"&amp;"["&amp;AU$8&amp;"]"),Data_main[Data],$A45, Data_main[Segment],$B45, Data_main[Scenario],$B$3)),SUMIFS(INDIRECT("Data_main"&amp;"["&amp;AU$8&amp;"]"),Data_main[Data],$A45, Data_main[Segment],$B45, Data_main[Scenario],$B$3)),SUMIFS(INDIRECT("Data_main"&amp;"["&amp;AU$8&amp;"]"),Data_main[Data],$A45, Data_main[Segment],$B45, Data_main[Scenario],$B$3))</f>
        <v>0</v>
      </c>
      <c r="AV45" s="531">
        <f ca="1">IF($B$6="ON", IF(AV42&gt;=covid_start, IF(AV42&lt;covid_recovery,NA(),SUMIFS(INDIRECT("Data_main"&amp;"["&amp;AV$8&amp;"]"),Data_main[Data],$A45, Data_main[Segment],$B45, Data_main[Scenario],$B$3)),SUMIFS(INDIRECT("Data_main"&amp;"["&amp;AV$8&amp;"]"),Data_main[Data],$A45, Data_main[Segment],$B45, Data_main[Scenario],$B$3)),SUMIFS(INDIRECT("Data_main"&amp;"["&amp;AV$8&amp;"]"),Data_main[Data],$A45, Data_main[Segment],$B45, Data_main[Scenario],$B$3))</f>
        <v>0</v>
      </c>
      <c r="AW45" s="531">
        <f ca="1">IF($B$6="ON", IF(AW42&gt;=covid_start, IF(AW42&lt;covid_recovery,NA(),SUMIFS(INDIRECT("Data_main"&amp;"["&amp;AW$8&amp;"]"),Data_main[Data],$A45, Data_main[Segment],$B45, Data_main[Scenario],$B$3)),SUMIFS(INDIRECT("Data_main"&amp;"["&amp;AW$8&amp;"]"),Data_main[Data],$A45, Data_main[Segment],$B45, Data_main[Scenario],$B$3)),SUMIFS(INDIRECT("Data_main"&amp;"["&amp;AW$8&amp;"]"),Data_main[Data],$A45, Data_main[Segment],$B45, Data_main[Scenario],$B$3))</f>
        <v>0</v>
      </c>
      <c r="AX45" s="531">
        <f ca="1">IF($B$6="ON", IF(AX42&gt;=covid_start, IF(AX42&lt;covid_recovery,NA(),SUMIFS(INDIRECT("Data_main"&amp;"["&amp;AX$8&amp;"]"),Data_main[Data],$A45, Data_main[Segment],$B45, Data_main[Scenario],$B$3)),SUMIFS(INDIRECT("Data_main"&amp;"["&amp;AX$8&amp;"]"),Data_main[Data],$A45, Data_main[Segment],$B45, Data_main[Scenario],$B$3)),SUMIFS(INDIRECT("Data_main"&amp;"["&amp;AX$8&amp;"]"),Data_main[Data],$A45, Data_main[Segment],$B45, Data_main[Scenario],$B$3))</f>
        <v>0</v>
      </c>
      <c r="AY45" s="531">
        <f ca="1">IF($B$6="ON", IF(AY42&gt;=covid_start, IF(AY42&lt;covid_recovery,NA(),SUMIFS(INDIRECT("Data_main"&amp;"["&amp;AY$8&amp;"]"),Data_main[Data],$A45, Data_main[Segment],$B45, Data_main[Scenario],$B$3)),SUMIFS(INDIRECT("Data_main"&amp;"["&amp;AY$8&amp;"]"),Data_main[Data],$A45, Data_main[Segment],$B45, Data_main[Scenario],$B$3)),SUMIFS(INDIRECT("Data_main"&amp;"["&amp;AY$8&amp;"]"),Data_main[Data],$A45, Data_main[Segment],$B45, Data_main[Scenario],$B$3))</f>
        <v>0</v>
      </c>
      <c r="AZ45" s="531">
        <f ca="1">IF($B$6="ON", IF(AZ42&gt;=covid_start, IF(AZ42&lt;covid_recovery,NA(),SUMIFS(INDIRECT("Data_main"&amp;"["&amp;AZ$8&amp;"]"),Data_main[Data],$A45, Data_main[Segment],$B45, Data_main[Scenario],$B$3)),SUMIFS(INDIRECT("Data_main"&amp;"["&amp;AZ$8&amp;"]"),Data_main[Data],$A45, Data_main[Segment],$B45, Data_main[Scenario],$B$3)),SUMIFS(INDIRECT("Data_main"&amp;"["&amp;AZ$8&amp;"]"),Data_main[Data],$A45, Data_main[Segment],$B45, Data_main[Scenario],$B$3))</f>
        <v>0</v>
      </c>
      <c r="BA45" s="531">
        <f ca="1">IF($B$6="ON", IF(BA42&gt;=covid_start, IF(BA42&lt;covid_recovery,NA(),SUMIFS(INDIRECT("Data_main"&amp;"["&amp;BA$8&amp;"]"),Data_main[Data],$A45, Data_main[Segment],$B45, Data_main[Scenario],$B$3)),SUMIFS(INDIRECT("Data_main"&amp;"["&amp;BA$8&amp;"]"),Data_main[Data],$A45, Data_main[Segment],$B45, Data_main[Scenario],$B$3)),SUMIFS(INDIRECT("Data_main"&amp;"["&amp;BA$8&amp;"]"),Data_main[Data],$A45, Data_main[Segment],$B45, Data_main[Scenario],$B$3))</f>
        <v>0</v>
      </c>
      <c r="BB45" s="531">
        <f ca="1">IF($B$6="ON", IF(BB42&gt;=covid_start, IF(BB42&lt;covid_recovery,NA(),SUMIFS(INDIRECT("Data_main"&amp;"["&amp;BB$8&amp;"]"),Data_main[Data],$A45, Data_main[Segment],$B45, Data_main[Scenario],$B$3)),SUMIFS(INDIRECT("Data_main"&amp;"["&amp;BB$8&amp;"]"),Data_main[Data],$A45, Data_main[Segment],$B45, Data_main[Scenario],$B$3)),SUMIFS(INDIRECT("Data_main"&amp;"["&amp;BB$8&amp;"]"),Data_main[Data],$A45, Data_main[Segment],$B45, Data_main[Scenario],$B$3))</f>
        <v>0</v>
      </c>
      <c r="BC45" s="531">
        <f ca="1">IF($B$6="ON", IF(BC42&gt;=covid_start, IF(BC42&lt;covid_recovery,NA(),SUMIFS(INDIRECT("Data_main"&amp;"["&amp;BC$8&amp;"]"),Data_main[Data],$A45, Data_main[Segment],$B45, Data_main[Scenario],$B$3)),SUMIFS(INDIRECT("Data_main"&amp;"["&amp;BC$8&amp;"]"),Data_main[Data],$A45, Data_main[Segment],$B45, Data_main[Scenario],$B$3)),SUMIFS(INDIRECT("Data_main"&amp;"["&amp;BC$8&amp;"]"),Data_main[Data],$A45, Data_main[Segment],$B45, Data_main[Scenario],$B$3))</f>
        <v>0</v>
      </c>
      <c r="BD45" s="531">
        <f ca="1">IF($B$6="ON", IF(BD42&gt;=covid_start, IF(BD42&lt;covid_recovery,NA(),SUMIFS(INDIRECT("Data_main"&amp;"["&amp;BD$8&amp;"]"),Data_main[Data],$A45, Data_main[Segment],$B45, Data_main[Scenario],$B$3)),SUMIFS(INDIRECT("Data_main"&amp;"["&amp;BD$8&amp;"]"),Data_main[Data],$A45, Data_main[Segment],$B45, Data_main[Scenario],$B$3)),SUMIFS(INDIRECT("Data_main"&amp;"["&amp;BD$8&amp;"]"),Data_main[Data],$A45, Data_main[Segment],$B45, Data_main[Scenario],$B$3))</f>
        <v>0</v>
      </c>
      <c r="BE45" s="531">
        <f ca="1">IF($B$6="ON", IF(BE42&gt;=covid_start, IF(BE42&lt;covid_recovery,NA(),SUMIFS(INDIRECT("Data_main"&amp;"["&amp;BE$8&amp;"]"),Data_main[Data],$A45, Data_main[Segment],$B45, Data_main[Scenario],$B$3)),SUMIFS(INDIRECT("Data_main"&amp;"["&amp;BE$8&amp;"]"),Data_main[Data],$A45, Data_main[Segment],$B45, Data_main[Scenario],$B$3)),SUMIFS(INDIRECT("Data_main"&amp;"["&amp;BE$8&amp;"]"),Data_main[Data],$A45, Data_main[Segment],$B45, Data_main[Scenario],$B$3))</f>
        <v>0</v>
      </c>
      <c r="BF45" s="531">
        <f ca="1">IF($B$6="ON", IF(BF42&gt;=covid_start, IF(BF42&lt;covid_recovery,NA(),SUMIFS(INDIRECT("Data_main"&amp;"["&amp;BF$8&amp;"]"),Data_main[Data],$A45, Data_main[Segment],$B45, Data_main[Scenario],$B$3)),SUMIFS(INDIRECT("Data_main"&amp;"["&amp;BF$8&amp;"]"),Data_main[Data],$A45, Data_main[Segment],$B45, Data_main[Scenario],$B$3)),SUMIFS(INDIRECT("Data_main"&amp;"["&amp;BF$8&amp;"]"),Data_main[Data],$A45, Data_main[Segment],$B45, Data_main[Scenario],$B$3))</f>
        <v>0</v>
      </c>
      <c r="BG45" s="531">
        <f ca="1">IF($B$6="ON", IF(BG42&gt;=covid_start, IF(BG42&lt;covid_recovery,NA(),SUMIFS(INDIRECT("Data_main"&amp;"["&amp;BG$8&amp;"]"),Data_main[Data],$A45, Data_main[Segment],$B45, Data_main[Scenario],$B$3)),SUMIFS(INDIRECT("Data_main"&amp;"["&amp;BG$8&amp;"]"),Data_main[Data],$A45, Data_main[Segment],$B45, Data_main[Scenario],$B$3)),SUMIFS(INDIRECT("Data_main"&amp;"["&amp;BG$8&amp;"]"),Data_main[Data],$A45, Data_main[Segment],$B45, Data_main[Scenario],$B$3))</f>
        <v>0</v>
      </c>
      <c r="BH45" s="531">
        <f ca="1">IF($B$6="ON", IF(BH42&gt;=covid_start, IF(BH42&lt;covid_recovery,NA(),SUMIFS(INDIRECT("Data_main"&amp;"["&amp;BH$8&amp;"]"),Data_main[Data],$A45, Data_main[Segment],$B45, Data_main[Scenario],$B$3)),SUMIFS(INDIRECT("Data_main"&amp;"["&amp;BH$8&amp;"]"),Data_main[Data],$A45, Data_main[Segment],$B45, Data_main[Scenario],$B$3)),SUMIFS(INDIRECT("Data_main"&amp;"["&amp;BH$8&amp;"]"),Data_main[Data],$A45, Data_main[Segment],$B45, Data_main[Scenario],$B$3))</f>
        <v>0</v>
      </c>
      <c r="BI45" s="531">
        <f ca="1">IF($B$6="ON", IF(BI42&gt;=covid_start, IF(BI42&lt;covid_recovery,NA(),SUMIFS(INDIRECT("Data_main"&amp;"["&amp;BI$8&amp;"]"),Data_main[Data],$A45, Data_main[Segment],$B45, Data_main[Scenario],$B$3)),SUMIFS(INDIRECT("Data_main"&amp;"["&amp;BI$8&amp;"]"),Data_main[Data],$A45, Data_main[Segment],$B45, Data_main[Scenario],$B$3)),SUMIFS(INDIRECT("Data_main"&amp;"["&amp;BI$8&amp;"]"),Data_main[Data],$A45, Data_main[Segment],$B45, Data_main[Scenario],$B$3))</f>
        <v>0</v>
      </c>
      <c r="BJ45" s="531">
        <f ca="1">IF($B$6="ON", IF(BJ42&gt;=covid_start, IF(BJ42&lt;covid_recovery,NA(),SUMIFS(INDIRECT("Data_main"&amp;"["&amp;BJ$8&amp;"]"),Data_main[Data],$A45, Data_main[Segment],$B45, Data_main[Scenario],$B$3)),SUMIFS(INDIRECT("Data_main"&amp;"["&amp;BJ$8&amp;"]"),Data_main[Data],$A45, Data_main[Segment],$B45, Data_main[Scenario],$B$3)),SUMIFS(INDIRECT("Data_main"&amp;"["&amp;BJ$8&amp;"]"),Data_main[Data],$A45, Data_main[Segment],$B45, Data_main[Scenario],$B$3))</f>
        <v>0</v>
      </c>
      <c r="BK45" s="531">
        <f ca="1">IF($B$6="ON", IF(BK42&gt;=covid_start, IF(BK42&lt;covid_recovery,NA(),SUMIFS(INDIRECT("Data_main"&amp;"["&amp;BK$8&amp;"]"),Data_main[Data],$A45, Data_main[Segment],$B45, Data_main[Scenario],$B$3)),SUMIFS(INDIRECT("Data_main"&amp;"["&amp;BK$8&amp;"]"),Data_main[Data],$A45, Data_main[Segment],$B45, Data_main[Scenario],$B$3)),SUMIFS(INDIRECT("Data_main"&amp;"["&amp;BK$8&amp;"]"),Data_main[Data],$A45, Data_main[Segment],$B45, Data_main[Scenario],$B$3))</f>
        <v>0</v>
      </c>
      <c r="BL45" s="531">
        <f ca="1">IF($B$6="ON", IF(BL42&gt;=covid_start, IF(BL42&lt;covid_recovery,NA(),SUMIFS(INDIRECT("Data_main"&amp;"["&amp;BL$8&amp;"]"),Data_main[Data],$A45, Data_main[Segment],$B45, Data_main[Scenario],$B$3)),SUMIFS(INDIRECT("Data_main"&amp;"["&amp;BL$8&amp;"]"),Data_main[Data],$A45, Data_main[Segment],$B45, Data_main[Scenario],$B$3)),SUMIFS(INDIRECT("Data_main"&amp;"["&amp;BL$8&amp;"]"),Data_main[Data],$A45, Data_main[Segment],$B45, Data_main[Scenario],$B$3))</f>
        <v>0</v>
      </c>
      <c r="BM45" s="531">
        <f ca="1">IF($B$6="ON", IF(BM42&gt;=covid_start, IF(BM42&lt;covid_recovery,NA(),SUMIFS(INDIRECT("Data_main"&amp;"["&amp;BM$8&amp;"]"),Data_main[Data],$A45, Data_main[Segment],$B45, Data_main[Scenario],$B$3)),SUMIFS(INDIRECT("Data_main"&amp;"["&amp;BM$8&amp;"]"),Data_main[Data],$A45, Data_main[Segment],$B45, Data_main[Scenario],$B$3)),SUMIFS(INDIRECT("Data_main"&amp;"["&amp;BM$8&amp;"]"),Data_main[Data],$A45, Data_main[Segment],$B45, Data_main[Scenario],$B$3))</f>
        <v>0</v>
      </c>
      <c r="BN45" s="531">
        <f ca="1">IF($B$6="ON", IF(BN42&gt;=covid_start, IF(BN42&lt;covid_recovery,NA(),SUMIFS(INDIRECT("Data_main"&amp;"["&amp;BN$8&amp;"]"),Data_main[Data],$A45, Data_main[Segment],$B45, Data_main[Scenario],$B$3)),SUMIFS(INDIRECT("Data_main"&amp;"["&amp;BN$8&amp;"]"),Data_main[Data],$A45, Data_main[Segment],$B45, Data_main[Scenario],$B$3)),SUMIFS(INDIRECT("Data_main"&amp;"["&amp;BN$8&amp;"]"),Data_main[Data],$A45, Data_main[Segment],$B45, Data_main[Scenario],$B$3))</f>
        <v>0</v>
      </c>
      <c r="BO45" s="531">
        <f ca="1">IF($B$6="ON", IF(BO42&gt;=covid_start, IF(BO42&lt;covid_recovery,NA(),SUMIFS(INDIRECT("Data_main"&amp;"["&amp;BO$8&amp;"]"),Data_main[Data],$A45, Data_main[Segment],$B45, Data_main[Scenario],$B$3)),SUMIFS(INDIRECT("Data_main"&amp;"["&amp;BO$8&amp;"]"),Data_main[Data],$A45, Data_main[Segment],$B45, Data_main[Scenario],$B$3)),SUMIFS(INDIRECT("Data_main"&amp;"["&amp;BO$8&amp;"]"),Data_main[Data],$A45, Data_main[Segment],$B45, Data_main[Scenario],$B$3))</f>
        <v>0</v>
      </c>
      <c r="BP45" s="531">
        <f ca="1">IF($B$6="ON", IF(BP42&gt;=covid_start, IF(BP42&lt;covid_recovery,NA(),SUMIFS(INDIRECT("Data_main"&amp;"["&amp;BP$8&amp;"]"),Data_main[Data],$A45, Data_main[Segment],$B45, Data_main[Scenario],$B$3)),SUMIFS(INDIRECT("Data_main"&amp;"["&amp;BP$8&amp;"]"),Data_main[Data],$A45, Data_main[Segment],$B45, Data_main[Scenario],$B$3)),SUMIFS(INDIRECT("Data_main"&amp;"["&amp;BP$8&amp;"]"),Data_main[Data],$A45, Data_main[Segment],$B45, Data_main[Scenario],$B$3))</f>
        <v>0</v>
      </c>
      <c r="BQ45" s="531">
        <f ca="1">IF($B$6="ON", IF(BQ42&gt;=covid_start, IF(BQ42&lt;covid_recovery,NA(),SUMIFS(INDIRECT("Data_main"&amp;"["&amp;BQ$8&amp;"]"),Data_main[Data],$A45, Data_main[Segment],$B45, Data_main[Scenario],$B$3)),SUMIFS(INDIRECT("Data_main"&amp;"["&amp;BQ$8&amp;"]"),Data_main[Data],$A45, Data_main[Segment],$B45, Data_main[Scenario],$B$3)),SUMIFS(INDIRECT("Data_main"&amp;"["&amp;BQ$8&amp;"]"),Data_main[Data],$A45, Data_main[Segment],$B45, Data_main[Scenario],$B$3))</f>
        <v>0</v>
      </c>
      <c r="BR45" s="531">
        <f ca="1">IF($B$6="ON", IF(BR42&gt;=covid_start, IF(BR42&lt;covid_recovery,NA(),SUMIFS(INDIRECT("Data_main"&amp;"["&amp;BR$8&amp;"]"),Data_main[Data],$A45, Data_main[Segment],$B45, Data_main[Scenario],$B$3)),SUMIFS(INDIRECT("Data_main"&amp;"["&amp;BR$8&amp;"]"),Data_main[Data],$A45, Data_main[Segment],$B45, Data_main[Scenario],$B$3)),SUMIFS(INDIRECT("Data_main"&amp;"["&amp;BR$8&amp;"]"),Data_main[Data],$A45, Data_main[Segment],$B45, Data_main[Scenario],$B$3))</f>
        <v>0</v>
      </c>
      <c r="BS45" s="531">
        <f ca="1">IF($B$6="ON", IF(BS42&gt;=covid_start, IF(BS42&lt;covid_recovery,NA(),SUMIFS(INDIRECT("Data_main"&amp;"["&amp;BS$8&amp;"]"),Data_main[Data],$A45, Data_main[Segment],$B45, Data_main[Scenario],$B$3)),SUMIFS(INDIRECT("Data_main"&amp;"["&amp;BS$8&amp;"]"),Data_main[Data],$A45, Data_main[Segment],$B45, Data_main[Scenario],$B$3)),SUMIFS(INDIRECT("Data_main"&amp;"["&amp;BS$8&amp;"]"),Data_main[Data],$A45, Data_main[Segment],$B45, Data_main[Scenario],$B$3))</f>
        <v>0</v>
      </c>
      <c r="BT45" s="531">
        <f ca="1">IF($B$6="ON", IF(BT42&gt;=covid_start, IF(BT42&lt;covid_recovery,NA(),SUMIFS(INDIRECT("Data_main"&amp;"["&amp;BT$8&amp;"]"),Data_main[Data],$A45, Data_main[Segment],$B45, Data_main[Scenario],$B$3)),SUMIFS(INDIRECT("Data_main"&amp;"["&amp;BT$8&amp;"]"),Data_main[Data],$A45, Data_main[Segment],$B45, Data_main[Scenario],$B$3)),SUMIFS(INDIRECT("Data_main"&amp;"["&amp;BT$8&amp;"]"),Data_main[Data],$A45, Data_main[Segment],$B45, Data_main[Scenario],$B$3))</f>
        <v>0</v>
      </c>
      <c r="BU45" s="531">
        <f ca="1">IF($B$6="ON", IF(BU42&gt;=covid_start, IF(BU42&lt;covid_recovery,NA(),SUMIFS(INDIRECT("Data_main"&amp;"["&amp;BU$8&amp;"]"),Data_main[Data],$A45, Data_main[Segment],$B45, Data_main[Scenario],$B$3)),SUMIFS(INDIRECT("Data_main"&amp;"["&amp;BU$8&amp;"]"),Data_main[Data],$A45, Data_main[Segment],$B45, Data_main[Scenario],$B$3)),SUMIFS(INDIRECT("Data_main"&amp;"["&amp;BU$8&amp;"]"),Data_main[Data],$A45, Data_main[Segment],$B45, Data_main[Scenario],$B$3))</f>
        <v>0</v>
      </c>
      <c r="BV45" s="531">
        <f ca="1">IF($B$6="ON", IF(BV42&gt;=covid_start, IF(BV42&lt;covid_recovery,NA(),SUMIFS(INDIRECT("Data_main"&amp;"["&amp;BV$8&amp;"]"),Data_main[Data],$A45, Data_main[Segment],$B45, Data_main[Scenario],$B$3)),SUMIFS(INDIRECT("Data_main"&amp;"["&amp;BV$8&amp;"]"),Data_main[Data],$A45, Data_main[Segment],$B45, Data_main[Scenario],$B$3)),SUMIFS(INDIRECT("Data_main"&amp;"["&amp;BV$8&amp;"]"),Data_main[Data],$A45, Data_main[Segment],$B45, Data_main[Scenario],$B$3))</f>
        <v>0</v>
      </c>
      <c r="BW45" s="531">
        <f ca="1">IF($B$6="ON", IF(BW42&gt;=covid_start, IF(BW42&lt;covid_recovery,NA(),SUMIFS(INDIRECT("Data_main"&amp;"["&amp;BW$8&amp;"]"),Data_main[Data],$A45, Data_main[Segment],$B45, Data_main[Scenario],$B$3)),SUMIFS(INDIRECT("Data_main"&amp;"["&amp;BW$8&amp;"]"),Data_main[Data],$A45, Data_main[Segment],$B45, Data_main[Scenario],$B$3)),SUMIFS(INDIRECT("Data_main"&amp;"["&amp;BW$8&amp;"]"),Data_main[Data],$A45, Data_main[Segment],$B45, Data_main[Scenario],$B$3))</f>
        <v>0</v>
      </c>
      <c r="BX45" s="531">
        <f ca="1">IF($B$6="ON", IF(BX42&gt;=covid_start, IF(BX42&lt;covid_recovery,NA(),SUMIFS(INDIRECT("Data_main"&amp;"["&amp;BX$8&amp;"]"),Data_main[Data],$A45, Data_main[Segment],$B45, Data_main[Scenario],$B$3)),SUMIFS(INDIRECT("Data_main"&amp;"["&amp;BX$8&amp;"]"),Data_main[Data],$A45, Data_main[Segment],$B45, Data_main[Scenario],$B$3)),SUMIFS(INDIRECT("Data_main"&amp;"["&amp;BX$8&amp;"]"),Data_main[Data],$A45, Data_main[Segment],$B45, Data_main[Scenario],$B$3))</f>
        <v>0</v>
      </c>
      <c r="BY45" s="531">
        <f ca="1">IF($B$6="ON", IF(BY42&gt;=covid_start, IF(BY42&lt;covid_recovery,NA(),SUMIFS(INDIRECT("Data_main"&amp;"["&amp;BY$8&amp;"]"),Data_main[Data],$A45, Data_main[Segment],$B45, Data_main[Scenario],$B$3)),SUMIFS(INDIRECT("Data_main"&amp;"["&amp;BY$8&amp;"]"),Data_main[Data],$A45, Data_main[Segment],$B45, Data_main[Scenario],$B$3)),SUMIFS(INDIRECT("Data_main"&amp;"["&amp;BY$8&amp;"]"),Data_main[Data],$A45, Data_main[Segment],$B45, Data_main[Scenario],$B$3))</f>
        <v>0</v>
      </c>
      <c r="BZ45" s="531">
        <f ca="1">IF($B$6="ON", IF(BZ42&gt;=covid_start, IF(BZ42&lt;covid_recovery,NA(),SUMIFS(INDIRECT("Data_main"&amp;"["&amp;BZ$8&amp;"]"),Data_main[Data],$A45, Data_main[Segment],$B45, Data_main[Scenario],$B$3)),SUMIFS(INDIRECT("Data_main"&amp;"["&amp;BZ$8&amp;"]"),Data_main[Data],$A45, Data_main[Segment],$B45, Data_main[Scenario],$B$3)),SUMIFS(INDIRECT("Data_main"&amp;"["&amp;BZ$8&amp;"]"),Data_main[Data],$A45, Data_main[Segment],$B45, Data_main[Scenario],$B$3))</f>
        <v>0</v>
      </c>
      <c r="CA45" s="531">
        <f ca="1">IF($B$6="ON", IF(CA42&gt;=covid_start, IF(CA42&lt;covid_recovery,NA(),SUMIFS(INDIRECT("Data_main"&amp;"["&amp;CA$8&amp;"]"),Data_main[Data],$A45, Data_main[Segment],$B45, Data_main[Scenario],$B$3)),SUMIFS(INDIRECT("Data_main"&amp;"["&amp;CA$8&amp;"]"),Data_main[Data],$A45, Data_main[Segment],$B45, Data_main[Scenario],$B$3)),SUMIFS(INDIRECT("Data_main"&amp;"["&amp;CA$8&amp;"]"),Data_main[Data],$A45, Data_main[Segment],$B45, Data_main[Scenario],$B$3))</f>
        <v>0</v>
      </c>
      <c r="CB45" s="531">
        <f ca="1">IF($B$6="ON", IF(CB42&gt;=covid_start, IF(CB42&lt;covid_recovery,NA(),SUMIFS(INDIRECT("Data_main"&amp;"["&amp;CB$8&amp;"]"),Data_main[Data],$A45, Data_main[Segment],$B45, Data_main[Scenario],$B$3)),SUMIFS(INDIRECT("Data_main"&amp;"["&amp;CB$8&amp;"]"),Data_main[Data],$A45, Data_main[Segment],$B45, Data_main[Scenario],$B$3)),SUMIFS(INDIRECT("Data_main"&amp;"["&amp;CB$8&amp;"]"),Data_main[Data],$A45, Data_main[Segment],$B45, Data_main[Scenario],$B$3))</f>
        <v>0</v>
      </c>
      <c r="CC45" s="531">
        <f ca="1">IF($B$6="ON", IF(CC42&gt;=covid_start, IF(CC42&lt;covid_recovery,NA(),SUMIFS(INDIRECT("Data_main"&amp;"["&amp;CC$8&amp;"]"),Data_main[Data],$A45, Data_main[Segment],$B45, Data_main[Scenario],$B$3)),SUMIFS(INDIRECT("Data_main"&amp;"["&amp;CC$8&amp;"]"),Data_main[Data],$A45, Data_main[Segment],$B45, Data_main[Scenario],$B$3)),SUMIFS(INDIRECT("Data_main"&amp;"["&amp;CC$8&amp;"]"),Data_main[Data],$A45, Data_main[Segment],$B45, Data_main[Scenario],$B$3))</f>
        <v>0</v>
      </c>
      <c r="CD45" s="531">
        <f ca="1">IF($B$6="ON", IF(CD42&gt;=covid_start, IF(CD42&lt;covid_recovery,NA(),SUMIFS(INDIRECT("Data_main"&amp;"["&amp;CD$8&amp;"]"),Data_main[Data],$A45, Data_main[Segment],$B45, Data_main[Scenario],$B$3)),SUMIFS(INDIRECT("Data_main"&amp;"["&amp;CD$8&amp;"]"),Data_main[Data],$A45, Data_main[Segment],$B45, Data_main[Scenario],$B$3)),SUMIFS(INDIRECT("Data_main"&amp;"["&amp;CD$8&amp;"]"),Data_main[Data],$A45, Data_main[Segment],$B45, Data_main[Scenario],$B$3))</f>
        <v>0</v>
      </c>
      <c r="CE45" s="531">
        <f ca="1">IF($B$6="ON", IF(CE42&gt;=covid_start, IF(CE42&lt;covid_recovery,NA(),SUMIFS(INDIRECT("Data_main"&amp;"["&amp;CE$8&amp;"]"),Data_main[Data],$A45, Data_main[Segment],$B45, Data_main[Scenario],$B$3)),SUMIFS(INDIRECT("Data_main"&amp;"["&amp;CE$8&amp;"]"),Data_main[Data],$A45, Data_main[Segment],$B45, Data_main[Scenario],$B$3)),SUMIFS(INDIRECT("Data_main"&amp;"["&amp;CE$8&amp;"]"),Data_main[Data],$A45, Data_main[Segment],$B45, Data_main[Scenario],$B$3))</f>
        <v>0</v>
      </c>
      <c r="CF45" s="531">
        <f ca="1">IF($B$6="ON", IF(CF42&gt;=covid_start, IF(CF42&lt;covid_recovery,NA(),SUMIFS(INDIRECT("Data_main"&amp;"["&amp;CF$8&amp;"]"),Data_main[Data],$A45, Data_main[Segment],$B45, Data_main[Scenario],$B$3)),SUMIFS(INDIRECT("Data_main"&amp;"["&amp;CF$8&amp;"]"),Data_main[Data],$A45, Data_main[Segment],$B45, Data_main[Scenario],$B$3)),SUMIFS(INDIRECT("Data_main"&amp;"["&amp;CF$8&amp;"]"),Data_main[Data],$A45, Data_main[Segment],$B45, Data_main[Scenario],$B$3))</f>
        <v>0</v>
      </c>
      <c r="CG45" s="531">
        <f ca="1">IF($B$6="ON", IF(CG42&gt;=covid_start, IF(CG42&lt;covid_recovery,NA(),SUMIFS(INDIRECT("Data_main"&amp;"["&amp;CG$8&amp;"]"),Data_main[Data],$A45, Data_main[Segment],$B45, Data_main[Scenario],$B$3)),SUMIFS(INDIRECT("Data_main"&amp;"["&amp;CG$8&amp;"]"),Data_main[Data],$A45, Data_main[Segment],$B45, Data_main[Scenario],$B$3)),SUMIFS(INDIRECT("Data_main"&amp;"["&amp;CG$8&amp;"]"),Data_main[Data],$A45, Data_main[Segment],$B45, Data_main[Scenario],$B$3))</f>
        <v>0</v>
      </c>
      <c r="CH45" s="531">
        <f ca="1">IF($B$6="ON", IF(CH42&gt;=covid_start, IF(CH42&lt;covid_recovery,NA(),SUMIFS(INDIRECT("Data_main"&amp;"["&amp;CH$8&amp;"]"),Data_main[Data],$A45, Data_main[Segment],$B45, Data_main[Scenario],$B$3)),SUMIFS(INDIRECT("Data_main"&amp;"["&amp;CH$8&amp;"]"),Data_main[Data],$A45, Data_main[Segment],$B45, Data_main[Scenario],$B$3)),SUMIFS(INDIRECT("Data_main"&amp;"["&amp;CH$8&amp;"]"),Data_main[Data],$A45, Data_main[Segment],$B45, Data_main[Scenario],$B$3))</f>
        <v>0</v>
      </c>
      <c r="CI45" s="531">
        <f ca="1">IF($B$6="ON", IF(CI42&gt;=covid_start, IF(CI42&lt;covid_recovery,NA(),SUMIFS(INDIRECT("Data_main"&amp;"["&amp;CI$8&amp;"]"),Data_main[Data],$A45, Data_main[Segment],$B45, Data_main[Scenario],$B$3)),SUMIFS(INDIRECT("Data_main"&amp;"["&amp;CI$8&amp;"]"),Data_main[Data],$A45, Data_main[Segment],$B45, Data_main[Scenario],$B$3)),SUMIFS(INDIRECT("Data_main"&amp;"["&amp;CI$8&amp;"]"),Data_main[Data],$A45, Data_main[Segment],$B45, Data_main[Scenario],$B$3))</f>
        <v>0</v>
      </c>
      <c r="CJ45" s="531">
        <f ca="1">IF($B$6="ON", IF(CJ42&gt;=covid_start, IF(CJ42&lt;covid_recovery,NA(),SUMIFS(INDIRECT("Data_main"&amp;"["&amp;CJ$8&amp;"]"),Data_main[Data],$A45, Data_main[Segment],$B45, Data_main[Scenario],$B$3)),SUMIFS(INDIRECT("Data_main"&amp;"["&amp;CJ$8&amp;"]"),Data_main[Data],$A45, Data_main[Segment],$B45, Data_main[Scenario],$B$3)),SUMIFS(INDIRECT("Data_main"&amp;"["&amp;CJ$8&amp;"]"),Data_main[Data],$A45, Data_main[Segment],$B45, Data_main[Scenario],$B$3))</f>
        <v>0</v>
      </c>
      <c r="CK45" s="531">
        <f ca="1">IF($B$6="ON", IF(CK42&gt;=covid_start, IF(CK42&lt;covid_recovery,NA(),SUMIFS(INDIRECT("Data_main"&amp;"["&amp;CK$8&amp;"]"),Data_main[Data],$A45, Data_main[Segment],$B45, Data_main[Scenario],$B$3)),SUMIFS(INDIRECT("Data_main"&amp;"["&amp;CK$8&amp;"]"),Data_main[Data],$A45, Data_main[Segment],$B45, Data_main[Scenario],$B$3)),SUMIFS(INDIRECT("Data_main"&amp;"["&amp;CK$8&amp;"]"),Data_main[Data],$A45, Data_main[Segment],$B45, Data_main[Scenario],$B$3))</f>
        <v>0</v>
      </c>
      <c r="CL45" s="531">
        <f ca="1">IF($B$6="ON", IF(CL42&gt;=covid_start, IF(CL42&lt;covid_recovery,NA(),SUMIFS(INDIRECT("Data_main"&amp;"["&amp;CL$8&amp;"]"),Data_main[Data],$A45, Data_main[Segment],$B45, Data_main[Scenario],$B$3)),SUMIFS(INDIRECT("Data_main"&amp;"["&amp;CL$8&amp;"]"),Data_main[Data],$A45, Data_main[Segment],$B45, Data_main[Scenario],$B$3)),SUMIFS(INDIRECT("Data_main"&amp;"["&amp;CL$8&amp;"]"),Data_main[Data],$A45, Data_main[Segment],$B45, Data_main[Scenario],$B$3))</f>
        <v>0</v>
      </c>
      <c r="CN45" s="613">
        <f ca="1">IFERROR((Y45/H45)^(1/17)-1,"")</f>
        <v>-3.2792689879524106E-2</v>
      </c>
      <c r="CO45" s="613">
        <f ca="1">IFERROR((AN45/Y45)^(1/15)-1,"")</f>
        <v>-3.3387995467958453E-2</v>
      </c>
      <c r="CP45" s="613">
        <f ca="1">IFERROR((AN45/H45)^(1/32)-1,"")</f>
        <v>-3.3071785010047372E-2</v>
      </c>
    </row>
    <row r="46" spans="1:94" outlineLevel="1">
      <c r="A46" s="614"/>
      <c r="B46" s="614" t="s">
        <v>26</v>
      </c>
      <c r="C46" s="614" t="s">
        <v>264</v>
      </c>
      <c r="D46" s="614" t="s">
        <v>280</v>
      </c>
      <c r="E46" s="616">
        <f t="shared" ref="E46:BP46" ca="1" si="113">(E45-INDEX($E42:$CL45,4,MATCH($B$5,$E42:$CL42,0)))/(INDEX($E42:$CL45,4,MATCH($B$4,$E42:$CL42,0))-INDEX($E42:$CL45,4,MATCH($B$5,$E42:$CL42,0)))</f>
        <v>1.1152530924171933</v>
      </c>
      <c r="F46" s="617">
        <f t="shared" ca="1" si="113"/>
        <v>1.0840058449434575</v>
      </c>
      <c r="G46" s="617">
        <f t="shared" ca="1" si="113"/>
        <v>1.0567224517794755</v>
      </c>
      <c r="H46" s="617">
        <f t="shared" ca="1" si="113"/>
        <v>1.032693650304469</v>
      </c>
      <c r="I46" s="617">
        <f t="shared" ca="1" si="113"/>
        <v>1</v>
      </c>
      <c r="J46" s="617" t="e">
        <f t="shared" ca="1" si="113"/>
        <v>#N/A</v>
      </c>
      <c r="K46" s="617" t="e">
        <f t="shared" ca="1" si="113"/>
        <v>#N/A</v>
      </c>
      <c r="L46" s="617" t="e">
        <f t="shared" ca="1" si="113"/>
        <v>#N/A</v>
      </c>
      <c r="M46" s="617">
        <f t="shared" ca="1" si="113"/>
        <v>0.80188079754465946</v>
      </c>
      <c r="N46" s="617">
        <f t="shared" ca="1" si="113"/>
        <v>0.7592743181157614</v>
      </c>
      <c r="O46" s="617">
        <f t="shared" ca="1" si="113"/>
        <v>0.71898528102871917</v>
      </c>
      <c r="P46" s="617">
        <f t="shared" ca="1" si="113"/>
        <v>0.68082961747083881</v>
      </c>
      <c r="Q46" s="617">
        <f t="shared" ca="1" si="113"/>
        <v>0.64464224935167524</v>
      </c>
      <c r="R46" s="617">
        <f t="shared" ca="1" si="113"/>
        <v>0.61027470174987786</v>
      </c>
      <c r="S46" s="617">
        <f t="shared" ca="1" si="113"/>
        <v>0.57759306672690203</v>
      </c>
      <c r="T46" s="617">
        <f t="shared" ca="1" si="113"/>
        <v>0.54647625962436475</v>
      </c>
      <c r="U46" s="617">
        <f t="shared" ca="1" si="113"/>
        <v>0.50361831356907261</v>
      </c>
      <c r="V46" s="617">
        <f t="shared" ca="1" si="113"/>
        <v>0.46321359743322993</v>
      </c>
      <c r="W46" s="617">
        <f t="shared" ca="1" si="113"/>
        <v>0.42505733418495395</v>
      </c>
      <c r="X46" s="617">
        <f t="shared" ca="1" si="113"/>
        <v>0.38896692079824907</v>
      </c>
      <c r="Y46" s="617">
        <f t="shared" ca="1" si="113"/>
        <v>0.35477900600779816</v>
      </c>
      <c r="Z46" s="617">
        <f t="shared" ca="1" si="113"/>
        <v>0.32234701833247376</v>
      </c>
      <c r="AA46" s="617">
        <f t="shared" ca="1" si="113"/>
        <v>0.29153906545221014</v>
      </c>
      <c r="AB46" s="617">
        <f t="shared" ca="1" si="113"/>
        <v>0.26223614144354379</v>
      </c>
      <c r="AC46" s="617">
        <f t="shared" ca="1" si="113"/>
        <v>0.23433059049065541</v>
      </c>
      <c r="AD46" s="617">
        <f t="shared" ca="1" si="113"/>
        <v>0.20772478526177482</v>
      </c>
      <c r="AE46" s="617">
        <f t="shared" ca="1" si="113"/>
        <v>0.18109542113357296</v>
      </c>
      <c r="AF46" s="617">
        <f t="shared" ca="1" si="113"/>
        <v>0.15608387550730676</v>
      </c>
      <c r="AG46" s="617">
        <f t="shared" ca="1" si="113"/>
        <v>0.13254706339349601</v>
      </c>
      <c r="AH46" s="617">
        <f t="shared" ca="1" si="113"/>
        <v>0.11035828979428312</v>
      </c>
      <c r="AI46" s="617">
        <f t="shared" ca="1" si="113"/>
        <v>8.940496825142237E-2</v>
      </c>
      <c r="AJ46" s="617">
        <f t="shared" ca="1" si="113"/>
        <v>6.9586710160229756E-2</v>
      </c>
      <c r="AK46" s="617">
        <f t="shared" ca="1" si="113"/>
        <v>5.0813716406569835E-2</v>
      </c>
      <c r="AL46" s="617">
        <f t="shared" ca="1" si="113"/>
        <v>3.300541695235544E-2</v>
      </c>
      <c r="AM46" s="617">
        <f t="shared" ca="1" si="113"/>
        <v>1.6089314891710473E-2</v>
      </c>
      <c r="AN46" s="617">
        <f t="shared" ca="1" si="113"/>
        <v>0</v>
      </c>
      <c r="AO46" s="617">
        <f t="shared" ca="1" si="113"/>
        <v>-0.53410874232834193</v>
      </c>
      <c r="AP46" s="617">
        <f t="shared" ca="1" si="113"/>
        <v>-0.53410874232834193</v>
      </c>
      <c r="AQ46" s="617">
        <f t="shared" ca="1" si="113"/>
        <v>-0.53410874232834193</v>
      </c>
      <c r="AR46" s="617">
        <f t="shared" ca="1" si="113"/>
        <v>-0.53410874232834193</v>
      </c>
      <c r="AS46" s="617">
        <f t="shared" ca="1" si="113"/>
        <v>-0.53410874232834193</v>
      </c>
      <c r="AT46" s="617">
        <f t="shared" ca="1" si="113"/>
        <v>-0.53410874232834193</v>
      </c>
      <c r="AU46" s="617">
        <f t="shared" ca="1" si="113"/>
        <v>-0.53410874232834193</v>
      </c>
      <c r="AV46" s="617">
        <f t="shared" ca="1" si="113"/>
        <v>-0.53410874232834193</v>
      </c>
      <c r="AW46" s="617">
        <f t="shared" ca="1" si="113"/>
        <v>-0.53410874232834193</v>
      </c>
      <c r="AX46" s="617">
        <f t="shared" ca="1" si="113"/>
        <v>-0.53410874232834193</v>
      </c>
      <c r="AY46" s="617">
        <f t="shared" ca="1" si="113"/>
        <v>-0.53410874232834193</v>
      </c>
      <c r="AZ46" s="617">
        <f t="shared" ca="1" si="113"/>
        <v>-0.53410874232834193</v>
      </c>
      <c r="BA46" s="617">
        <f t="shared" ca="1" si="113"/>
        <v>-0.53410874232834193</v>
      </c>
      <c r="BB46" s="617">
        <f t="shared" ca="1" si="113"/>
        <v>-0.53410874232834193</v>
      </c>
      <c r="BC46" s="617">
        <f t="shared" ca="1" si="113"/>
        <v>-0.53410874232834193</v>
      </c>
      <c r="BD46" s="617">
        <f t="shared" ca="1" si="113"/>
        <v>-0.53410874232834193</v>
      </c>
      <c r="BE46" s="617">
        <f t="shared" ca="1" si="113"/>
        <v>-0.53410874232834193</v>
      </c>
      <c r="BF46" s="617">
        <f t="shared" ca="1" si="113"/>
        <v>-0.53410874232834193</v>
      </c>
      <c r="BG46" s="617">
        <f t="shared" ca="1" si="113"/>
        <v>-0.53410874232834193</v>
      </c>
      <c r="BH46" s="617">
        <f t="shared" ca="1" si="113"/>
        <v>-0.53410874232834193</v>
      </c>
      <c r="BI46" s="617">
        <f t="shared" ca="1" si="113"/>
        <v>-0.53410874232834193</v>
      </c>
      <c r="BJ46" s="617">
        <f t="shared" ca="1" si="113"/>
        <v>-0.53410874232834193</v>
      </c>
      <c r="BK46" s="617">
        <f t="shared" ca="1" si="113"/>
        <v>-0.53410874232834193</v>
      </c>
      <c r="BL46" s="617">
        <f t="shared" ca="1" si="113"/>
        <v>-0.53410874232834193</v>
      </c>
      <c r="BM46" s="617">
        <f t="shared" ca="1" si="113"/>
        <v>-0.53410874232834193</v>
      </c>
      <c r="BN46" s="617">
        <f t="shared" ca="1" si="113"/>
        <v>-0.53410874232834193</v>
      </c>
      <c r="BO46" s="617">
        <f t="shared" ca="1" si="113"/>
        <v>-0.53410874232834193</v>
      </c>
      <c r="BP46" s="617">
        <f t="shared" ca="1" si="113"/>
        <v>-0.53410874232834193</v>
      </c>
      <c r="BQ46" s="617">
        <f t="shared" ref="BQ46:CL46" ca="1" si="114">(BQ45-INDEX($E42:$CL45,4,MATCH($B$5,$E42:$CL42,0)))/(INDEX($E42:$CL45,4,MATCH($B$4,$E42:$CL42,0))-INDEX($E42:$CL45,4,MATCH($B$5,$E42:$CL42,0)))</f>
        <v>-0.53410874232834193</v>
      </c>
      <c r="BR46" s="617">
        <f t="shared" ca="1" si="114"/>
        <v>-0.53410874232834193</v>
      </c>
      <c r="BS46" s="617">
        <f t="shared" ca="1" si="114"/>
        <v>-0.53410874232834193</v>
      </c>
      <c r="BT46" s="617">
        <f t="shared" ca="1" si="114"/>
        <v>-0.53410874232834193</v>
      </c>
      <c r="BU46" s="617">
        <f t="shared" ca="1" si="114"/>
        <v>-0.53410874232834193</v>
      </c>
      <c r="BV46" s="617">
        <f t="shared" ca="1" si="114"/>
        <v>-0.53410874232834193</v>
      </c>
      <c r="BW46" s="617">
        <f t="shared" ca="1" si="114"/>
        <v>-0.53410874232834193</v>
      </c>
      <c r="BX46" s="617">
        <f t="shared" ca="1" si="114"/>
        <v>-0.53410874232834193</v>
      </c>
      <c r="BY46" s="617">
        <f t="shared" ca="1" si="114"/>
        <v>-0.53410874232834193</v>
      </c>
      <c r="BZ46" s="617">
        <f t="shared" ca="1" si="114"/>
        <v>-0.53410874232834193</v>
      </c>
      <c r="CA46" s="617">
        <f t="shared" ca="1" si="114"/>
        <v>-0.53410874232834193</v>
      </c>
      <c r="CB46" s="617">
        <f t="shared" ca="1" si="114"/>
        <v>-0.53410874232834193</v>
      </c>
      <c r="CC46" s="617">
        <f t="shared" ca="1" si="114"/>
        <v>-0.53410874232834193</v>
      </c>
      <c r="CD46" s="617">
        <f t="shared" ca="1" si="114"/>
        <v>-0.53410874232834193</v>
      </c>
      <c r="CE46" s="617">
        <f t="shared" ca="1" si="114"/>
        <v>-0.53410874232834193</v>
      </c>
      <c r="CF46" s="617">
        <f t="shared" ca="1" si="114"/>
        <v>-0.53410874232834193</v>
      </c>
      <c r="CG46" s="617">
        <f t="shared" ca="1" si="114"/>
        <v>-0.53410874232834193</v>
      </c>
      <c r="CH46" s="617">
        <f t="shared" ca="1" si="114"/>
        <v>-0.53410874232834193</v>
      </c>
      <c r="CI46" s="617">
        <f t="shared" ca="1" si="114"/>
        <v>-0.53410874232834193</v>
      </c>
      <c r="CJ46" s="617">
        <f t="shared" ca="1" si="114"/>
        <v>-0.53410874232834193</v>
      </c>
      <c r="CK46" s="617">
        <f t="shared" ca="1" si="114"/>
        <v>-0.53410874232834193</v>
      </c>
      <c r="CL46" s="617">
        <f t="shared" ca="1" si="114"/>
        <v>-0.53410874232834193</v>
      </c>
      <c r="CN46" s="618"/>
      <c r="CO46" s="618"/>
      <c r="CP46" s="618"/>
    </row>
    <row r="47" spans="1:94" outlineLevel="1">
      <c r="A47" s="534"/>
      <c r="B47" s="534" t="s">
        <v>28</v>
      </c>
      <c r="C47" s="534" t="s">
        <v>265</v>
      </c>
      <c r="D47" s="534" t="s">
        <v>277</v>
      </c>
      <c r="E47" s="536">
        <f t="shared" ref="E47:BP47" ca="1" si="115">INDEX($E42:$CL45,4,MATCH($B$5,$E42:$CL42,0))</f>
        <v>221.26876306264916</v>
      </c>
      <c r="F47" s="537">
        <f t="shared" ca="1" si="115"/>
        <v>221.26876306264916</v>
      </c>
      <c r="G47" s="537">
        <f t="shared" ca="1" si="115"/>
        <v>221.26876306264916</v>
      </c>
      <c r="H47" s="537">
        <f t="shared" ca="1" si="115"/>
        <v>221.26876306264916</v>
      </c>
      <c r="I47" s="537">
        <f t="shared" ca="1" si="115"/>
        <v>221.26876306264916</v>
      </c>
      <c r="J47" s="537">
        <f t="shared" ca="1" si="115"/>
        <v>221.26876306264916</v>
      </c>
      <c r="K47" s="537">
        <f t="shared" ca="1" si="115"/>
        <v>221.26876306264916</v>
      </c>
      <c r="L47" s="537">
        <f t="shared" ca="1" si="115"/>
        <v>221.26876306264916</v>
      </c>
      <c r="M47" s="537">
        <f t="shared" ca="1" si="115"/>
        <v>221.26876306264916</v>
      </c>
      <c r="N47" s="537">
        <f t="shared" ca="1" si="115"/>
        <v>221.26876306264916</v>
      </c>
      <c r="O47" s="537">
        <f t="shared" ca="1" si="115"/>
        <v>221.26876306264916</v>
      </c>
      <c r="P47" s="537">
        <f t="shared" ca="1" si="115"/>
        <v>221.26876306264916</v>
      </c>
      <c r="Q47" s="537">
        <f t="shared" ca="1" si="115"/>
        <v>221.26876306264916</v>
      </c>
      <c r="R47" s="537">
        <f t="shared" ca="1" si="115"/>
        <v>221.26876306264916</v>
      </c>
      <c r="S47" s="537">
        <f t="shared" ca="1" si="115"/>
        <v>221.26876306264916</v>
      </c>
      <c r="T47" s="537">
        <f t="shared" ca="1" si="115"/>
        <v>221.26876306264916</v>
      </c>
      <c r="U47" s="537">
        <f t="shared" ca="1" si="115"/>
        <v>221.26876306264916</v>
      </c>
      <c r="V47" s="537">
        <f t="shared" ca="1" si="115"/>
        <v>221.26876306264916</v>
      </c>
      <c r="W47" s="537">
        <f t="shared" ca="1" si="115"/>
        <v>221.26876306264916</v>
      </c>
      <c r="X47" s="537">
        <f t="shared" ca="1" si="115"/>
        <v>221.26876306264916</v>
      </c>
      <c r="Y47" s="537">
        <f t="shared" ca="1" si="115"/>
        <v>221.26876306264916</v>
      </c>
      <c r="Z47" s="537">
        <f t="shared" ca="1" si="115"/>
        <v>221.26876306264916</v>
      </c>
      <c r="AA47" s="537">
        <f t="shared" ca="1" si="115"/>
        <v>221.26876306264916</v>
      </c>
      <c r="AB47" s="537">
        <f t="shared" ca="1" si="115"/>
        <v>221.26876306264916</v>
      </c>
      <c r="AC47" s="537">
        <f t="shared" ca="1" si="115"/>
        <v>221.26876306264916</v>
      </c>
      <c r="AD47" s="537">
        <f t="shared" ca="1" si="115"/>
        <v>221.26876306264916</v>
      </c>
      <c r="AE47" s="537">
        <f t="shared" ca="1" si="115"/>
        <v>221.26876306264916</v>
      </c>
      <c r="AF47" s="537">
        <f t="shared" ca="1" si="115"/>
        <v>221.26876306264916</v>
      </c>
      <c r="AG47" s="537">
        <f t="shared" ca="1" si="115"/>
        <v>221.26876306264916</v>
      </c>
      <c r="AH47" s="537">
        <f t="shared" ca="1" si="115"/>
        <v>221.26876306264916</v>
      </c>
      <c r="AI47" s="537">
        <f t="shared" ca="1" si="115"/>
        <v>221.26876306264916</v>
      </c>
      <c r="AJ47" s="537">
        <f t="shared" ca="1" si="115"/>
        <v>221.26876306264916</v>
      </c>
      <c r="AK47" s="537">
        <f t="shared" ca="1" si="115"/>
        <v>221.26876306264916</v>
      </c>
      <c r="AL47" s="537">
        <f t="shared" ca="1" si="115"/>
        <v>221.26876306264916</v>
      </c>
      <c r="AM47" s="537">
        <f t="shared" ca="1" si="115"/>
        <v>221.26876306264916</v>
      </c>
      <c r="AN47" s="537">
        <f t="shared" ca="1" si="115"/>
        <v>221.26876306264916</v>
      </c>
      <c r="AO47" s="537">
        <f t="shared" ca="1" si="115"/>
        <v>221.26876306264916</v>
      </c>
      <c r="AP47" s="537">
        <f t="shared" ca="1" si="115"/>
        <v>221.26876306264916</v>
      </c>
      <c r="AQ47" s="537">
        <f t="shared" ca="1" si="115"/>
        <v>221.26876306264916</v>
      </c>
      <c r="AR47" s="537">
        <f t="shared" ca="1" si="115"/>
        <v>221.26876306264916</v>
      </c>
      <c r="AS47" s="537">
        <f t="shared" ca="1" si="115"/>
        <v>221.26876306264916</v>
      </c>
      <c r="AT47" s="537">
        <f t="shared" ca="1" si="115"/>
        <v>221.26876306264916</v>
      </c>
      <c r="AU47" s="537">
        <f t="shared" ca="1" si="115"/>
        <v>221.26876306264916</v>
      </c>
      <c r="AV47" s="537">
        <f t="shared" ca="1" si="115"/>
        <v>221.26876306264916</v>
      </c>
      <c r="AW47" s="537">
        <f t="shared" ca="1" si="115"/>
        <v>221.26876306264916</v>
      </c>
      <c r="AX47" s="537">
        <f t="shared" ca="1" si="115"/>
        <v>221.26876306264916</v>
      </c>
      <c r="AY47" s="537">
        <f t="shared" ca="1" si="115"/>
        <v>221.26876306264916</v>
      </c>
      <c r="AZ47" s="537">
        <f t="shared" ca="1" si="115"/>
        <v>221.26876306264916</v>
      </c>
      <c r="BA47" s="537">
        <f t="shared" ca="1" si="115"/>
        <v>221.26876306264916</v>
      </c>
      <c r="BB47" s="537">
        <f t="shared" ca="1" si="115"/>
        <v>221.26876306264916</v>
      </c>
      <c r="BC47" s="537">
        <f t="shared" ca="1" si="115"/>
        <v>221.26876306264916</v>
      </c>
      <c r="BD47" s="537">
        <f t="shared" ca="1" si="115"/>
        <v>221.26876306264916</v>
      </c>
      <c r="BE47" s="537">
        <f t="shared" ca="1" si="115"/>
        <v>221.26876306264916</v>
      </c>
      <c r="BF47" s="537">
        <f t="shared" ca="1" si="115"/>
        <v>221.26876306264916</v>
      </c>
      <c r="BG47" s="537">
        <f t="shared" ca="1" si="115"/>
        <v>221.26876306264916</v>
      </c>
      <c r="BH47" s="537">
        <f t="shared" ca="1" si="115"/>
        <v>221.26876306264916</v>
      </c>
      <c r="BI47" s="537">
        <f t="shared" ca="1" si="115"/>
        <v>221.26876306264916</v>
      </c>
      <c r="BJ47" s="537">
        <f t="shared" ca="1" si="115"/>
        <v>221.26876306264916</v>
      </c>
      <c r="BK47" s="537">
        <f t="shared" ca="1" si="115"/>
        <v>221.26876306264916</v>
      </c>
      <c r="BL47" s="537">
        <f t="shared" ca="1" si="115"/>
        <v>221.26876306264916</v>
      </c>
      <c r="BM47" s="537">
        <f t="shared" ca="1" si="115"/>
        <v>221.26876306264916</v>
      </c>
      <c r="BN47" s="537">
        <f t="shared" ca="1" si="115"/>
        <v>221.26876306264916</v>
      </c>
      <c r="BO47" s="537">
        <f t="shared" ca="1" si="115"/>
        <v>221.26876306264916</v>
      </c>
      <c r="BP47" s="537">
        <f t="shared" ca="1" si="115"/>
        <v>221.26876306264916</v>
      </c>
      <c r="BQ47" s="537">
        <f t="shared" ref="BQ47:CL47" ca="1" si="116">INDEX($E42:$CL45,4,MATCH($B$5,$E42:$CL42,0))</f>
        <v>221.26876306264916</v>
      </c>
      <c r="BR47" s="537">
        <f t="shared" ca="1" si="116"/>
        <v>221.26876306264916</v>
      </c>
      <c r="BS47" s="537">
        <f t="shared" ca="1" si="116"/>
        <v>221.26876306264916</v>
      </c>
      <c r="BT47" s="537">
        <f t="shared" ca="1" si="116"/>
        <v>221.26876306264916</v>
      </c>
      <c r="BU47" s="537">
        <f t="shared" ca="1" si="116"/>
        <v>221.26876306264916</v>
      </c>
      <c r="BV47" s="537">
        <f t="shared" ca="1" si="116"/>
        <v>221.26876306264916</v>
      </c>
      <c r="BW47" s="537">
        <f t="shared" ca="1" si="116"/>
        <v>221.26876306264916</v>
      </c>
      <c r="BX47" s="537">
        <f t="shared" ca="1" si="116"/>
        <v>221.26876306264916</v>
      </c>
      <c r="BY47" s="537">
        <f t="shared" ca="1" si="116"/>
        <v>221.26876306264916</v>
      </c>
      <c r="BZ47" s="537">
        <f t="shared" ca="1" si="116"/>
        <v>221.26876306264916</v>
      </c>
      <c r="CA47" s="537">
        <f t="shared" ca="1" si="116"/>
        <v>221.26876306264916</v>
      </c>
      <c r="CB47" s="537">
        <f t="shared" ca="1" si="116"/>
        <v>221.26876306264916</v>
      </c>
      <c r="CC47" s="537">
        <f t="shared" ca="1" si="116"/>
        <v>221.26876306264916</v>
      </c>
      <c r="CD47" s="537">
        <f t="shared" ca="1" si="116"/>
        <v>221.26876306264916</v>
      </c>
      <c r="CE47" s="537">
        <f t="shared" ca="1" si="116"/>
        <v>221.26876306264916</v>
      </c>
      <c r="CF47" s="537">
        <f t="shared" ca="1" si="116"/>
        <v>221.26876306264916</v>
      </c>
      <c r="CG47" s="537">
        <f t="shared" ca="1" si="116"/>
        <v>221.26876306264916</v>
      </c>
      <c r="CH47" s="537">
        <f t="shared" ca="1" si="116"/>
        <v>221.26876306264916</v>
      </c>
      <c r="CI47" s="537">
        <f t="shared" ca="1" si="116"/>
        <v>221.26876306264916</v>
      </c>
      <c r="CJ47" s="537">
        <f t="shared" ca="1" si="116"/>
        <v>221.26876306264916</v>
      </c>
      <c r="CK47" s="537">
        <f t="shared" ca="1" si="116"/>
        <v>221.26876306264916</v>
      </c>
      <c r="CL47" s="537">
        <f t="shared" ca="1" si="116"/>
        <v>221.26876306264916</v>
      </c>
      <c r="CN47" s="618"/>
      <c r="CO47" s="618"/>
      <c r="CP47" s="618"/>
    </row>
    <row r="48" spans="1:94" outlineLevel="1">
      <c r="A48" s="538" t="s">
        <v>255</v>
      </c>
      <c r="B48" s="538" t="s">
        <v>260</v>
      </c>
      <c r="C48" s="538" t="s">
        <v>266</v>
      </c>
      <c r="D48" s="538"/>
      <c r="E48" s="539" t="str">
        <f t="shared" ref="E48:BP48" si="117">IF(E42=base,be,"")</f>
        <v/>
      </c>
      <c r="F48" s="540" t="str">
        <f t="shared" si="117"/>
        <v/>
      </c>
      <c r="G48" s="540" t="str">
        <f t="shared" si="117"/>
        <v/>
      </c>
      <c r="H48" s="540" t="str">
        <f t="shared" si="117"/>
        <v/>
      </c>
      <c r="I48" s="540" t="e">
        <f t="shared" si="117"/>
        <v>#DIV/0!</v>
      </c>
      <c r="J48" s="540" t="str">
        <f t="shared" si="117"/>
        <v/>
      </c>
      <c r="K48" s="540" t="str">
        <f t="shared" si="117"/>
        <v/>
      </c>
      <c r="L48" s="540" t="str">
        <f t="shared" si="117"/>
        <v/>
      </c>
      <c r="M48" s="540" t="str">
        <f t="shared" si="117"/>
        <v/>
      </c>
      <c r="N48" s="540" t="str">
        <f t="shared" si="117"/>
        <v/>
      </c>
      <c r="O48" s="540" t="str">
        <f t="shared" si="117"/>
        <v/>
      </c>
      <c r="P48" s="540" t="str">
        <f t="shared" si="117"/>
        <v/>
      </c>
      <c r="Q48" s="540" t="str">
        <f t="shared" si="117"/>
        <v/>
      </c>
      <c r="R48" s="540" t="str">
        <f t="shared" si="117"/>
        <v/>
      </c>
      <c r="S48" s="540" t="str">
        <f t="shared" si="117"/>
        <v/>
      </c>
      <c r="T48" s="540" t="str">
        <f t="shared" si="117"/>
        <v/>
      </c>
      <c r="U48" s="540" t="str">
        <f t="shared" si="117"/>
        <v/>
      </c>
      <c r="V48" s="540" t="str">
        <f t="shared" si="117"/>
        <v/>
      </c>
      <c r="W48" s="540" t="str">
        <f t="shared" si="117"/>
        <v/>
      </c>
      <c r="X48" s="540" t="str">
        <f t="shared" si="117"/>
        <v/>
      </c>
      <c r="Y48" s="540" t="str">
        <f t="shared" si="117"/>
        <v/>
      </c>
      <c r="Z48" s="540" t="str">
        <f t="shared" si="117"/>
        <v/>
      </c>
      <c r="AA48" s="540" t="str">
        <f t="shared" si="117"/>
        <v/>
      </c>
      <c r="AB48" s="540" t="str">
        <f t="shared" si="117"/>
        <v/>
      </c>
      <c r="AC48" s="540" t="str">
        <f t="shared" si="117"/>
        <v/>
      </c>
      <c r="AD48" s="540" t="str">
        <f t="shared" si="117"/>
        <v/>
      </c>
      <c r="AE48" s="540" t="str">
        <f t="shared" si="117"/>
        <v/>
      </c>
      <c r="AF48" s="540" t="str">
        <f t="shared" si="117"/>
        <v/>
      </c>
      <c r="AG48" s="540" t="str">
        <f t="shared" si="117"/>
        <v/>
      </c>
      <c r="AH48" s="540" t="str">
        <f t="shared" si="117"/>
        <v/>
      </c>
      <c r="AI48" s="540" t="str">
        <f t="shared" si="117"/>
        <v/>
      </c>
      <c r="AJ48" s="540" t="str">
        <f t="shared" si="117"/>
        <v/>
      </c>
      <c r="AK48" s="540" t="str">
        <f t="shared" si="117"/>
        <v/>
      </c>
      <c r="AL48" s="540" t="str">
        <f t="shared" si="117"/>
        <v/>
      </c>
      <c r="AM48" s="540" t="str">
        <f t="shared" si="117"/>
        <v/>
      </c>
      <c r="AN48" s="540" t="str">
        <f t="shared" si="117"/>
        <v/>
      </c>
      <c r="AO48" s="540" t="str">
        <f t="shared" si="117"/>
        <v/>
      </c>
      <c r="AP48" s="540" t="str">
        <f t="shared" si="117"/>
        <v/>
      </c>
      <c r="AQ48" s="540" t="str">
        <f t="shared" si="117"/>
        <v/>
      </c>
      <c r="AR48" s="540" t="str">
        <f t="shared" si="117"/>
        <v/>
      </c>
      <c r="AS48" s="540" t="str">
        <f t="shared" si="117"/>
        <v/>
      </c>
      <c r="AT48" s="540" t="str">
        <f t="shared" si="117"/>
        <v/>
      </c>
      <c r="AU48" s="540" t="str">
        <f t="shared" si="117"/>
        <v/>
      </c>
      <c r="AV48" s="540" t="str">
        <f t="shared" si="117"/>
        <v/>
      </c>
      <c r="AW48" s="540" t="str">
        <f t="shared" si="117"/>
        <v/>
      </c>
      <c r="AX48" s="540" t="str">
        <f t="shared" si="117"/>
        <v/>
      </c>
      <c r="AY48" s="540" t="str">
        <f t="shared" si="117"/>
        <v/>
      </c>
      <c r="AZ48" s="540" t="str">
        <f t="shared" si="117"/>
        <v/>
      </c>
      <c r="BA48" s="540" t="str">
        <f t="shared" si="117"/>
        <v/>
      </c>
      <c r="BB48" s="540" t="str">
        <f t="shared" si="117"/>
        <v/>
      </c>
      <c r="BC48" s="540" t="str">
        <f t="shared" si="117"/>
        <v/>
      </c>
      <c r="BD48" s="540" t="str">
        <f t="shared" si="117"/>
        <v/>
      </c>
      <c r="BE48" s="540" t="str">
        <f t="shared" si="117"/>
        <v/>
      </c>
      <c r="BF48" s="540" t="str">
        <f t="shared" si="117"/>
        <v/>
      </c>
      <c r="BG48" s="540" t="str">
        <f t="shared" si="117"/>
        <v/>
      </c>
      <c r="BH48" s="540" t="str">
        <f t="shared" si="117"/>
        <v/>
      </c>
      <c r="BI48" s="540" t="str">
        <f t="shared" si="117"/>
        <v/>
      </c>
      <c r="BJ48" s="540" t="str">
        <f t="shared" si="117"/>
        <v/>
      </c>
      <c r="BK48" s="540" t="str">
        <f t="shared" si="117"/>
        <v/>
      </c>
      <c r="BL48" s="540" t="str">
        <f t="shared" si="117"/>
        <v/>
      </c>
      <c r="BM48" s="540" t="str">
        <f t="shared" si="117"/>
        <v/>
      </c>
      <c r="BN48" s="540" t="str">
        <f t="shared" si="117"/>
        <v/>
      </c>
      <c r="BO48" s="540" t="str">
        <f t="shared" si="117"/>
        <v/>
      </c>
      <c r="BP48" s="540" t="str">
        <f t="shared" si="117"/>
        <v/>
      </c>
      <c r="BQ48" s="540" t="str">
        <f t="shared" ref="BQ48:CL48" si="118">IF(BQ42=base,be,"")</f>
        <v/>
      </c>
      <c r="BR48" s="540" t="str">
        <f t="shared" si="118"/>
        <v/>
      </c>
      <c r="BS48" s="540" t="str">
        <f t="shared" si="118"/>
        <v/>
      </c>
      <c r="BT48" s="540" t="str">
        <f t="shared" si="118"/>
        <v/>
      </c>
      <c r="BU48" s="540" t="str">
        <f t="shared" si="118"/>
        <v/>
      </c>
      <c r="BV48" s="540" t="str">
        <f t="shared" si="118"/>
        <v/>
      </c>
      <c r="BW48" s="540" t="str">
        <f t="shared" si="118"/>
        <v/>
      </c>
      <c r="BX48" s="540" t="str">
        <f t="shared" si="118"/>
        <v/>
      </c>
      <c r="BY48" s="540" t="str">
        <f t="shared" si="118"/>
        <v/>
      </c>
      <c r="BZ48" s="540" t="str">
        <f t="shared" si="118"/>
        <v/>
      </c>
      <c r="CA48" s="540" t="str">
        <f t="shared" si="118"/>
        <v/>
      </c>
      <c r="CB48" s="540" t="str">
        <f t="shared" si="118"/>
        <v/>
      </c>
      <c r="CC48" s="540" t="str">
        <f t="shared" si="118"/>
        <v/>
      </c>
      <c r="CD48" s="540" t="str">
        <f t="shared" si="118"/>
        <v/>
      </c>
      <c r="CE48" s="540" t="str">
        <f t="shared" si="118"/>
        <v/>
      </c>
      <c r="CF48" s="540" t="str">
        <f t="shared" si="118"/>
        <v/>
      </c>
      <c r="CG48" s="540" t="str">
        <f t="shared" si="118"/>
        <v/>
      </c>
      <c r="CH48" s="540" t="str">
        <f t="shared" si="118"/>
        <v/>
      </c>
      <c r="CI48" s="540" t="str">
        <f t="shared" si="118"/>
        <v/>
      </c>
      <c r="CJ48" s="540" t="str">
        <f t="shared" si="118"/>
        <v/>
      </c>
      <c r="CK48" s="540" t="str">
        <f t="shared" si="118"/>
        <v/>
      </c>
      <c r="CL48" s="540" t="str">
        <f t="shared" si="118"/>
        <v/>
      </c>
      <c r="CN48" s="619" t="str">
        <f t="shared" ref="CN48:CN57" si="119">IFERROR((Y48/H48)^(1/17)-1,"")</f>
        <v/>
      </c>
      <c r="CO48" s="619" t="str">
        <f t="shared" ref="CO48:CO57" si="120">IFERROR((AN48/Y48)^(1/15)-1,"")</f>
        <v/>
      </c>
      <c r="CP48" s="619" t="str">
        <f t="shared" ref="CP48:CP57" si="121">IFERROR((AN48/H48)^(1/32)-1,"")</f>
        <v/>
      </c>
    </row>
    <row r="49" spans="1:94" outlineLevel="1">
      <c r="A49" s="535" t="s">
        <v>255</v>
      </c>
      <c r="B49" s="535" t="s">
        <v>259</v>
      </c>
      <c r="C49" s="535" t="s">
        <v>267</v>
      </c>
      <c r="D49" s="535"/>
      <c r="E49" s="541" t="e">
        <f t="shared" ref="E49:AJ49" si="122">IF(E8&lt;sector_base,NA(),IFERROR(IF(activity_approach="Input Activity Data Manually",IF(E8=base,ba,IF(E8=target,bf,D49+((bf-ba)/(target-base)))),ba*(1+f_CAGR)^(E8-base)),""))</f>
        <v>#N/A</v>
      </c>
      <c r="F49" s="541" t="e">
        <f t="shared" si="122"/>
        <v>#N/A</v>
      </c>
      <c r="G49" s="541" t="e">
        <f t="shared" si="122"/>
        <v>#N/A</v>
      </c>
      <c r="H49" s="541" t="e">
        <f t="shared" si="122"/>
        <v>#N/A</v>
      </c>
      <c r="I49" s="541">
        <f t="shared" si="122"/>
        <v>0</v>
      </c>
      <c r="J49" s="541">
        <f t="shared" si="122"/>
        <v>0</v>
      </c>
      <c r="K49" s="541">
        <f t="shared" si="122"/>
        <v>0</v>
      </c>
      <c r="L49" s="541">
        <f t="shared" si="122"/>
        <v>0</v>
      </c>
      <c r="M49" s="541">
        <f t="shared" si="122"/>
        <v>0</v>
      </c>
      <c r="N49" s="541">
        <f t="shared" si="122"/>
        <v>0</v>
      </c>
      <c r="O49" s="541">
        <f t="shared" si="122"/>
        <v>0</v>
      </c>
      <c r="P49" s="541">
        <f t="shared" si="122"/>
        <v>0</v>
      </c>
      <c r="Q49" s="541">
        <f t="shared" si="122"/>
        <v>0</v>
      </c>
      <c r="R49" s="541">
        <f t="shared" si="122"/>
        <v>0</v>
      </c>
      <c r="S49" s="541">
        <f t="shared" si="122"/>
        <v>0</v>
      </c>
      <c r="T49" s="541">
        <f t="shared" si="122"/>
        <v>0</v>
      </c>
      <c r="U49" s="541">
        <f t="shared" si="122"/>
        <v>0</v>
      </c>
      <c r="V49" s="541">
        <f t="shared" si="122"/>
        <v>0</v>
      </c>
      <c r="W49" s="541">
        <f t="shared" si="122"/>
        <v>0</v>
      </c>
      <c r="X49" s="541">
        <f t="shared" si="122"/>
        <v>0</v>
      </c>
      <c r="Y49" s="541">
        <f t="shared" si="122"/>
        <v>0</v>
      </c>
      <c r="Z49" s="541">
        <f t="shared" si="122"/>
        <v>0</v>
      </c>
      <c r="AA49" s="541">
        <f t="shared" si="122"/>
        <v>0</v>
      </c>
      <c r="AB49" s="541">
        <f t="shared" si="122"/>
        <v>0</v>
      </c>
      <c r="AC49" s="541">
        <f t="shared" si="122"/>
        <v>0</v>
      </c>
      <c r="AD49" s="541">
        <f t="shared" si="122"/>
        <v>0</v>
      </c>
      <c r="AE49" s="541">
        <f t="shared" si="122"/>
        <v>0</v>
      </c>
      <c r="AF49" s="541">
        <f t="shared" si="122"/>
        <v>0</v>
      </c>
      <c r="AG49" s="541">
        <f t="shared" si="122"/>
        <v>0</v>
      </c>
      <c r="AH49" s="541">
        <f t="shared" si="122"/>
        <v>0</v>
      </c>
      <c r="AI49" s="541">
        <f t="shared" si="122"/>
        <v>0</v>
      </c>
      <c r="AJ49" s="541">
        <f t="shared" si="122"/>
        <v>0</v>
      </c>
      <c r="AK49" s="541">
        <f t="shared" ref="AK49:BP49" si="123">IF(AK8&lt;sector_base,NA(),IFERROR(IF(activity_approach="Input Activity Data Manually",IF(AK8=base,ba,IF(AK8=target,bf,AJ49+((bf-ba)/(target-base)))),ba*(1+f_CAGR)^(AK8-base)),""))</f>
        <v>0</v>
      </c>
      <c r="AL49" s="541">
        <f t="shared" si="123"/>
        <v>0</v>
      </c>
      <c r="AM49" s="541">
        <f t="shared" si="123"/>
        <v>0</v>
      </c>
      <c r="AN49" s="541">
        <f t="shared" si="123"/>
        <v>0</v>
      </c>
      <c r="AO49" s="541">
        <f t="shared" si="123"/>
        <v>0</v>
      </c>
      <c r="AP49" s="541">
        <f t="shared" si="123"/>
        <v>0</v>
      </c>
      <c r="AQ49" s="541">
        <f t="shared" si="123"/>
        <v>0</v>
      </c>
      <c r="AR49" s="541">
        <f t="shared" si="123"/>
        <v>0</v>
      </c>
      <c r="AS49" s="541">
        <f t="shared" si="123"/>
        <v>0</v>
      </c>
      <c r="AT49" s="541">
        <f t="shared" si="123"/>
        <v>0</v>
      </c>
      <c r="AU49" s="541">
        <f t="shared" si="123"/>
        <v>0</v>
      </c>
      <c r="AV49" s="541">
        <f t="shared" si="123"/>
        <v>0</v>
      </c>
      <c r="AW49" s="541">
        <f t="shared" si="123"/>
        <v>0</v>
      </c>
      <c r="AX49" s="541">
        <f t="shared" si="123"/>
        <v>0</v>
      </c>
      <c r="AY49" s="541">
        <f t="shared" si="123"/>
        <v>0</v>
      </c>
      <c r="AZ49" s="541">
        <f t="shared" si="123"/>
        <v>0</v>
      </c>
      <c r="BA49" s="541">
        <f t="shared" si="123"/>
        <v>0</v>
      </c>
      <c r="BB49" s="541">
        <f t="shared" si="123"/>
        <v>0</v>
      </c>
      <c r="BC49" s="541">
        <f t="shared" si="123"/>
        <v>0</v>
      </c>
      <c r="BD49" s="541">
        <f t="shared" si="123"/>
        <v>0</v>
      </c>
      <c r="BE49" s="541">
        <f t="shared" si="123"/>
        <v>0</v>
      </c>
      <c r="BF49" s="541">
        <f t="shared" si="123"/>
        <v>0</v>
      </c>
      <c r="BG49" s="541">
        <f t="shared" si="123"/>
        <v>0</v>
      </c>
      <c r="BH49" s="541">
        <f t="shared" si="123"/>
        <v>0</v>
      </c>
      <c r="BI49" s="541">
        <f t="shared" si="123"/>
        <v>0</v>
      </c>
      <c r="BJ49" s="541">
        <f t="shared" si="123"/>
        <v>0</v>
      </c>
      <c r="BK49" s="541">
        <f t="shared" si="123"/>
        <v>0</v>
      </c>
      <c r="BL49" s="541">
        <f t="shared" si="123"/>
        <v>0</v>
      </c>
      <c r="BM49" s="541">
        <f t="shared" si="123"/>
        <v>0</v>
      </c>
      <c r="BN49" s="541">
        <f t="shared" si="123"/>
        <v>0</v>
      </c>
      <c r="BO49" s="541">
        <f t="shared" si="123"/>
        <v>0</v>
      </c>
      <c r="BP49" s="541">
        <f t="shared" si="123"/>
        <v>0</v>
      </c>
      <c r="BQ49" s="541">
        <f t="shared" ref="BQ49:CL49" si="124">IF(BQ8&lt;sector_base,NA(),IFERROR(IF(activity_approach="Input Activity Data Manually",IF(BQ8=base,ba,IF(BQ8=target,bf,BP49+((bf-ba)/(target-base)))),ba*(1+f_CAGR)^(BQ8-base)),""))</f>
        <v>0</v>
      </c>
      <c r="BR49" s="541">
        <f t="shared" si="124"/>
        <v>0</v>
      </c>
      <c r="BS49" s="541">
        <f t="shared" si="124"/>
        <v>0</v>
      </c>
      <c r="BT49" s="541">
        <f t="shared" si="124"/>
        <v>0</v>
      </c>
      <c r="BU49" s="541">
        <f t="shared" si="124"/>
        <v>0</v>
      </c>
      <c r="BV49" s="541">
        <f t="shared" si="124"/>
        <v>0</v>
      </c>
      <c r="BW49" s="541">
        <f t="shared" si="124"/>
        <v>0</v>
      </c>
      <c r="BX49" s="541">
        <f t="shared" si="124"/>
        <v>0</v>
      </c>
      <c r="BY49" s="541">
        <f t="shared" si="124"/>
        <v>0</v>
      </c>
      <c r="BZ49" s="541">
        <f t="shared" si="124"/>
        <v>0</v>
      </c>
      <c r="CA49" s="541">
        <f t="shared" si="124"/>
        <v>0</v>
      </c>
      <c r="CB49" s="541">
        <f t="shared" si="124"/>
        <v>0</v>
      </c>
      <c r="CC49" s="541">
        <f t="shared" si="124"/>
        <v>0</v>
      </c>
      <c r="CD49" s="541">
        <f t="shared" si="124"/>
        <v>0</v>
      </c>
      <c r="CE49" s="541">
        <f t="shared" si="124"/>
        <v>0</v>
      </c>
      <c r="CF49" s="541">
        <f t="shared" si="124"/>
        <v>0</v>
      </c>
      <c r="CG49" s="541">
        <f t="shared" si="124"/>
        <v>0</v>
      </c>
      <c r="CH49" s="541">
        <f t="shared" si="124"/>
        <v>0</v>
      </c>
      <c r="CI49" s="541">
        <f t="shared" si="124"/>
        <v>0</v>
      </c>
      <c r="CJ49" s="541">
        <f t="shared" si="124"/>
        <v>0</v>
      </c>
      <c r="CK49" s="541">
        <f t="shared" si="124"/>
        <v>0</v>
      </c>
      <c r="CL49" s="541">
        <f t="shared" si="124"/>
        <v>0</v>
      </c>
      <c r="CN49" s="620" t="str">
        <f t="shared" si="119"/>
        <v/>
      </c>
      <c r="CO49" s="620" t="str">
        <f t="shared" si="120"/>
        <v/>
      </c>
      <c r="CP49" s="620" t="str">
        <f t="shared" si="121"/>
        <v/>
      </c>
    </row>
    <row r="50" spans="1:94" outlineLevel="1">
      <c r="A50" s="535" t="s">
        <v>255</v>
      </c>
      <c r="B50" s="535" t="s">
        <v>258</v>
      </c>
      <c r="C50" s="535" t="s">
        <v>268</v>
      </c>
      <c r="D50" s="535" t="s">
        <v>281</v>
      </c>
      <c r="E50" s="542" t="str">
        <f>IFERROR((E48/E49)*1000,"")</f>
        <v/>
      </c>
      <c r="F50" s="531" t="str">
        <f t="shared" ref="F50:BQ50" si="125">IFERROR((F48/F49)*1000,"")</f>
        <v/>
      </c>
      <c r="G50" s="531" t="str">
        <f t="shared" si="125"/>
        <v/>
      </c>
      <c r="H50" s="531" t="str">
        <f t="shared" si="125"/>
        <v/>
      </c>
      <c r="I50" s="531" t="str">
        <f t="shared" si="125"/>
        <v/>
      </c>
      <c r="J50" s="531" t="str">
        <f t="shared" si="125"/>
        <v/>
      </c>
      <c r="K50" s="531" t="str">
        <f t="shared" si="125"/>
        <v/>
      </c>
      <c r="L50" s="531" t="str">
        <f t="shared" si="125"/>
        <v/>
      </c>
      <c r="M50" s="531" t="str">
        <f t="shared" si="125"/>
        <v/>
      </c>
      <c r="N50" s="531" t="str">
        <f t="shared" si="125"/>
        <v/>
      </c>
      <c r="O50" s="531" t="str">
        <f t="shared" si="125"/>
        <v/>
      </c>
      <c r="P50" s="531" t="str">
        <f t="shared" si="125"/>
        <v/>
      </c>
      <c r="Q50" s="531" t="str">
        <f t="shared" si="125"/>
        <v/>
      </c>
      <c r="R50" s="531" t="str">
        <f t="shared" si="125"/>
        <v/>
      </c>
      <c r="S50" s="531" t="str">
        <f t="shared" si="125"/>
        <v/>
      </c>
      <c r="T50" s="531" t="str">
        <f t="shared" si="125"/>
        <v/>
      </c>
      <c r="U50" s="531" t="str">
        <f t="shared" si="125"/>
        <v/>
      </c>
      <c r="V50" s="531" t="str">
        <f t="shared" si="125"/>
        <v/>
      </c>
      <c r="W50" s="531" t="str">
        <f t="shared" si="125"/>
        <v/>
      </c>
      <c r="X50" s="531" t="str">
        <f t="shared" si="125"/>
        <v/>
      </c>
      <c r="Y50" s="531" t="str">
        <f t="shared" si="125"/>
        <v/>
      </c>
      <c r="Z50" s="531" t="str">
        <f t="shared" si="125"/>
        <v/>
      </c>
      <c r="AA50" s="531" t="str">
        <f t="shared" si="125"/>
        <v/>
      </c>
      <c r="AB50" s="531" t="str">
        <f t="shared" si="125"/>
        <v/>
      </c>
      <c r="AC50" s="531" t="str">
        <f t="shared" si="125"/>
        <v/>
      </c>
      <c r="AD50" s="531" t="str">
        <f t="shared" si="125"/>
        <v/>
      </c>
      <c r="AE50" s="531" t="str">
        <f t="shared" si="125"/>
        <v/>
      </c>
      <c r="AF50" s="531" t="str">
        <f t="shared" si="125"/>
        <v/>
      </c>
      <c r="AG50" s="531" t="str">
        <f t="shared" si="125"/>
        <v/>
      </c>
      <c r="AH50" s="531" t="str">
        <f t="shared" si="125"/>
        <v/>
      </c>
      <c r="AI50" s="531" t="str">
        <f t="shared" si="125"/>
        <v/>
      </c>
      <c r="AJ50" s="531" t="str">
        <f t="shared" si="125"/>
        <v/>
      </c>
      <c r="AK50" s="531" t="str">
        <f t="shared" si="125"/>
        <v/>
      </c>
      <c r="AL50" s="531" t="str">
        <f t="shared" si="125"/>
        <v/>
      </c>
      <c r="AM50" s="531" t="str">
        <f t="shared" si="125"/>
        <v/>
      </c>
      <c r="AN50" s="531" t="str">
        <f t="shared" si="125"/>
        <v/>
      </c>
      <c r="AO50" s="531" t="str">
        <f t="shared" si="125"/>
        <v/>
      </c>
      <c r="AP50" s="531" t="str">
        <f t="shared" si="125"/>
        <v/>
      </c>
      <c r="AQ50" s="531" t="str">
        <f t="shared" si="125"/>
        <v/>
      </c>
      <c r="AR50" s="531" t="str">
        <f t="shared" si="125"/>
        <v/>
      </c>
      <c r="AS50" s="531" t="str">
        <f t="shared" si="125"/>
        <v/>
      </c>
      <c r="AT50" s="531" t="str">
        <f t="shared" si="125"/>
        <v/>
      </c>
      <c r="AU50" s="531" t="str">
        <f t="shared" si="125"/>
        <v/>
      </c>
      <c r="AV50" s="531" t="str">
        <f t="shared" si="125"/>
        <v/>
      </c>
      <c r="AW50" s="531" t="str">
        <f t="shared" si="125"/>
        <v/>
      </c>
      <c r="AX50" s="531" t="str">
        <f t="shared" si="125"/>
        <v/>
      </c>
      <c r="AY50" s="531" t="str">
        <f t="shared" si="125"/>
        <v/>
      </c>
      <c r="AZ50" s="531" t="str">
        <f t="shared" si="125"/>
        <v/>
      </c>
      <c r="BA50" s="531" t="str">
        <f t="shared" si="125"/>
        <v/>
      </c>
      <c r="BB50" s="531" t="str">
        <f t="shared" si="125"/>
        <v/>
      </c>
      <c r="BC50" s="531" t="str">
        <f t="shared" si="125"/>
        <v/>
      </c>
      <c r="BD50" s="531" t="str">
        <f t="shared" si="125"/>
        <v/>
      </c>
      <c r="BE50" s="531" t="str">
        <f t="shared" si="125"/>
        <v/>
      </c>
      <c r="BF50" s="531" t="str">
        <f t="shared" si="125"/>
        <v/>
      </c>
      <c r="BG50" s="531" t="str">
        <f t="shared" si="125"/>
        <v/>
      </c>
      <c r="BH50" s="531" t="str">
        <f t="shared" si="125"/>
        <v/>
      </c>
      <c r="BI50" s="531" t="str">
        <f t="shared" si="125"/>
        <v/>
      </c>
      <c r="BJ50" s="531" t="str">
        <f t="shared" si="125"/>
        <v/>
      </c>
      <c r="BK50" s="531" t="str">
        <f t="shared" si="125"/>
        <v/>
      </c>
      <c r="BL50" s="531" t="str">
        <f t="shared" si="125"/>
        <v/>
      </c>
      <c r="BM50" s="531" t="str">
        <f t="shared" si="125"/>
        <v/>
      </c>
      <c r="BN50" s="531" t="str">
        <f t="shared" si="125"/>
        <v/>
      </c>
      <c r="BO50" s="531" t="str">
        <f t="shared" si="125"/>
        <v/>
      </c>
      <c r="BP50" s="531" t="str">
        <f t="shared" si="125"/>
        <v/>
      </c>
      <c r="BQ50" s="531" t="str">
        <f t="shared" si="125"/>
        <v/>
      </c>
      <c r="BR50" s="531" t="str">
        <f t="shared" ref="BR50:CL50" si="126">IFERROR((BR48/BR49)*1000,"")</f>
        <v/>
      </c>
      <c r="BS50" s="531" t="str">
        <f t="shared" si="126"/>
        <v/>
      </c>
      <c r="BT50" s="531" t="str">
        <f t="shared" si="126"/>
        <v/>
      </c>
      <c r="BU50" s="531" t="str">
        <f t="shared" si="126"/>
        <v/>
      </c>
      <c r="BV50" s="531" t="str">
        <f t="shared" si="126"/>
        <v/>
      </c>
      <c r="BW50" s="531" t="str">
        <f t="shared" si="126"/>
        <v/>
      </c>
      <c r="BX50" s="531" t="str">
        <f t="shared" si="126"/>
        <v/>
      </c>
      <c r="BY50" s="531" t="str">
        <f t="shared" si="126"/>
        <v/>
      </c>
      <c r="BZ50" s="531" t="str">
        <f t="shared" si="126"/>
        <v/>
      </c>
      <c r="CA50" s="531" t="str">
        <f t="shared" si="126"/>
        <v/>
      </c>
      <c r="CB50" s="531" t="str">
        <f t="shared" si="126"/>
        <v/>
      </c>
      <c r="CC50" s="531" t="str">
        <f t="shared" si="126"/>
        <v/>
      </c>
      <c r="CD50" s="531" t="str">
        <f t="shared" si="126"/>
        <v/>
      </c>
      <c r="CE50" s="531" t="str">
        <f t="shared" si="126"/>
        <v/>
      </c>
      <c r="CF50" s="531" t="str">
        <f t="shared" si="126"/>
        <v/>
      </c>
      <c r="CG50" s="531" t="str">
        <f t="shared" si="126"/>
        <v/>
      </c>
      <c r="CH50" s="531" t="str">
        <f t="shared" si="126"/>
        <v/>
      </c>
      <c r="CI50" s="531" t="str">
        <f t="shared" si="126"/>
        <v/>
      </c>
      <c r="CJ50" s="531" t="str">
        <f t="shared" si="126"/>
        <v/>
      </c>
      <c r="CK50" s="531" t="str">
        <f t="shared" si="126"/>
        <v/>
      </c>
      <c r="CL50" s="531" t="str">
        <f t="shared" si="126"/>
        <v/>
      </c>
      <c r="CN50" s="613" t="str">
        <f t="shared" si="119"/>
        <v/>
      </c>
      <c r="CO50" s="613" t="str">
        <f t="shared" si="120"/>
        <v/>
      </c>
      <c r="CP50" s="613" t="str">
        <f t="shared" si="121"/>
        <v/>
      </c>
    </row>
    <row r="51" spans="1:94" outlineLevel="1">
      <c r="A51" s="622"/>
      <c r="B51" s="622" t="s">
        <v>124</v>
      </c>
      <c r="C51" s="543" t="s">
        <v>269</v>
      </c>
      <c r="D51" s="543" t="s">
        <v>282</v>
      </c>
      <c r="E51" s="544" t="str">
        <f t="shared" ref="E51:AJ51" ca="1" si="127">IFERROR(IF((INDEX($E42:$CL49,8,MATCH(base,$E42:$CL42,0))/INDEX($E42:$CL49,3,MATCH(sector_base,$E42:$CL42,0))/(E49/E44))&gt;=1,1,(INDEX($E42:$CL49,8,MATCH(base,$E42:$CL42,0))/INDEX($E42:$CL49,3,MATCH(base,$E42:$CL42,0))/(E49/E44))),"")</f>
        <v/>
      </c>
      <c r="F51" s="545" t="str">
        <f t="shared" ca="1" si="127"/>
        <v/>
      </c>
      <c r="G51" s="545" t="str">
        <f t="shared" ca="1" si="127"/>
        <v/>
      </c>
      <c r="H51" s="545" t="str">
        <f t="shared" ca="1" si="127"/>
        <v/>
      </c>
      <c r="I51" s="545" t="str">
        <f t="shared" ca="1" si="127"/>
        <v/>
      </c>
      <c r="J51" s="545" t="str">
        <f t="shared" ca="1" si="127"/>
        <v/>
      </c>
      <c r="K51" s="545" t="str">
        <f t="shared" ca="1" si="127"/>
        <v/>
      </c>
      <c r="L51" s="545" t="str">
        <f t="shared" ca="1" si="127"/>
        <v/>
      </c>
      <c r="M51" s="545" t="str">
        <f t="shared" ca="1" si="127"/>
        <v/>
      </c>
      <c r="N51" s="545" t="str">
        <f t="shared" ca="1" si="127"/>
        <v/>
      </c>
      <c r="O51" s="545" t="str">
        <f t="shared" ca="1" si="127"/>
        <v/>
      </c>
      <c r="P51" s="545" t="str">
        <f t="shared" ca="1" si="127"/>
        <v/>
      </c>
      <c r="Q51" s="545" t="str">
        <f t="shared" ca="1" si="127"/>
        <v/>
      </c>
      <c r="R51" s="545" t="str">
        <f t="shared" ca="1" si="127"/>
        <v/>
      </c>
      <c r="S51" s="545" t="str">
        <f t="shared" ca="1" si="127"/>
        <v/>
      </c>
      <c r="T51" s="545" t="str">
        <f t="shared" ca="1" si="127"/>
        <v/>
      </c>
      <c r="U51" s="545" t="str">
        <f t="shared" ca="1" si="127"/>
        <v/>
      </c>
      <c r="V51" s="545" t="str">
        <f t="shared" ca="1" si="127"/>
        <v/>
      </c>
      <c r="W51" s="545" t="str">
        <f t="shared" ca="1" si="127"/>
        <v/>
      </c>
      <c r="X51" s="545" t="str">
        <f t="shared" ca="1" si="127"/>
        <v/>
      </c>
      <c r="Y51" s="545" t="str">
        <f t="shared" ca="1" si="127"/>
        <v/>
      </c>
      <c r="Z51" s="545" t="str">
        <f t="shared" ca="1" si="127"/>
        <v/>
      </c>
      <c r="AA51" s="545" t="str">
        <f t="shared" ca="1" si="127"/>
        <v/>
      </c>
      <c r="AB51" s="545" t="str">
        <f t="shared" ca="1" si="127"/>
        <v/>
      </c>
      <c r="AC51" s="545" t="str">
        <f t="shared" ca="1" si="127"/>
        <v/>
      </c>
      <c r="AD51" s="545" t="str">
        <f t="shared" ca="1" si="127"/>
        <v/>
      </c>
      <c r="AE51" s="545" t="str">
        <f t="shared" ca="1" si="127"/>
        <v/>
      </c>
      <c r="AF51" s="545" t="str">
        <f t="shared" ca="1" si="127"/>
        <v/>
      </c>
      <c r="AG51" s="545" t="str">
        <f t="shared" ca="1" si="127"/>
        <v/>
      </c>
      <c r="AH51" s="545" t="str">
        <f t="shared" ca="1" si="127"/>
        <v/>
      </c>
      <c r="AI51" s="545" t="str">
        <f t="shared" ca="1" si="127"/>
        <v/>
      </c>
      <c r="AJ51" s="545" t="str">
        <f t="shared" ca="1" si="127"/>
        <v/>
      </c>
      <c r="AK51" s="545" t="str">
        <f t="shared" ref="AK51:BP51" ca="1" si="128">IFERROR(IF((INDEX($E42:$CL49,8,MATCH(base,$E42:$CL42,0))/INDEX($E42:$CL49,3,MATCH(sector_base,$E42:$CL42,0))/(AK49/AK44))&gt;=1,1,(INDEX($E42:$CL49,8,MATCH(base,$E42:$CL42,0))/INDEX($E42:$CL49,3,MATCH(base,$E42:$CL42,0))/(AK49/AK44))),"")</f>
        <v/>
      </c>
      <c r="AL51" s="545" t="str">
        <f t="shared" ca="1" si="128"/>
        <v/>
      </c>
      <c r="AM51" s="545" t="str">
        <f t="shared" ca="1" si="128"/>
        <v/>
      </c>
      <c r="AN51" s="545" t="str">
        <f t="shared" ca="1" si="128"/>
        <v/>
      </c>
      <c r="AO51" s="545" t="str">
        <f t="shared" ca="1" si="128"/>
        <v/>
      </c>
      <c r="AP51" s="545" t="str">
        <f t="shared" ca="1" si="128"/>
        <v/>
      </c>
      <c r="AQ51" s="545" t="str">
        <f t="shared" ca="1" si="128"/>
        <v/>
      </c>
      <c r="AR51" s="545" t="str">
        <f t="shared" ca="1" si="128"/>
        <v/>
      </c>
      <c r="AS51" s="545" t="str">
        <f t="shared" ca="1" si="128"/>
        <v/>
      </c>
      <c r="AT51" s="545" t="str">
        <f t="shared" ca="1" si="128"/>
        <v/>
      </c>
      <c r="AU51" s="545" t="str">
        <f t="shared" ca="1" si="128"/>
        <v/>
      </c>
      <c r="AV51" s="545" t="str">
        <f t="shared" ca="1" si="128"/>
        <v/>
      </c>
      <c r="AW51" s="545" t="str">
        <f t="shared" ca="1" si="128"/>
        <v/>
      </c>
      <c r="AX51" s="545" t="str">
        <f t="shared" ca="1" si="128"/>
        <v/>
      </c>
      <c r="AY51" s="545" t="str">
        <f t="shared" ca="1" si="128"/>
        <v/>
      </c>
      <c r="AZ51" s="545" t="str">
        <f t="shared" ca="1" si="128"/>
        <v/>
      </c>
      <c r="BA51" s="545" t="str">
        <f t="shared" ca="1" si="128"/>
        <v/>
      </c>
      <c r="BB51" s="545" t="str">
        <f t="shared" ca="1" si="128"/>
        <v/>
      </c>
      <c r="BC51" s="545" t="str">
        <f t="shared" ca="1" si="128"/>
        <v/>
      </c>
      <c r="BD51" s="545" t="str">
        <f t="shared" ca="1" si="128"/>
        <v/>
      </c>
      <c r="BE51" s="545" t="str">
        <f t="shared" ca="1" si="128"/>
        <v/>
      </c>
      <c r="BF51" s="545" t="str">
        <f t="shared" ca="1" si="128"/>
        <v/>
      </c>
      <c r="BG51" s="545" t="str">
        <f t="shared" ca="1" si="128"/>
        <v/>
      </c>
      <c r="BH51" s="545" t="str">
        <f t="shared" ca="1" si="128"/>
        <v/>
      </c>
      <c r="BI51" s="545" t="str">
        <f t="shared" ca="1" si="128"/>
        <v/>
      </c>
      <c r="BJ51" s="545" t="str">
        <f t="shared" ca="1" si="128"/>
        <v/>
      </c>
      <c r="BK51" s="545" t="str">
        <f t="shared" ca="1" si="128"/>
        <v/>
      </c>
      <c r="BL51" s="545" t="str">
        <f t="shared" ca="1" si="128"/>
        <v/>
      </c>
      <c r="BM51" s="545" t="str">
        <f t="shared" ca="1" si="128"/>
        <v/>
      </c>
      <c r="BN51" s="545" t="str">
        <f t="shared" ca="1" si="128"/>
        <v/>
      </c>
      <c r="BO51" s="545" t="str">
        <f t="shared" ca="1" si="128"/>
        <v/>
      </c>
      <c r="BP51" s="545" t="str">
        <f t="shared" ca="1" si="128"/>
        <v/>
      </c>
      <c r="BQ51" s="545" t="str">
        <f t="shared" ref="BQ51:CL51" ca="1" si="129">IFERROR(IF((INDEX($E42:$CL49,8,MATCH(base,$E42:$CL42,0))/INDEX($E42:$CL49,3,MATCH(sector_base,$E42:$CL42,0))/(BQ49/BQ44))&gt;=1,1,(INDEX($E42:$CL49,8,MATCH(base,$E42:$CL42,0))/INDEX($E42:$CL49,3,MATCH(base,$E42:$CL42,0))/(BQ49/BQ44))),"")</f>
        <v/>
      </c>
      <c r="BR51" s="545" t="str">
        <f t="shared" ca="1" si="129"/>
        <v/>
      </c>
      <c r="BS51" s="545" t="str">
        <f t="shared" ca="1" si="129"/>
        <v/>
      </c>
      <c r="BT51" s="545" t="str">
        <f t="shared" ca="1" si="129"/>
        <v/>
      </c>
      <c r="BU51" s="545" t="str">
        <f t="shared" ca="1" si="129"/>
        <v/>
      </c>
      <c r="BV51" s="545" t="str">
        <f t="shared" ca="1" si="129"/>
        <v/>
      </c>
      <c r="BW51" s="545" t="str">
        <f t="shared" ca="1" si="129"/>
        <v/>
      </c>
      <c r="BX51" s="545" t="str">
        <f t="shared" ca="1" si="129"/>
        <v/>
      </c>
      <c r="BY51" s="545" t="str">
        <f t="shared" ca="1" si="129"/>
        <v/>
      </c>
      <c r="BZ51" s="545" t="str">
        <f t="shared" ca="1" si="129"/>
        <v/>
      </c>
      <c r="CA51" s="545" t="str">
        <f t="shared" ca="1" si="129"/>
        <v/>
      </c>
      <c r="CB51" s="545" t="str">
        <f t="shared" ca="1" si="129"/>
        <v/>
      </c>
      <c r="CC51" s="545" t="str">
        <f t="shared" ca="1" si="129"/>
        <v/>
      </c>
      <c r="CD51" s="545" t="str">
        <f t="shared" ca="1" si="129"/>
        <v/>
      </c>
      <c r="CE51" s="545" t="str">
        <f t="shared" ca="1" si="129"/>
        <v/>
      </c>
      <c r="CF51" s="545" t="str">
        <f t="shared" ca="1" si="129"/>
        <v/>
      </c>
      <c r="CG51" s="545" t="str">
        <f t="shared" ca="1" si="129"/>
        <v/>
      </c>
      <c r="CH51" s="545" t="str">
        <f t="shared" ca="1" si="129"/>
        <v/>
      </c>
      <c r="CI51" s="545" t="str">
        <f t="shared" ca="1" si="129"/>
        <v/>
      </c>
      <c r="CJ51" s="545" t="str">
        <f t="shared" ca="1" si="129"/>
        <v/>
      </c>
      <c r="CK51" s="545" t="str">
        <f t="shared" ca="1" si="129"/>
        <v/>
      </c>
      <c r="CL51" s="545" t="str">
        <f t="shared" ca="1" si="129"/>
        <v/>
      </c>
      <c r="CN51" s="619" t="str">
        <f ca="1">IFERROR((Y51/H51)^(1/17)-1,"")</f>
        <v/>
      </c>
      <c r="CO51" s="619" t="str">
        <f ca="1">IFERROR((AN51/Y51)^(1/15)-1,"")</f>
        <v/>
      </c>
      <c r="CP51" s="619" t="str">
        <f ca="1">IFERROR((AN51/H51)^(1/32)-1,"")</f>
        <v/>
      </c>
    </row>
    <row r="52" spans="1:94" outlineLevel="1">
      <c r="A52" s="534"/>
      <c r="B52" s="534" t="s">
        <v>27</v>
      </c>
      <c r="C52" s="534" t="s">
        <v>270</v>
      </c>
      <c r="D52" s="534" t="s">
        <v>274</v>
      </c>
      <c r="E52" s="536" t="str">
        <f t="shared" ref="E52:BP52" ca="1" si="130">IFERROR(IF(INDEX($E42:$CL51,9,MATCH(base,$E42:$CL42,0))-E47&lt;0,"N/A",INDEX($E42:$CL51,9,MATCH(base,$E42:$CL42,0))-E47),"")</f>
        <v/>
      </c>
      <c r="F52" s="537" t="str">
        <f t="shared" ca="1" si="130"/>
        <v/>
      </c>
      <c r="G52" s="537" t="str">
        <f t="shared" ca="1" si="130"/>
        <v/>
      </c>
      <c r="H52" s="537" t="str">
        <f t="shared" ca="1" si="130"/>
        <v/>
      </c>
      <c r="I52" s="537" t="str">
        <f t="shared" ca="1" si="130"/>
        <v/>
      </c>
      <c r="J52" s="537" t="str">
        <f t="shared" ca="1" si="130"/>
        <v/>
      </c>
      <c r="K52" s="537" t="str">
        <f t="shared" ca="1" si="130"/>
        <v/>
      </c>
      <c r="L52" s="537" t="str">
        <f t="shared" ca="1" si="130"/>
        <v/>
      </c>
      <c r="M52" s="537" t="str">
        <f t="shared" ca="1" si="130"/>
        <v/>
      </c>
      <c r="N52" s="537" t="str">
        <f t="shared" ca="1" si="130"/>
        <v/>
      </c>
      <c r="O52" s="537" t="str">
        <f t="shared" ca="1" si="130"/>
        <v/>
      </c>
      <c r="P52" s="537" t="str">
        <f t="shared" ca="1" si="130"/>
        <v/>
      </c>
      <c r="Q52" s="537" t="str">
        <f t="shared" ca="1" si="130"/>
        <v/>
      </c>
      <c r="R52" s="537" t="str">
        <f t="shared" ca="1" si="130"/>
        <v/>
      </c>
      <c r="S52" s="537" t="str">
        <f t="shared" ca="1" si="130"/>
        <v/>
      </c>
      <c r="T52" s="537" t="str">
        <f t="shared" ca="1" si="130"/>
        <v/>
      </c>
      <c r="U52" s="537" t="str">
        <f t="shared" ca="1" si="130"/>
        <v/>
      </c>
      <c r="V52" s="537" t="str">
        <f t="shared" ca="1" si="130"/>
        <v/>
      </c>
      <c r="W52" s="537" t="str">
        <f t="shared" ca="1" si="130"/>
        <v/>
      </c>
      <c r="X52" s="537" t="str">
        <f t="shared" ca="1" si="130"/>
        <v/>
      </c>
      <c r="Y52" s="537" t="str">
        <f t="shared" ca="1" si="130"/>
        <v/>
      </c>
      <c r="Z52" s="537" t="str">
        <f t="shared" ca="1" si="130"/>
        <v/>
      </c>
      <c r="AA52" s="537" t="str">
        <f t="shared" ca="1" si="130"/>
        <v/>
      </c>
      <c r="AB52" s="537" t="str">
        <f t="shared" ca="1" si="130"/>
        <v/>
      </c>
      <c r="AC52" s="537" t="str">
        <f t="shared" ca="1" si="130"/>
        <v/>
      </c>
      <c r="AD52" s="537" t="str">
        <f t="shared" ca="1" si="130"/>
        <v/>
      </c>
      <c r="AE52" s="537" t="str">
        <f t="shared" ca="1" si="130"/>
        <v/>
      </c>
      <c r="AF52" s="537" t="str">
        <f t="shared" ca="1" si="130"/>
        <v/>
      </c>
      <c r="AG52" s="537" t="str">
        <f t="shared" ca="1" si="130"/>
        <v/>
      </c>
      <c r="AH52" s="537" t="str">
        <f t="shared" ca="1" si="130"/>
        <v/>
      </c>
      <c r="AI52" s="537" t="str">
        <f t="shared" ca="1" si="130"/>
        <v/>
      </c>
      <c r="AJ52" s="537" t="str">
        <f t="shared" ca="1" si="130"/>
        <v/>
      </c>
      <c r="AK52" s="537" t="str">
        <f t="shared" ca="1" si="130"/>
        <v/>
      </c>
      <c r="AL52" s="537" t="str">
        <f t="shared" ca="1" si="130"/>
        <v/>
      </c>
      <c r="AM52" s="537" t="str">
        <f t="shared" ca="1" si="130"/>
        <v/>
      </c>
      <c r="AN52" s="537" t="str">
        <f t="shared" ca="1" si="130"/>
        <v/>
      </c>
      <c r="AO52" s="537" t="str">
        <f t="shared" ca="1" si="130"/>
        <v/>
      </c>
      <c r="AP52" s="537" t="str">
        <f t="shared" ca="1" si="130"/>
        <v/>
      </c>
      <c r="AQ52" s="537" t="str">
        <f t="shared" ca="1" si="130"/>
        <v/>
      </c>
      <c r="AR52" s="537" t="str">
        <f t="shared" ca="1" si="130"/>
        <v/>
      </c>
      <c r="AS52" s="537" t="str">
        <f t="shared" ca="1" si="130"/>
        <v/>
      </c>
      <c r="AT52" s="537" t="str">
        <f t="shared" ca="1" si="130"/>
        <v/>
      </c>
      <c r="AU52" s="537" t="str">
        <f t="shared" ca="1" si="130"/>
        <v/>
      </c>
      <c r="AV52" s="537" t="str">
        <f t="shared" ca="1" si="130"/>
        <v/>
      </c>
      <c r="AW52" s="537" t="str">
        <f t="shared" ca="1" si="130"/>
        <v/>
      </c>
      <c r="AX52" s="537" t="str">
        <f t="shared" ca="1" si="130"/>
        <v/>
      </c>
      <c r="AY52" s="537" t="str">
        <f t="shared" ca="1" si="130"/>
        <v/>
      </c>
      <c r="AZ52" s="537" t="str">
        <f t="shared" ca="1" si="130"/>
        <v/>
      </c>
      <c r="BA52" s="537" t="str">
        <f t="shared" ca="1" si="130"/>
        <v/>
      </c>
      <c r="BB52" s="537" t="str">
        <f t="shared" ca="1" si="130"/>
        <v/>
      </c>
      <c r="BC52" s="537" t="str">
        <f t="shared" ca="1" si="130"/>
        <v/>
      </c>
      <c r="BD52" s="537" t="str">
        <f t="shared" ca="1" si="130"/>
        <v/>
      </c>
      <c r="BE52" s="537" t="str">
        <f t="shared" ca="1" si="130"/>
        <v/>
      </c>
      <c r="BF52" s="537" t="str">
        <f t="shared" ca="1" si="130"/>
        <v/>
      </c>
      <c r="BG52" s="537" t="str">
        <f t="shared" ca="1" si="130"/>
        <v/>
      </c>
      <c r="BH52" s="537" t="str">
        <f t="shared" ca="1" si="130"/>
        <v/>
      </c>
      <c r="BI52" s="537" t="str">
        <f t="shared" ca="1" si="130"/>
        <v/>
      </c>
      <c r="BJ52" s="537" t="str">
        <f t="shared" ca="1" si="130"/>
        <v/>
      </c>
      <c r="BK52" s="537" t="str">
        <f t="shared" ca="1" si="130"/>
        <v/>
      </c>
      <c r="BL52" s="537" t="str">
        <f t="shared" ca="1" si="130"/>
        <v/>
      </c>
      <c r="BM52" s="537" t="str">
        <f t="shared" ca="1" si="130"/>
        <v/>
      </c>
      <c r="BN52" s="537" t="str">
        <f t="shared" ca="1" si="130"/>
        <v/>
      </c>
      <c r="BO52" s="537" t="str">
        <f t="shared" ca="1" si="130"/>
        <v/>
      </c>
      <c r="BP52" s="537" t="str">
        <f t="shared" ca="1" si="130"/>
        <v/>
      </c>
      <c r="BQ52" s="537" t="str">
        <f t="shared" ref="BQ52:CL52" ca="1" si="131">IFERROR(IF(INDEX($E42:$CL51,9,MATCH(base,$E42:$CL42,0))-BQ47&lt;0,"N/A",INDEX($E42:$CL51,9,MATCH(base,$E42:$CL42,0))-BQ47),"")</f>
        <v/>
      </c>
      <c r="BR52" s="537" t="str">
        <f t="shared" ca="1" si="131"/>
        <v/>
      </c>
      <c r="BS52" s="537" t="str">
        <f t="shared" ca="1" si="131"/>
        <v/>
      </c>
      <c r="BT52" s="537" t="str">
        <f t="shared" ca="1" si="131"/>
        <v/>
      </c>
      <c r="BU52" s="537" t="str">
        <f t="shared" ca="1" si="131"/>
        <v/>
      </c>
      <c r="BV52" s="537" t="str">
        <f t="shared" ca="1" si="131"/>
        <v/>
      </c>
      <c r="BW52" s="537" t="str">
        <f t="shared" ca="1" si="131"/>
        <v/>
      </c>
      <c r="BX52" s="537" t="str">
        <f t="shared" ca="1" si="131"/>
        <v/>
      </c>
      <c r="BY52" s="537" t="str">
        <f t="shared" ca="1" si="131"/>
        <v/>
      </c>
      <c r="BZ52" s="537" t="str">
        <f t="shared" ca="1" si="131"/>
        <v/>
      </c>
      <c r="CA52" s="537" t="str">
        <f t="shared" ca="1" si="131"/>
        <v/>
      </c>
      <c r="CB52" s="537" t="str">
        <f t="shared" ca="1" si="131"/>
        <v/>
      </c>
      <c r="CC52" s="537" t="str">
        <f t="shared" ca="1" si="131"/>
        <v/>
      </c>
      <c r="CD52" s="537" t="str">
        <f t="shared" ca="1" si="131"/>
        <v/>
      </c>
      <c r="CE52" s="537" t="str">
        <f t="shared" ca="1" si="131"/>
        <v/>
      </c>
      <c r="CF52" s="537" t="str">
        <f t="shared" ca="1" si="131"/>
        <v/>
      </c>
      <c r="CG52" s="537" t="str">
        <f t="shared" ca="1" si="131"/>
        <v/>
      </c>
      <c r="CH52" s="537" t="str">
        <f t="shared" ca="1" si="131"/>
        <v/>
      </c>
      <c r="CI52" s="537" t="str">
        <f t="shared" ca="1" si="131"/>
        <v/>
      </c>
      <c r="CJ52" s="537" t="str">
        <f t="shared" ca="1" si="131"/>
        <v/>
      </c>
      <c r="CK52" s="537" t="str">
        <f t="shared" ca="1" si="131"/>
        <v/>
      </c>
      <c r="CL52" s="537" t="str">
        <f t="shared" ca="1" si="131"/>
        <v/>
      </c>
      <c r="CN52" s="618" t="str">
        <f ca="1">IFERROR((Y52/H52)^(1/17)-1,"")</f>
        <v/>
      </c>
      <c r="CO52" s="618" t="str">
        <f ca="1">IFERROR((AN52/Y52)^(1/15)-1,"")</f>
        <v/>
      </c>
      <c r="CP52" s="618" t="str">
        <f ca="1">IFERROR((AN52/H52)^(1/32)-1,"")</f>
        <v/>
      </c>
    </row>
    <row r="53" spans="1:94" outlineLevel="1">
      <c r="A53" s="538" t="s">
        <v>255</v>
      </c>
      <c r="B53" s="538" t="s">
        <v>256</v>
      </c>
      <c r="C53" s="538" t="s">
        <v>271</v>
      </c>
      <c r="D53" s="538" t="s">
        <v>283</v>
      </c>
      <c r="E53" s="540" t="e">
        <f t="shared" ref="E53:N53" si="132">IF(E8&lt;sector_base,NA(),IF($B$6="ON", IF(E8&gt;=covid_start, IF(E8&lt;covid_recovery,NA(),IFERROR(E47+(E46*E52*E51),0)),IFERROR(E47+(E46*E52*E51),0)),IFERROR(E47+(E46*E52*E51),0)))</f>
        <v>#N/A</v>
      </c>
      <c r="F53" s="540" t="e">
        <f t="shared" si="132"/>
        <v>#N/A</v>
      </c>
      <c r="G53" s="540" t="e">
        <f t="shared" si="132"/>
        <v>#N/A</v>
      </c>
      <c r="H53" s="540" t="e">
        <f>IF(H8&lt;sector_base,NA(),IF($B$6="ON", IF(H8&gt;=covid_start, IF(H8&lt;covid_recovery,NA(),IFERROR(H47+(H46*H52*H51),0)),IFERROR(H47+(H46*H52*H51),0)),IFERROR(H47+(H46*H52*H51),0)))</f>
        <v>#N/A</v>
      </c>
      <c r="I53" s="540">
        <f ca="1">IF(I8&lt;sector_base,NA(),IF($B$6="ON", IF(I8&gt;=covid_start, IF(I8&lt;covid_recovery,NA(),IFERROR(I47+(I46*I52*I51),0)),IFERROR(I47+(I46*I52*I51),0)),IFERROR(I47+(I46*I52*I51),0)))</f>
        <v>0</v>
      </c>
      <c r="J53" s="540" t="e">
        <f t="shared" si="132"/>
        <v>#N/A</v>
      </c>
      <c r="K53" s="540" t="e">
        <f t="shared" si="132"/>
        <v>#N/A</v>
      </c>
      <c r="L53" s="540" t="e">
        <f t="shared" si="132"/>
        <v>#N/A</v>
      </c>
      <c r="M53" s="540">
        <f t="shared" ca="1" si="132"/>
        <v>0</v>
      </c>
      <c r="N53" s="540">
        <f t="shared" ca="1" si="132"/>
        <v>0</v>
      </c>
      <c r="O53" s="540">
        <f t="shared" ref="O53:AT53" ca="1" si="133">IF(O8&lt;sector_base,NA(),IF($B$6="ON", IF(O8&gt;=covid_start, IF(O8&lt;covid_recovery,NA(),IFERROR(O47+(O46*O52*O51),0)),IFERROR(O47+(O46*O52*O51),0)),IFERROR(O47+(O46*O52*O51),0)))</f>
        <v>0</v>
      </c>
      <c r="P53" s="540">
        <f t="shared" ca="1" si="133"/>
        <v>0</v>
      </c>
      <c r="Q53" s="540">
        <f t="shared" ca="1" si="133"/>
        <v>0</v>
      </c>
      <c r="R53" s="540">
        <f t="shared" ca="1" si="133"/>
        <v>0</v>
      </c>
      <c r="S53" s="540">
        <f t="shared" ca="1" si="133"/>
        <v>0</v>
      </c>
      <c r="T53" s="540">
        <f t="shared" ca="1" si="133"/>
        <v>0</v>
      </c>
      <c r="U53" s="540">
        <f t="shared" ca="1" si="133"/>
        <v>0</v>
      </c>
      <c r="V53" s="540">
        <f t="shared" ca="1" si="133"/>
        <v>0</v>
      </c>
      <c r="W53" s="540">
        <f t="shared" ca="1" si="133"/>
        <v>0</v>
      </c>
      <c r="X53" s="540">
        <f t="shared" ca="1" si="133"/>
        <v>0</v>
      </c>
      <c r="Y53" s="540">
        <f t="shared" ca="1" si="133"/>
        <v>0</v>
      </c>
      <c r="Z53" s="540">
        <f t="shared" ca="1" si="133"/>
        <v>0</v>
      </c>
      <c r="AA53" s="540">
        <f t="shared" ca="1" si="133"/>
        <v>0</v>
      </c>
      <c r="AB53" s="540">
        <f t="shared" ca="1" si="133"/>
        <v>0</v>
      </c>
      <c r="AC53" s="540">
        <f t="shared" ca="1" si="133"/>
        <v>0</v>
      </c>
      <c r="AD53" s="540">
        <f t="shared" ca="1" si="133"/>
        <v>0</v>
      </c>
      <c r="AE53" s="540">
        <f t="shared" ca="1" si="133"/>
        <v>0</v>
      </c>
      <c r="AF53" s="540">
        <f t="shared" ca="1" si="133"/>
        <v>0</v>
      </c>
      <c r="AG53" s="540">
        <f t="shared" ca="1" si="133"/>
        <v>0</v>
      </c>
      <c r="AH53" s="540">
        <f t="shared" ca="1" si="133"/>
        <v>0</v>
      </c>
      <c r="AI53" s="540">
        <f t="shared" ca="1" si="133"/>
        <v>0</v>
      </c>
      <c r="AJ53" s="540">
        <f t="shared" ca="1" si="133"/>
        <v>0</v>
      </c>
      <c r="AK53" s="540">
        <f t="shared" ca="1" si="133"/>
        <v>0</v>
      </c>
      <c r="AL53" s="540">
        <f t="shared" ca="1" si="133"/>
        <v>0</v>
      </c>
      <c r="AM53" s="540">
        <f t="shared" ca="1" si="133"/>
        <v>0</v>
      </c>
      <c r="AN53" s="540">
        <f t="shared" ca="1" si="133"/>
        <v>0</v>
      </c>
      <c r="AO53" s="540">
        <f t="shared" ca="1" si="133"/>
        <v>0</v>
      </c>
      <c r="AP53" s="540">
        <f t="shared" ca="1" si="133"/>
        <v>0</v>
      </c>
      <c r="AQ53" s="540">
        <f t="shared" ca="1" si="133"/>
        <v>0</v>
      </c>
      <c r="AR53" s="540">
        <f t="shared" ca="1" si="133"/>
        <v>0</v>
      </c>
      <c r="AS53" s="540">
        <f t="shared" ca="1" si="133"/>
        <v>0</v>
      </c>
      <c r="AT53" s="540">
        <f t="shared" ca="1" si="133"/>
        <v>0</v>
      </c>
      <c r="AU53" s="540">
        <f t="shared" ref="AU53:BZ53" ca="1" si="134">IF(AU8&lt;sector_base,NA(),IF($B$6="ON", IF(AU8&gt;=covid_start, IF(AU8&lt;covid_recovery,NA(),IFERROR(AU47+(AU46*AU52*AU51),0)),IFERROR(AU47+(AU46*AU52*AU51),0)),IFERROR(AU47+(AU46*AU52*AU51),0)))</f>
        <v>0</v>
      </c>
      <c r="AV53" s="540">
        <f t="shared" ca="1" si="134"/>
        <v>0</v>
      </c>
      <c r="AW53" s="540">
        <f t="shared" ca="1" si="134"/>
        <v>0</v>
      </c>
      <c r="AX53" s="540">
        <f t="shared" ca="1" si="134"/>
        <v>0</v>
      </c>
      <c r="AY53" s="540">
        <f t="shared" ca="1" si="134"/>
        <v>0</v>
      </c>
      <c r="AZ53" s="540">
        <f t="shared" ca="1" si="134"/>
        <v>0</v>
      </c>
      <c r="BA53" s="540">
        <f t="shared" ca="1" si="134"/>
        <v>0</v>
      </c>
      <c r="BB53" s="540">
        <f t="shared" ca="1" si="134"/>
        <v>0</v>
      </c>
      <c r="BC53" s="540">
        <f t="shared" ca="1" si="134"/>
        <v>0</v>
      </c>
      <c r="BD53" s="540">
        <f t="shared" ca="1" si="134"/>
        <v>0</v>
      </c>
      <c r="BE53" s="540">
        <f t="shared" ca="1" si="134"/>
        <v>0</v>
      </c>
      <c r="BF53" s="540">
        <f t="shared" ca="1" si="134"/>
        <v>0</v>
      </c>
      <c r="BG53" s="540">
        <f t="shared" ca="1" si="134"/>
        <v>0</v>
      </c>
      <c r="BH53" s="540">
        <f t="shared" ca="1" si="134"/>
        <v>0</v>
      </c>
      <c r="BI53" s="540">
        <f t="shared" ca="1" si="134"/>
        <v>0</v>
      </c>
      <c r="BJ53" s="540">
        <f t="shared" ca="1" si="134"/>
        <v>0</v>
      </c>
      <c r="BK53" s="540">
        <f t="shared" ca="1" si="134"/>
        <v>0</v>
      </c>
      <c r="BL53" s="540">
        <f t="shared" ca="1" si="134"/>
        <v>0</v>
      </c>
      <c r="BM53" s="540">
        <f t="shared" ca="1" si="134"/>
        <v>0</v>
      </c>
      <c r="BN53" s="540">
        <f t="shared" ca="1" si="134"/>
        <v>0</v>
      </c>
      <c r="BO53" s="540">
        <f t="shared" ca="1" si="134"/>
        <v>0</v>
      </c>
      <c r="BP53" s="540">
        <f t="shared" ca="1" si="134"/>
        <v>0</v>
      </c>
      <c r="BQ53" s="540">
        <f t="shared" ca="1" si="134"/>
        <v>0</v>
      </c>
      <c r="BR53" s="540">
        <f t="shared" ca="1" si="134"/>
        <v>0</v>
      </c>
      <c r="BS53" s="540">
        <f t="shared" ca="1" si="134"/>
        <v>0</v>
      </c>
      <c r="BT53" s="540">
        <f t="shared" ca="1" si="134"/>
        <v>0</v>
      </c>
      <c r="BU53" s="540">
        <f t="shared" ca="1" si="134"/>
        <v>0</v>
      </c>
      <c r="BV53" s="540">
        <f t="shared" ca="1" si="134"/>
        <v>0</v>
      </c>
      <c r="BW53" s="540">
        <f t="shared" ca="1" si="134"/>
        <v>0</v>
      </c>
      <c r="BX53" s="540">
        <f t="shared" ca="1" si="134"/>
        <v>0</v>
      </c>
      <c r="BY53" s="540">
        <f t="shared" ca="1" si="134"/>
        <v>0</v>
      </c>
      <c r="BZ53" s="540">
        <f t="shared" ca="1" si="134"/>
        <v>0</v>
      </c>
      <c r="CA53" s="540">
        <f t="shared" ref="CA53:CL53" ca="1" si="135">IF(CA8&lt;sector_base,NA(),IF($B$6="ON", IF(CA8&gt;=covid_start, IF(CA8&lt;covid_recovery,NA(),IFERROR(CA47+(CA46*CA52*CA51),0)),IFERROR(CA47+(CA46*CA52*CA51),0)),IFERROR(CA47+(CA46*CA52*CA51),0)))</f>
        <v>0</v>
      </c>
      <c r="CB53" s="540">
        <f t="shared" ca="1" si="135"/>
        <v>0</v>
      </c>
      <c r="CC53" s="540">
        <f t="shared" ca="1" si="135"/>
        <v>0</v>
      </c>
      <c r="CD53" s="540">
        <f t="shared" ca="1" si="135"/>
        <v>0</v>
      </c>
      <c r="CE53" s="540">
        <f t="shared" ca="1" si="135"/>
        <v>0</v>
      </c>
      <c r="CF53" s="540">
        <f t="shared" ca="1" si="135"/>
        <v>0</v>
      </c>
      <c r="CG53" s="540">
        <f t="shared" ca="1" si="135"/>
        <v>0</v>
      </c>
      <c r="CH53" s="540">
        <f t="shared" ca="1" si="135"/>
        <v>0</v>
      </c>
      <c r="CI53" s="540">
        <f t="shared" ca="1" si="135"/>
        <v>0</v>
      </c>
      <c r="CJ53" s="540">
        <f t="shared" ca="1" si="135"/>
        <v>0</v>
      </c>
      <c r="CK53" s="540">
        <f t="shared" ca="1" si="135"/>
        <v>0</v>
      </c>
      <c r="CL53" s="540">
        <f t="shared" ca="1" si="135"/>
        <v>0</v>
      </c>
      <c r="CN53" s="619" t="str">
        <f ca="1">IFERROR((Y53/H53)^(1/17)-1,"")</f>
        <v/>
      </c>
      <c r="CO53" s="619" t="str">
        <f ca="1">IFERROR((AN53/Y53)^(1/15)-1,"")</f>
        <v/>
      </c>
      <c r="CP53" s="619" t="str">
        <f ca="1">IFERROR((AN53/H53)^(1/32)-1,"")</f>
        <v/>
      </c>
    </row>
    <row r="54" spans="1:94" outlineLevel="1">
      <c r="A54" s="535" t="s">
        <v>255</v>
      </c>
      <c r="B54" s="535" t="s">
        <v>129</v>
      </c>
      <c r="C54" s="535" t="s">
        <v>272</v>
      </c>
      <c r="D54" s="535"/>
      <c r="E54" s="546" t="e">
        <f>IF(E42=base,E53, IF(E42=target,E53,#N/A))</f>
        <v>#N/A</v>
      </c>
      <c r="F54" s="541" t="e">
        <f t="shared" ref="F54:G54" si="136">IF(F50=base,F53, IF(F50=target,F53,#N/A))</f>
        <v>#N/A</v>
      </c>
      <c r="G54" s="541" t="e">
        <f t="shared" si="136"/>
        <v>#N/A</v>
      </c>
      <c r="H54" s="541" t="e">
        <f>IF(H42=base,H53, IF(H42=target,H53,#N/A))</f>
        <v>#N/A</v>
      </c>
      <c r="I54" s="541">
        <f t="shared" ref="I54:AN54" ca="1" si="137">IF(I42=base,I53, IF(I42=target,I53,#N/A))</f>
        <v>0</v>
      </c>
      <c r="J54" s="541" t="e">
        <f t="shared" si="137"/>
        <v>#N/A</v>
      </c>
      <c r="K54" s="541" t="e">
        <f t="shared" si="137"/>
        <v>#N/A</v>
      </c>
      <c r="L54" s="541" t="e">
        <f t="shared" si="137"/>
        <v>#N/A</v>
      </c>
      <c r="M54" s="541" t="e">
        <f t="shared" si="137"/>
        <v>#N/A</v>
      </c>
      <c r="N54" s="541" t="e">
        <f t="shared" si="137"/>
        <v>#N/A</v>
      </c>
      <c r="O54" s="541" t="e">
        <f t="shared" si="137"/>
        <v>#N/A</v>
      </c>
      <c r="P54" s="541" t="e">
        <f t="shared" si="137"/>
        <v>#N/A</v>
      </c>
      <c r="Q54" s="541" t="e">
        <f t="shared" si="137"/>
        <v>#N/A</v>
      </c>
      <c r="R54" s="541" t="e">
        <f t="shared" si="137"/>
        <v>#N/A</v>
      </c>
      <c r="S54" s="541" t="e">
        <f t="shared" si="137"/>
        <v>#N/A</v>
      </c>
      <c r="T54" s="541" t="e">
        <f t="shared" si="137"/>
        <v>#N/A</v>
      </c>
      <c r="U54" s="541" t="e">
        <f t="shared" si="137"/>
        <v>#N/A</v>
      </c>
      <c r="V54" s="541" t="e">
        <f t="shared" si="137"/>
        <v>#N/A</v>
      </c>
      <c r="W54" s="541" t="e">
        <f t="shared" si="137"/>
        <v>#N/A</v>
      </c>
      <c r="X54" s="541" t="e">
        <f t="shared" si="137"/>
        <v>#N/A</v>
      </c>
      <c r="Y54" s="541" t="e">
        <f>IF(Y42=base,Y53, IF(Y42=target,Y53,#N/A))</f>
        <v>#N/A</v>
      </c>
      <c r="Z54" s="541" t="e">
        <f t="shared" si="137"/>
        <v>#N/A</v>
      </c>
      <c r="AA54" s="541" t="e">
        <f t="shared" si="137"/>
        <v>#N/A</v>
      </c>
      <c r="AB54" s="541" t="e">
        <f t="shared" si="137"/>
        <v>#N/A</v>
      </c>
      <c r="AC54" s="541" t="e">
        <f t="shared" si="137"/>
        <v>#N/A</v>
      </c>
      <c r="AD54" s="541" t="e">
        <f t="shared" si="137"/>
        <v>#N/A</v>
      </c>
      <c r="AE54" s="541" t="e">
        <f t="shared" si="137"/>
        <v>#N/A</v>
      </c>
      <c r="AF54" s="541" t="e">
        <f t="shared" si="137"/>
        <v>#N/A</v>
      </c>
      <c r="AG54" s="541" t="e">
        <f t="shared" si="137"/>
        <v>#N/A</v>
      </c>
      <c r="AH54" s="541" t="e">
        <f t="shared" si="137"/>
        <v>#N/A</v>
      </c>
      <c r="AI54" s="541" t="e">
        <f t="shared" si="137"/>
        <v>#N/A</v>
      </c>
      <c r="AJ54" s="541" t="e">
        <f t="shared" si="137"/>
        <v>#N/A</v>
      </c>
      <c r="AK54" s="541" t="e">
        <f t="shared" si="137"/>
        <v>#N/A</v>
      </c>
      <c r="AL54" s="541" t="e">
        <f t="shared" si="137"/>
        <v>#N/A</v>
      </c>
      <c r="AM54" s="541" t="e">
        <f t="shared" si="137"/>
        <v>#N/A</v>
      </c>
      <c r="AN54" s="541" t="e">
        <f t="shared" si="137"/>
        <v>#N/A</v>
      </c>
      <c r="AO54" s="541">
        <f t="shared" ref="AO54:CL54" ca="1" si="138">IF(AO50=base,AO53, IF(AO50=target,AO53,#N/A))</f>
        <v>0</v>
      </c>
      <c r="AP54" s="541">
        <f t="shared" ca="1" si="138"/>
        <v>0</v>
      </c>
      <c r="AQ54" s="541">
        <f t="shared" ca="1" si="138"/>
        <v>0</v>
      </c>
      <c r="AR54" s="541">
        <f t="shared" ca="1" si="138"/>
        <v>0</v>
      </c>
      <c r="AS54" s="541">
        <f t="shared" ca="1" si="138"/>
        <v>0</v>
      </c>
      <c r="AT54" s="541">
        <f t="shared" ca="1" si="138"/>
        <v>0</v>
      </c>
      <c r="AU54" s="541">
        <f t="shared" ca="1" si="138"/>
        <v>0</v>
      </c>
      <c r="AV54" s="541">
        <f t="shared" ca="1" si="138"/>
        <v>0</v>
      </c>
      <c r="AW54" s="541">
        <f t="shared" ca="1" si="138"/>
        <v>0</v>
      </c>
      <c r="AX54" s="541">
        <f t="shared" ca="1" si="138"/>
        <v>0</v>
      </c>
      <c r="AY54" s="541">
        <f t="shared" ca="1" si="138"/>
        <v>0</v>
      </c>
      <c r="AZ54" s="541">
        <f t="shared" ca="1" si="138"/>
        <v>0</v>
      </c>
      <c r="BA54" s="541">
        <f t="shared" ca="1" si="138"/>
        <v>0</v>
      </c>
      <c r="BB54" s="541">
        <f t="shared" ca="1" si="138"/>
        <v>0</v>
      </c>
      <c r="BC54" s="541">
        <f t="shared" ca="1" si="138"/>
        <v>0</v>
      </c>
      <c r="BD54" s="541">
        <f t="shared" ca="1" si="138"/>
        <v>0</v>
      </c>
      <c r="BE54" s="541">
        <f t="shared" ca="1" si="138"/>
        <v>0</v>
      </c>
      <c r="BF54" s="541">
        <f t="shared" ca="1" si="138"/>
        <v>0</v>
      </c>
      <c r="BG54" s="541">
        <f t="shared" ca="1" si="138"/>
        <v>0</v>
      </c>
      <c r="BH54" s="541">
        <f t="shared" ca="1" si="138"/>
        <v>0</v>
      </c>
      <c r="BI54" s="541">
        <f t="shared" ca="1" si="138"/>
        <v>0</v>
      </c>
      <c r="BJ54" s="541">
        <f t="shared" ca="1" si="138"/>
        <v>0</v>
      </c>
      <c r="BK54" s="541">
        <f t="shared" ca="1" si="138"/>
        <v>0</v>
      </c>
      <c r="BL54" s="541">
        <f t="shared" ca="1" si="138"/>
        <v>0</v>
      </c>
      <c r="BM54" s="541">
        <f t="shared" ca="1" si="138"/>
        <v>0</v>
      </c>
      <c r="BN54" s="541">
        <f t="shared" ca="1" si="138"/>
        <v>0</v>
      </c>
      <c r="BO54" s="541">
        <f t="shared" ca="1" si="138"/>
        <v>0</v>
      </c>
      <c r="BP54" s="541">
        <f t="shared" ca="1" si="138"/>
        <v>0</v>
      </c>
      <c r="BQ54" s="541">
        <f t="shared" ca="1" si="138"/>
        <v>0</v>
      </c>
      <c r="BR54" s="541">
        <f t="shared" ca="1" si="138"/>
        <v>0</v>
      </c>
      <c r="BS54" s="541">
        <f t="shared" ca="1" si="138"/>
        <v>0</v>
      </c>
      <c r="BT54" s="541">
        <f t="shared" ca="1" si="138"/>
        <v>0</v>
      </c>
      <c r="BU54" s="541">
        <f t="shared" ca="1" si="138"/>
        <v>0</v>
      </c>
      <c r="BV54" s="541">
        <f t="shared" ca="1" si="138"/>
        <v>0</v>
      </c>
      <c r="BW54" s="541">
        <f t="shared" ca="1" si="138"/>
        <v>0</v>
      </c>
      <c r="BX54" s="541">
        <f t="shared" ca="1" si="138"/>
        <v>0</v>
      </c>
      <c r="BY54" s="541">
        <f t="shared" ca="1" si="138"/>
        <v>0</v>
      </c>
      <c r="BZ54" s="541">
        <f t="shared" ca="1" si="138"/>
        <v>0</v>
      </c>
      <c r="CA54" s="541">
        <f t="shared" ca="1" si="138"/>
        <v>0</v>
      </c>
      <c r="CB54" s="541">
        <f t="shared" ca="1" si="138"/>
        <v>0</v>
      </c>
      <c r="CC54" s="541">
        <f t="shared" ca="1" si="138"/>
        <v>0</v>
      </c>
      <c r="CD54" s="541">
        <f t="shared" ca="1" si="138"/>
        <v>0</v>
      </c>
      <c r="CE54" s="541">
        <f t="shared" ca="1" si="138"/>
        <v>0</v>
      </c>
      <c r="CF54" s="541">
        <f t="shared" ca="1" si="138"/>
        <v>0</v>
      </c>
      <c r="CG54" s="541">
        <f t="shared" ca="1" si="138"/>
        <v>0</v>
      </c>
      <c r="CH54" s="541">
        <f t="shared" ca="1" si="138"/>
        <v>0</v>
      </c>
      <c r="CI54" s="541">
        <f t="shared" ca="1" si="138"/>
        <v>0</v>
      </c>
      <c r="CJ54" s="541">
        <f t="shared" ca="1" si="138"/>
        <v>0</v>
      </c>
      <c r="CK54" s="541">
        <f t="shared" ca="1" si="138"/>
        <v>0</v>
      </c>
      <c r="CL54" s="541">
        <f t="shared" ca="1" si="138"/>
        <v>0</v>
      </c>
      <c r="CN54" s="620" t="str">
        <f>IFERROR((Y54/H54)^(1/17)-1,"")</f>
        <v/>
      </c>
      <c r="CO54" s="620" t="str">
        <f>IFERROR((AN54/Y54)^(1/15)-1,"")</f>
        <v/>
      </c>
      <c r="CP54" s="620" t="str">
        <f>IFERROR((AN54/H54)^(1/32)-1,"")</f>
        <v/>
      </c>
    </row>
    <row r="55" spans="1:94" outlineLevel="1">
      <c r="A55" s="538" t="s">
        <v>255</v>
      </c>
      <c r="B55" s="538" t="s">
        <v>257</v>
      </c>
      <c r="C55" s="538" t="s">
        <v>273</v>
      </c>
      <c r="D55" s="538" t="s">
        <v>284</v>
      </c>
      <c r="E55" s="539">
        <f>IFERROR((E53*E49)/1000,0)</f>
        <v>0</v>
      </c>
      <c r="F55" s="540">
        <f t="shared" ref="F55:BQ55" si="139">IFERROR((F53*F49)/1000,0)</f>
        <v>0</v>
      </c>
      <c r="G55" s="540">
        <f t="shared" si="139"/>
        <v>0</v>
      </c>
      <c r="H55" s="540">
        <f>IFERROR((H53*H49)/1000,0)</f>
        <v>0</v>
      </c>
      <c r="I55" s="540">
        <f ca="1">IFERROR((I53*I49)/1000,0)</f>
        <v>0</v>
      </c>
      <c r="J55" s="540">
        <f t="shared" si="139"/>
        <v>0</v>
      </c>
      <c r="K55" s="540">
        <f t="shared" si="139"/>
        <v>0</v>
      </c>
      <c r="L55" s="540">
        <f t="shared" si="139"/>
        <v>0</v>
      </c>
      <c r="M55" s="540">
        <f t="shared" ca="1" si="139"/>
        <v>0</v>
      </c>
      <c r="N55" s="540">
        <f t="shared" ca="1" si="139"/>
        <v>0</v>
      </c>
      <c r="O55" s="540">
        <f t="shared" ca="1" si="139"/>
        <v>0</v>
      </c>
      <c r="P55" s="540">
        <f t="shared" ca="1" si="139"/>
        <v>0</v>
      </c>
      <c r="Q55" s="540">
        <f t="shared" ca="1" si="139"/>
        <v>0</v>
      </c>
      <c r="R55" s="540">
        <f t="shared" ca="1" si="139"/>
        <v>0</v>
      </c>
      <c r="S55" s="549">
        <f t="shared" ca="1" si="139"/>
        <v>0</v>
      </c>
      <c r="T55" s="549">
        <f t="shared" ca="1" si="139"/>
        <v>0</v>
      </c>
      <c r="U55" s="549">
        <f t="shared" ca="1" si="139"/>
        <v>0</v>
      </c>
      <c r="V55" s="540">
        <f t="shared" ca="1" si="139"/>
        <v>0</v>
      </c>
      <c r="W55" s="540">
        <f t="shared" ca="1" si="139"/>
        <v>0</v>
      </c>
      <c r="X55" s="540">
        <f t="shared" ca="1" si="139"/>
        <v>0</v>
      </c>
      <c r="Y55" s="540">
        <f t="shared" ca="1" si="139"/>
        <v>0</v>
      </c>
      <c r="Z55" s="540">
        <f t="shared" ca="1" si="139"/>
        <v>0</v>
      </c>
      <c r="AA55" s="540">
        <f t="shared" ca="1" si="139"/>
        <v>0</v>
      </c>
      <c r="AB55" s="540">
        <f t="shared" ca="1" si="139"/>
        <v>0</v>
      </c>
      <c r="AC55" s="540">
        <f t="shared" ca="1" si="139"/>
        <v>0</v>
      </c>
      <c r="AD55" s="540">
        <f t="shared" ca="1" si="139"/>
        <v>0</v>
      </c>
      <c r="AE55" s="540">
        <f t="shared" ca="1" si="139"/>
        <v>0</v>
      </c>
      <c r="AF55" s="540">
        <f t="shared" ca="1" si="139"/>
        <v>0</v>
      </c>
      <c r="AG55" s="540">
        <f t="shared" ca="1" si="139"/>
        <v>0</v>
      </c>
      <c r="AH55" s="540">
        <f t="shared" ca="1" si="139"/>
        <v>0</v>
      </c>
      <c r="AI55" s="540">
        <f t="shared" ca="1" si="139"/>
        <v>0</v>
      </c>
      <c r="AJ55" s="540">
        <f t="shared" ca="1" si="139"/>
        <v>0</v>
      </c>
      <c r="AK55" s="540">
        <f t="shared" ca="1" si="139"/>
        <v>0</v>
      </c>
      <c r="AL55" s="540">
        <f t="shared" ca="1" si="139"/>
        <v>0</v>
      </c>
      <c r="AM55" s="540">
        <f t="shared" ca="1" si="139"/>
        <v>0</v>
      </c>
      <c r="AN55" s="540">
        <f t="shared" ca="1" si="139"/>
        <v>0</v>
      </c>
      <c r="AO55" s="540">
        <f t="shared" ca="1" si="139"/>
        <v>0</v>
      </c>
      <c r="AP55" s="540">
        <f t="shared" ca="1" si="139"/>
        <v>0</v>
      </c>
      <c r="AQ55" s="540">
        <f t="shared" ca="1" si="139"/>
        <v>0</v>
      </c>
      <c r="AR55" s="540">
        <f t="shared" ca="1" si="139"/>
        <v>0</v>
      </c>
      <c r="AS55" s="540">
        <f t="shared" ca="1" si="139"/>
        <v>0</v>
      </c>
      <c r="AT55" s="540">
        <f t="shared" ca="1" si="139"/>
        <v>0</v>
      </c>
      <c r="AU55" s="540">
        <f t="shared" ca="1" si="139"/>
        <v>0</v>
      </c>
      <c r="AV55" s="540">
        <f t="shared" ca="1" si="139"/>
        <v>0</v>
      </c>
      <c r="AW55" s="540">
        <f t="shared" ca="1" si="139"/>
        <v>0</v>
      </c>
      <c r="AX55" s="540">
        <f t="shared" ca="1" si="139"/>
        <v>0</v>
      </c>
      <c r="AY55" s="540">
        <f t="shared" ca="1" si="139"/>
        <v>0</v>
      </c>
      <c r="AZ55" s="540">
        <f t="shared" ca="1" si="139"/>
        <v>0</v>
      </c>
      <c r="BA55" s="540">
        <f t="shared" ca="1" si="139"/>
        <v>0</v>
      </c>
      <c r="BB55" s="540">
        <f t="shared" ca="1" si="139"/>
        <v>0</v>
      </c>
      <c r="BC55" s="540">
        <f t="shared" ca="1" si="139"/>
        <v>0</v>
      </c>
      <c r="BD55" s="540">
        <f t="shared" ca="1" si="139"/>
        <v>0</v>
      </c>
      <c r="BE55" s="540">
        <f t="shared" ca="1" si="139"/>
        <v>0</v>
      </c>
      <c r="BF55" s="540">
        <f t="shared" ca="1" si="139"/>
        <v>0</v>
      </c>
      <c r="BG55" s="540">
        <f t="shared" ca="1" si="139"/>
        <v>0</v>
      </c>
      <c r="BH55" s="540">
        <f t="shared" ca="1" si="139"/>
        <v>0</v>
      </c>
      <c r="BI55" s="540">
        <f t="shared" ca="1" si="139"/>
        <v>0</v>
      </c>
      <c r="BJ55" s="540">
        <f t="shared" ca="1" si="139"/>
        <v>0</v>
      </c>
      <c r="BK55" s="540">
        <f t="shared" ca="1" si="139"/>
        <v>0</v>
      </c>
      <c r="BL55" s="540">
        <f t="shared" ca="1" si="139"/>
        <v>0</v>
      </c>
      <c r="BM55" s="540">
        <f t="shared" ca="1" si="139"/>
        <v>0</v>
      </c>
      <c r="BN55" s="540">
        <f t="shared" ca="1" si="139"/>
        <v>0</v>
      </c>
      <c r="BO55" s="540">
        <f t="shared" ca="1" si="139"/>
        <v>0</v>
      </c>
      <c r="BP55" s="540">
        <f t="shared" ca="1" si="139"/>
        <v>0</v>
      </c>
      <c r="BQ55" s="540">
        <f t="shared" ca="1" si="139"/>
        <v>0</v>
      </c>
      <c r="BR55" s="540">
        <f t="shared" ref="BR55:CL55" ca="1" si="140">IFERROR((BR53*BR49)/1000,0)</f>
        <v>0</v>
      </c>
      <c r="BS55" s="540">
        <f t="shared" ca="1" si="140"/>
        <v>0</v>
      </c>
      <c r="BT55" s="540">
        <f t="shared" ca="1" si="140"/>
        <v>0</v>
      </c>
      <c r="BU55" s="540">
        <f t="shared" ca="1" si="140"/>
        <v>0</v>
      </c>
      <c r="BV55" s="540">
        <f t="shared" ca="1" si="140"/>
        <v>0</v>
      </c>
      <c r="BW55" s="540">
        <f t="shared" ca="1" si="140"/>
        <v>0</v>
      </c>
      <c r="BX55" s="540">
        <f t="shared" ca="1" si="140"/>
        <v>0</v>
      </c>
      <c r="BY55" s="540">
        <f t="shared" ca="1" si="140"/>
        <v>0</v>
      </c>
      <c r="BZ55" s="540">
        <f t="shared" ca="1" si="140"/>
        <v>0</v>
      </c>
      <c r="CA55" s="540">
        <f t="shared" ca="1" si="140"/>
        <v>0</v>
      </c>
      <c r="CB55" s="540">
        <f t="shared" ca="1" si="140"/>
        <v>0</v>
      </c>
      <c r="CC55" s="540">
        <f t="shared" ca="1" si="140"/>
        <v>0</v>
      </c>
      <c r="CD55" s="540">
        <f t="shared" ca="1" si="140"/>
        <v>0</v>
      </c>
      <c r="CE55" s="540">
        <f t="shared" ca="1" si="140"/>
        <v>0</v>
      </c>
      <c r="CF55" s="540">
        <f t="shared" ca="1" si="140"/>
        <v>0</v>
      </c>
      <c r="CG55" s="540">
        <f t="shared" ca="1" si="140"/>
        <v>0</v>
      </c>
      <c r="CH55" s="540">
        <f t="shared" ca="1" si="140"/>
        <v>0</v>
      </c>
      <c r="CI55" s="540">
        <f t="shared" ca="1" si="140"/>
        <v>0</v>
      </c>
      <c r="CJ55" s="540">
        <f t="shared" ca="1" si="140"/>
        <v>0</v>
      </c>
      <c r="CK55" s="540">
        <f t="shared" ca="1" si="140"/>
        <v>0</v>
      </c>
      <c r="CL55" s="540">
        <f t="shared" ca="1" si="140"/>
        <v>0</v>
      </c>
      <c r="CN55" s="619" t="str">
        <f ca="1">IFERROR((Y55/H55)^(1/17)-1,"")</f>
        <v/>
      </c>
      <c r="CO55" s="619" t="str">
        <f ca="1">IFERROR((AN55/Y55)^(1/15)-1,"")</f>
        <v/>
      </c>
      <c r="CP55" s="619" t="str">
        <f ca="1">IFERROR((AN55/H55)^(1/32)-1,"")</f>
        <v/>
      </c>
    </row>
    <row r="56" spans="1:94" outlineLevel="1">
      <c r="A56" s="547" t="s">
        <v>382</v>
      </c>
      <c r="B56" s="547" t="s">
        <v>384</v>
      </c>
      <c r="C56" s="547"/>
      <c r="D56" s="547"/>
      <c r="E56" s="548" t="e">
        <f t="shared" ref="E56:AN56" si="141">IF($B$6="ON",IF(E42=covid_start-1,E45,IF(E42=covid_recovery,E45,IF(E42&gt;=covid_start,IF(E42&lt;covid_recovery,D56-(INDEX($E42:$CH55,4,MATCH(covid_start-1,$E42:$CL42,0))-INDEX($E42:$CL55,4,MATCH(covid_recovery,$E42:$CL42,0)))/(covid_recovery-covid_start+1),NA()),NA()))),NA())</f>
        <v>#N/A</v>
      </c>
      <c r="F56" s="548" t="e">
        <f t="shared" si="141"/>
        <v>#N/A</v>
      </c>
      <c r="G56" s="548" t="e">
        <f t="shared" si="141"/>
        <v>#N/A</v>
      </c>
      <c r="H56" s="548" t="e">
        <f t="shared" si="141"/>
        <v>#N/A</v>
      </c>
      <c r="I56" s="548">
        <f t="shared" ca="1" si="141"/>
        <v>635.54538040104273</v>
      </c>
      <c r="J56" s="548">
        <f t="shared" ca="1" si="141"/>
        <v>615.02634214529803</v>
      </c>
      <c r="K56" s="548">
        <f t="shared" ca="1" si="141"/>
        <v>594.50730388955333</v>
      </c>
      <c r="L56" s="548">
        <f t="shared" ca="1" si="141"/>
        <v>573.98826563380862</v>
      </c>
      <c r="M56" s="548">
        <f t="shared" ca="1" si="141"/>
        <v>553.46922737806392</v>
      </c>
      <c r="N56" s="548" t="e">
        <f t="shared" si="141"/>
        <v>#N/A</v>
      </c>
      <c r="O56" s="548" t="e">
        <f t="shared" si="141"/>
        <v>#N/A</v>
      </c>
      <c r="P56" s="548" t="e">
        <f t="shared" si="141"/>
        <v>#N/A</v>
      </c>
      <c r="Q56" s="548" t="e">
        <f t="shared" si="141"/>
        <v>#N/A</v>
      </c>
      <c r="R56" s="548" t="e">
        <f t="shared" si="141"/>
        <v>#N/A</v>
      </c>
      <c r="S56" s="548" t="e">
        <f t="shared" si="141"/>
        <v>#N/A</v>
      </c>
      <c r="T56" s="548" t="e">
        <f t="shared" si="141"/>
        <v>#N/A</v>
      </c>
      <c r="U56" s="548" t="e">
        <f t="shared" si="141"/>
        <v>#N/A</v>
      </c>
      <c r="V56" s="548" t="e">
        <f t="shared" si="141"/>
        <v>#N/A</v>
      </c>
      <c r="W56" s="548" t="e">
        <f t="shared" si="141"/>
        <v>#N/A</v>
      </c>
      <c r="X56" s="548" t="e">
        <f t="shared" si="141"/>
        <v>#N/A</v>
      </c>
      <c r="Y56" s="548" t="e">
        <f t="shared" si="141"/>
        <v>#N/A</v>
      </c>
      <c r="Z56" s="548" t="e">
        <f t="shared" si="141"/>
        <v>#N/A</v>
      </c>
      <c r="AA56" s="548" t="e">
        <f t="shared" si="141"/>
        <v>#N/A</v>
      </c>
      <c r="AB56" s="548" t="e">
        <f t="shared" si="141"/>
        <v>#N/A</v>
      </c>
      <c r="AC56" s="548" t="e">
        <f t="shared" si="141"/>
        <v>#N/A</v>
      </c>
      <c r="AD56" s="548" t="e">
        <f t="shared" si="141"/>
        <v>#N/A</v>
      </c>
      <c r="AE56" s="548" t="e">
        <f t="shared" si="141"/>
        <v>#N/A</v>
      </c>
      <c r="AF56" s="548" t="e">
        <f t="shared" si="141"/>
        <v>#N/A</v>
      </c>
      <c r="AG56" s="548" t="e">
        <f t="shared" si="141"/>
        <v>#N/A</v>
      </c>
      <c r="AH56" s="548" t="e">
        <f t="shared" si="141"/>
        <v>#N/A</v>
      </c>
      <c r="AI56" s="548" t="e">
        <f t="shared" si="141"/>
        <v>#N/A</v>
      </c>
      <c r="AJ56" s="548" t="e">
        <f t="shared" si="141"/>
        <v>#N/A</v>
      </c>
      <c r="AK56" s="548" t="e">
        <f t="shared" si="141"/>
        <v>#N/A</v>
      </c>
      <c r="AL56" s="548" t="e">
        <f t="shared" si="141"/>
        <v>#N/A</v>
      </c>
      <c r="AM56" s="548" t="e">
        <f t="shared" si="141"/>
        <v>#N/A</v>
      </c>
      <c r="AN56" s="548" t="e">
        <f t="shared" si="141"/>
        <v>#N/A</v>
      </c>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N56" s="621" t="str">
        <f t="shared" si="119"/>
        <v/>
      </c>
      <c r="CO56" s="621" t="str">
        <f t="shared" si="120"/>
        <v/>
      </c>
      <c r="CP56" s="621" t="str">
        <f t="shared" si="121"/>
        <v/>
      </c>
    </row>
    <row r="57" spans="1:94" outlineLevel="1">
      <c r="A57" s="535" t="s">
        <v>383</v>
      </c>
      <c r="B57" s="535" t="s">
        <v>384</v>
      </c>
      <c r="C57" s="535"/>
      <c r="D57" s="535"/>
      <c r="E57" s="541" t="e">
        <f t="shared" ref="E57:AN57" si="142">IF($B$6="ON",IF(E42=covid_start-1,E53,IF(E42=covid_recovery,E53,IF(E42&gt;=covid_start,IF(E42&lt;covid_recovery,D57-(INDEX($E42:$CH55,12,MATCH(covid_start-1,$E42:$CL42,0))-INDEX($E42:$CL55,12,MATCH(covid_recovery,$E42:$CL42,0)))/(covid_recovery-covid_start+1),NA()),NA()))),NA())</f>
        <v>#N/A</v>
      </c>
      <c r="F57" s="541" t="e">
        <f t="shared" si="142"/>
        <v>#N/A</v>
      </c>
      <c r="G57" s="541" t="e">
        <f t="shared" si="142"/>
        <v>#N/A</v>
      </c>
      <c r="H57" s="541" t="e">
        <f t="shared" si="142"/>
        <v>#N/A</v>
      </c>
      <c r="I57" s="541">
        <f t="shared" ca="1" si="142"/>
        <v>0</v>
      </c>
      <c r="J57" s="541">
        <f t="shared" ca="1" si="142"/>
        <v>0</v>
      </c>
      <c r="K57" s="541">
        <f t="shared" ca="1" si="142"/>
        <v>0</v>
      </c>
      <c r="L57" s="541">
        <f t="shared" ca="1" si="142"/>
        <v>0</v>
      </c>
      <c r="M57" s="541">
        <f t="shared" ca="1" si="142"/>
        <v>0</v>
      </c>
      <c r="N57" s="541" t="e">
        <f t="shared" si="142"/>
        <v>#N/A</v>
      </c>
      <c r="O57" s="541" t="e">
        <f t="shared" si="142"/>
        <v>#N/A</v>
      </c>
      <c r="P57" s="541" t="e">
        <f t="shared" si="142"/>
        <v>#N/A</v>
      </c>
      <c r="Q57" s="541" t="e">
        <f t="shared" si="142"/>
        <v>#N/A</v>
      </c>
      <c r="R57" s="541" t="e">
        <f t="shared" si="142"/>
        <v>#N/A</v>
      </c>
      <c r="S57" s="541" t="e">
        <f t="shared" si="142"/>
        <v>#N/A</v>
      </c>
      <c r="T57" s="541" t="e">
        <f t="shared" si="142"/>
        <v>#N/A</v>
      </c>
      <c r="U57" s="541" t="e">
        <f t="shared" si="142"/>
        <v>#N/A</v>
      </c>
      <c r="V57" s="541" t="e">
        <f t="shared" si="142"/>
        <v>#N/A</v>
      </c>
      <c r="W57" s="541" t="e">
        <f t="shared" si="142"/>
        <v>#N/A</v>
      </c>
      <c r="X57" s="541" t="e">
        <f t="shared" si="142"/>
        <v>#N/A</v>
      </c>
      <c r="Y57" s="541" t="e">
        <f t="shared" si="142"/>
        <v>#N/A</v>
      </c>
      <c r="Z57" s="541" t="e">
        <f t="shared" si="142"/>
        <v>#N/A</v>
      </c>
      <c r="AA57" s="541" t="e">
        <f t="shared" si="142"/>
        <v>#N/A</v>
      </c>
      <c r="AB57" s="541" t="e">
        <f t="shared" si="142"/>
        <v>#N/A</v>
      </c>
      <c r="AC57" s="541" t="e">
        <f t="shared" si="142"/>
        <v>#N/A</v>
      </c>
      <c r="AD57" s="541" t="e">
        <f t="shared" si="142"/>
        <v>#N/A</v>
      </c>
      <c r="AE57" s="541" t="e">
        <f t="shared" si="142"/>
        <v>#N/A</v>
      </c>
      <c r="AF57" s="541" t="e">
        <f t="shared" si="142"/>
        <v>#N/A</v>
      </c>
      <c r="AG57" s="541" t="e">
        <f t="shared" si="142"/>
        <v>#N/A</v>
      </c>
      <c r="AH57" s="541" t="e">
        <f t="shared" si="142"/>
        <v>#N/A</v>
      </c>
      <c r="AI57" s="541" t="e">
        <f t="shared" si="142"/>
        <v>#N/A</v>
      </c>
      <c r="AJ57" s="541" t="e">
        <f t="shared" si="142"/>
        <v>#N/A</v>
      </c>
      <c r="AK57" s="541" t="e">
        <f t="shared" si="142"/>
        <v>#N/A</v>
      </c>
      <c r="AL57" s="541" t="e">
        <f t="shared" si="142"/>
        <v>#N/A</v>
      </c>
      <c r="AM57" s="541" t="e">
        <f t="shared" si="142"/>
        <v>#N/A</v>
      </c>
      <c r="AN57" s="541" t="e">
        <f t="shared" si="142"/>
        <v>#N/A</v>
      </c>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N57" s="620" t="str">
        <f t="shared" si="119"/>
        <v/>
      </c>
      <c r="CO57" s="620" t="str">
        <f t="shared" si="120"/>
        <v/>
      </c>
      <c r="CP57" s="620" t="str">
        <f t="shared" si="121"/>
        <v/>
      </c>
    </row>
    <row r="58" spans="1:94" ht="16.5" thickBot="1">
      <c r="A58" s="525" t="s">
        <v>155</v>
      </c>
      <c r="B58" s="525"/>
      <c r="C58" s="525"/>
      <c r="D58" s="525"/>
      <c r="E58" s="527">
        <v>2015</v>
      </c>
      <c r="F58" s="528">
        <f>E58+1</f>
        <v>2016</v>
      </c>
      <c r="G58" s="528">
        <f t="shared" ref="G58:I58" si="143">F58+1</f>
        <v>2017</v>
      </c>
      <c r="H58" s="528">
        <f t="shared" si="143"/>
        <v>2018</v>
      </c>
      <c r="I58" s="528">
        <f t="shared" si="143"/>
        <v>2019</v>
      </c>
      <c r="J58" s="528">
        <f>E58+5</f>
        <v>2020</v>
      </c>
      <c r="K58" s="528">
        <f>J58+1</f>
        <v>2021</v>
      </c>
      <c r="L58" s="528">
        <f t="shared" ref="L58:N58" si="144">K58+1</f>
        <v>2022</v>
      </c>
      <c r="M58" s="528">
        <f t="shared" si="144"/>
        <v>2023</v>
      </c>
      <c r="N58" s="528">
        <f t="shared" si="144"/>
        <v>2024</v>
      </c>
      <c r="O58" s="528">
        <f>J58+5</f>
        <v>2025</v>
      </c>
      <c r="P58" s="528">
        <f>O58+1</f>
        <v>2026</v>
      </c>
      <c r="Q58" s="528">
        <f t="shared" ref="Q58:S58" si="145">P58+1</f>
        <v>2027</v>
      </c>
      <c r="R58" s="528">
        <f t="shared" si="145"/>
        <v>2028</v>
      </c>
      <c r="S58" s="528">
        <f t="shared" si="145"/>
        <v>2029</v>
      </c>
      <c r="T58" s="528">
        <f>O58+5</f>
        <v>2030</v>
      </c>
      <c r="U58" s="528">
        <f>T58+1</f>
        <v>2031</v>
      </c>
      <c r="V58" s="528">
        <f t="shared" ref="V58:X58" si="146">U58+1</f>
        <v>2032</v>
      </c>
      <c r="W58" s="528">
        <f t="shared" si="146"/>
        <v>2033</v>
      </c>
      <c r="X58" s="528">
        <f t="shared" si="146"/>
        <v>2034</v>
      </c>
      <c r="Y58" s="528">
        <f>T58+5</f>
        <v>2035</v>
      </c>
      <c r="Z58" s="528">
        <f>Y58+1</f>
        <v>2036</v>
      </c>
      <c r="AA58" s="528">
        <f t="shared" ref="AA58:AC58" si="147">Z58+1</f>
        <v>2037</v>
      </c>
      <c r="AB58" s="528">
        <f t="shared" si="147"/>
        <v>2038</v>
      </c>
      <c r="AC58" s="528">
        <f t="shared" si="147"/>
        <v>2039</v>
      </c>
      <c r="AD58" s="528">
        <f>Y58+5</f>
        <v>2040</v>
      </c>
      <c r="AE58" s="528">
        <f>AD58+1</f>
        <v>2041</v>
      </c>
      <c r="AF58" s="528">
        <f t="shared" ref="AF58:AH58" si="148">AE58+1</f>
        <v>2042</v>
      </c>
      <c r="AG58" s="528">
        <f t="shared" si="148"/>
        <v>2043</v>
      </c>
      <c r="AH58" s="528">
        <f t="shared" si="148"/>
        <v>2044</v>
      </c>
      <c r="AI58" s="528">
        <f>AD58+5</f>
        <v>2045</v>
      </c>
      <c r="AJ58" s="528">
        <f>AI58+1</f>
        <v>2046</v>
      </c>
      <c r="AK58" s="528">
        <f t="shared" ref="AK58:AM58" si="149">AJ58+1</f>
        <v>2047</v>
      </c>
      <c r="AL58" s="528">
        <f t="shared" si="149"/>
        <v>2048</v>
      </c>
      <c r="AM58" s="528">
        <f t="shared" si="149"/>
        <v>2049</v>
      </c>
      <c r="AN58" s="528">
        <f>AI58+5</f>
        <v>2050</v>
      </c>
      <c r="AO58" s="528">
        <f>AN58+1</f>
        <v>2051</v>
      </c>
      <c r="AP58" s="528">
        <f t="shared" ref="AP58:AR58" si="150">AO58+1</f>
        <v>2052</v>
      </c>
      <c r="AQ58" s="528">
        <f t="shared" si="150"/>
        <v>2053</v>
      </c>
      <c r="AR58" s="528">
        <f t="shared" si="150"/>
        <v>2054</v>
      </c>
      <c r="AS58" s="528">
        <f>AN58+5</f>
        <v>2055</v>
      </c>
      <c r="AT58" s="528">
        <f>AS58+1</f>
        <v>2056</v>
      </c>
      <c r="AU58" s="528">
        <f t="shared" ref="AU58:AW58" si="151">AT58+1</f>
        <v>2057</v>
      </c>
      <c r="AV58" s="528">
        <f t="shared" si="151"/>
        <v>2058</v>
      </c>
      <c r="AW58" s="528">
        <f t="shared" si="151"/>
        <v>2059</v>
      </c>
      <c r="AX58" s="528">
        <f>AS58+5</f>
        <v>2060</v>
      </c>
      <c r="AY58" s="528">
        <f>AX58+1</f>
        <v>2061</v>
      </c>
      <c r="AZ58" s="528">
        <f t="shared" ref="AZ58:BB58" si="152">AY58+1</f>
        <v>2062</v>
      </c>
      <c r="BA58" s="528">
        <f t="shared" si="152"/>
        <v>2063</v>
      </c>
      <c r="BB58" s="528">
        <f t="shared" si="152"/>
        <v>2064</v>
      </c>
      <c r="BC58" s="528">
        <f>AX58+5</f>
        <v>2065</v>
      </c>
      <c r="BD58" s="528">
        <f>BC58+1</f>
        <v>2066</v>
      </c>
      <c r="BE58" s="528">
        <f t="shared" ref="BE58:BG58" si="153">BD58+1</f>
        <v>2067</v>
      </c>
      <c r="BF58" s="528">
        <f t="shared" si="153"/>
        <v>2068</v>
      </c>
      <c r="BG58" s="528">
        <f t="shared" si="153"/>
        <v>2069</v>
      </c>
      <c r="BH58" s="528">
        <f>BC58+5</f>
        <v>2070</v>
      </c>
      <c r="BI58" s="528">
        <f>BH58+1</f>
        <v>2071</v>
      </c>
      <c r="BJ58" s="528">
        <f t="shared" ref="BJ58:BL58" si="154">BI58+1</f>
        <v>2072</v>
      </c>
      <c r="BK58" s="528">
        <f t="shared" si="154"/>
        <v>2073</v>
      </c>
      <c r="BL58" s="528">
        <f t="shared" si="154"/>
        <v>2074</v>
      </c>
      <c r="BM58" s="528">
        <f>BH58+5</f>
        <v>2075</v>
      </c>
      <c r="BN58" s="528">
        <f>BM58+1</f>
        <v>2076</v>
      </c>
      <c r="BO58" s="528">
        <f t="shared" ref="BO58:BQ58" si="155">BN58+1</f>
        <v>2077</v>
      </c>
      <c r="BP58" s="528">
        <f t="shared" si="155"/>
        <v>2078</v>
      </c>
      <c r="BQ58" s="528">
        <f t="shared" si="155"/>
        <v>2079</v>
      </c>
      <c r="BR58" s="528">
        <f>BM58+5</f>
        <v>2080</v>
      </c>
      <c r="BS58" s="528">
        <f>BR58+1</f>
        <v>2081</v>
      </c>
      <c r="BT58" s="528">
        <f t="shared" ref="BT58:BV58" si="156">BS58+1</f>
        <v>2082</v>
      </c>
      <c r="BU58" s="528">
        <f t="shared" si="156"/>
        <v>2083</v>
      </c>
      <c r="BV58" s="528">
        <f t="shared" si="156"/>
        <v>2084</v>
      </c>
      <c r="BW58" s="528">
        <f>BR58+5</f>
        <v>2085</v>
      </c>
      <c r="BX58" s="528">
        <f>BW58+1</f>
        <v>2086</v>
      </c>
      <c r="BY58" s="528">
        <f t="shared" ref="BY58:CA58" si="157">BX58+1</f>
        <v>2087</v>
      </c>
      <c r="BZ58" s="528">
        <f t="shared" si="157"/>
        <v>2088</v>
      </c>
      <c r="CA58" s="528">
        <f t="shared" si="157"/>
        <v>2089</v>
      </c>
      <c r="CB58" s="528">
        <f>BW58+5</f>
        <v>2090</v>
      </c>
      <c r="CC58" s="528">
        <f>CB58+1</f>
        <v>2091</v>
      </c>
      <c r="CD58" s="528">
        <f t="shared" ref="CD58:CF58" si="158">CC58+1</f>
        <v>2092</v>
      </c>
      <c r="CE58" s="528">
        <f t="shared" si="158"/>
        <v>2093</v>
      </c>
      <c r="CF58" s="528">
        <f t="shared" si="158"/>
        <v>2094</v>
      </c>
      <c r="CG58" s="528">
        <f>CB58+5</f>
        <v>2095</v>
      </c>
      <c r="CH58" s="528">
        <f>CG58+1</f>
        <v>2096</v>
      </c>
      <c r="CI58" s="528">
        <f t="shared" ref="CI58:CK58" si="159">CH58+1</f>
        <v>2097</v>
      </c>
      <c r="CJ58" s="528">
        <f t="shared" si="159"/>
        <v>2098</v>
      </c>
      <c r="CK58" s="528">
        <f t="shared" si="159"/>
        <v>2099</v>
      </c>
      <c r="CL58" s="528">
        <f>CG58+5</f>
        <v>2100</v>
      </c>
      <c r="CN58" s="612" t="s">
        <v>409</v>
      </c>
      <c r="CO58" s="612" t="s">
        <v>411</v>
      </c>
      <c r="CP58" s="612" t="s">
        <v>410</v>
      </c>
    </row>
    <row r="59" spans="1:94" ht="16.5" outlineLevel="1" thickTop="1">
      <c r="A59" s="529" t="s">
        <v>152</v>
      </c>
      <c r="B59" s="529" t="str">
        <f>$A$58</f>
        <v>Pax-short</v>
      </c>
      <c r="C59" s="530" t="s">
        <v>331</v>
      </c>
      <c r="D59" s="530"/>
      <c r="E59" s="531">
        <f ca="1">IF($B$6="ON", IF(E58&gt;=covid_start, IF(E58&lt;covid_recovery,NA(),SUMIFS(INDIRECT("Data_main"&amp;"["&amp;E$8&amp;"]"),Data_main[Data],$A59, Data_main[Segment],$B59, Data_main[Scenario],$B$3)),SUMIFS(INDIRECT("Data_main"&amp;"["&amp;E$8&amp;"]"),Data_main[Data],$A59, Data_main[Segment],$B59, Data_main[Scenario],$B$3)),SUMIFS(INDIRECT("Data_main"&amp;"["&amp;E$8&amp;"]"),Data_main[Data],$A59, Data_main[Segment],$B59, Data_main[Scenario],$B$3))</f>
        <v>258.63471489916907</v>
      </c>
      <c r="F59" s="531">
        <f ca="1">IF($B$6="ON", IF(F58&gt;=covid_start, IF(F58&lt;covid_recovery,NA(),SUMIFS(INDIRECT("Data_main"&amp;"["&amp;F$8&amp;"]"),Data_main[Data],$A59, Data_main[Segment],$B59, Data_main[Scenario],$B$3)),SUMIFS(INDIRECT("Data_main"&amp;"["&amp;F$8&amp;"]"),Data_main[Data],$A59, Data_main[Segment],$B59, Data_main[Scenario],$B$3)),SUMIFS(INDIRECT("Data_main"&amp;"["&amp;F$8&amp;"]"),Data_main[Data],$A59, Data_main[Segment],$B59, Data_main[Scenario],$B$3))</f>
        <v>272.16673892516815</v>
      </c>
      <c r="G59" s="531">
        <f ca="1">IF($B$6="ON", IF(G58&gt;=covid_start, IF(G58&lt;covid_recovery,NA(),SUMIFS(INDIRECT("Data_main"&amp;"["&amp;G$8&amp;"]"),Data_main[Data],$A59, Data_main[Segment],$B59, Data_main[Scenario],$B$3)),SUMIFS(INDIRECT("Data_main"&amp;"["&amp;G$8&amp;"]"),Data_main[Data],$A59, Data_main[Segment],$B59, Data_main[Scenario],$B$3)),SUMIFS(INDIRECT("Data_main"&amp;"["&amp;G$8&amp;"]"),Data_main[Data],$A59, Data_main[Segment],$B59, Data_main[Scenario],$B$3))</f>
        <v>285.69876295116723</v>
      </c>
      <c r="H59" s="531">
        <f ca="1">IF($B$6="ON", IF(H58&gt;=covid_start, IF(H58&lt;covid_recovery,NA(),SUMIFS(INDIRECT("Data_main"&amp;"["&amp;H$8&amp;"]"),Data_main[Data],$A59, Data_main[Segment],$B59, Data_main[Scenario],$B$3)),SUMIFS(INDIRECT("Data_main"&amp;"["&amp;H$8&amp;"]"),Data_main[Data],$A59, Data_main[Segment],$B59, Data_main[Scenario],$B$3)),SUMIFS(INDIRECT("Data_main"&amp;"["&amp;H$8&amp;"]"),Data_main[Data],$A59, Data_main[Segment],$B59, Data_main[Scenario],$B$3))</f>
        <v>299.2307869771663</v>
      </c>
      <c r="I59" s="531">
        <f ca="1">IF($B$6="ON", IF(I58&gt;=covid_start, IF(I58&lt;covid_recovery,NA(),SUMIFS(INDIRECT("Data_main"&amp;"["&amp;I$8&amp;"]"),Data_main[Data],$A59, Data_main[Segment],$B59, Data_main[Scenario],$B$3)),SUMIFS(INDIRECT("Data_main"&amp;"["&amp;I$8&amp;"]"),Data_main[Data],$A59, Data_main[Segment],$B59, Data_main[Scenario],$B$3)),SUMIFS(INDIRECT("Data_main"&amp;"["&amp;I$8&amp;"]"),Data_main[Data],$A59, Data_main[Segment],$B59, Data_main[Scenario],$B$3))</f>
        <v>306.49737759014187</v>
      </c>
      <c r="J59" s="531" t="e">
        <f ca="1">IF($B$6="ON", IF(J58&gt;=covid_start, IF(J58&lt;covid_recovery,NA(),SUMIFS(INDIRECT("Data_main"&amp;"["&amp;J$8&amp;"]"),Data_main[Data],$A59, Data_main[Segment],$B59, Data_main[Scenario],$B$3)),SUMIFS(INDIRECT("Data_main"&amp;"["&amp;J$8&amp;"]"),Data_main[Data],$A59, Data_main[Segment],$B59, Data_main[Scenario],$B$3)),SUMIFS(INDIRECT("Data_main"&amp;"["&amp;J$8&amp;"]"),Data_main[Data],$A59, Data_main[Segment],$B59, Data_main[Scenario],$B$3))</f>
        <v>#N/A</v>
      </c>
      <c r="K59" s="531" t="e">
        <f ca="1">IF($B$6="ON", IF(K58&gt;=covid_start, IF(K58&lt;covid_recovery,NA(),SUMIFS(INDIRECT("Data_main"&amp;"["&amp;K$8&amp;"]"),Data_main[Data],$A59, Data_main[Segment],$B59, Data_main[Scenario],$B$3)),SUMIFS(INDIRECT("Data_main"&amp;"["&amp;K$8&amp;"]"),Data_main[Data],$A59, Data_main[Segment],$B59, Data_main[Scenario],$B$3)),SUMIFS(INDIRECT("Data_main"&amp;"["&amp;K$8&amp;"]"),Data_main[Data],$A59, Data_main[Segment],$B59, Data_main[Scenario],$B$3))</f>
        <v>#N/A</v>
      </c>
      <c r="L59" s="531" t="e">
        <f ca="1">IF($B$6="ON", IF(L58&gt;=covid_start, IF(L58&lt;covid_recovery,NA(),SUMIFS(INDIRECT("Data_main"&amp;"["&amp;L$8&amp;"]"),Data_main[Data],$A59, Data_main[Segment],$B59, Data_main[Scenario],$B$3)),SUMIFS(INDIRECT("Data_main"&amp;"["&amp;L$8&amp;"]"),Data_main[Data],$A59, Data_main[Segment],$B59, Data_main[Scenario],$B$3)),SUMIFS(INDIRECT("Data_main"&amp;"["&amp;L$8&amp;"]"),Data_main[Data],$A59, Data_main[Segment],$B59, Data_main[Scenario],$B$3))</f>
        <v>#N/A</v>
      </c>
      <c r="M59" s="531">
        <f ca="1">IF($B$6="ON", IF(M58&gt;=covid_start, IF(M58&lt;covid_recovery,NA(),SUMIFS(INDIRECT("Data_main"&amp;"["&amp;M$8&amp;"]"),Data_main[Data],$A59, Data_main[Segment],$B59, Data_main[Scenario],$B$3)),SUMIFS(INDIRECT("Data_main"&amp;"["&amp;M$8&amp;"]"),Data_main[Data],$A59, Data_main[Segment],$B59, Data_main[Scenario],$B$3)),SUMIFS(INDIRECT("Data_main"&amp;"["&amp;M$8&amp;"]"),Data_main[Data],$A59, Data_main[Segment],$B59, Data_main[Scenario],$B$3))</f>
        <v>301.61327150077216</v>
      </c>
      <c r="N59" s="531">
        <f ca="1">IF($B$6="ON", IF(N58&gt;=covid_start, IF(N58&lt;covid_recovery,NA(),SUMIFS(INDIRECT("Data_main"&amp;"["&amp;N$8&amp;"]"),Data_main[Data],$A59, Data_main[Segment],$B59, Data_main[Scenario],$B$3)),SUMIFS(INDIRECT("Data_main"&amp;"["&amp;N$8&amp;"]"),Data_main[Data],$A59, Data_main[Segment],$B59, Data_main[Scenario],$B$3)),SUMIFS(INDIRECT("Data_main"&amp;"["&amp;N$8&amp;"]"),Data_main[Data],$A59, Data_main[Segment],$B59, Data_main[Scenario],$B$3))</f>
        <v>300.39224497842986</v>
      </c>
      <c r="O59" s="531">
        <f ca="1">IF($B$6="ON", IF(O58&gt;=covid_start, IF(O58&lt;covid_recovery,NA(),SUMIFS(INDIRECT("Data_main"&amp;"["&amp;O$8&amp;"]"),Data_main[Data],$A59, Data_main[Segment],$B59, Data_main[Scenario],$B$3)),SUMIFS(INDIRECT("Data_main"&amp;"["&amp;O$8&amp;"]"),Data_main[Data],$A59, Data_main[Segment],$B59, Data_main[Scenario],$B$3)),SUMIFS(INDIRECT("Data_main"&amp;"["&amp;O$8&amp;"]"),Data_main[Data],$A59, Data_main[Segment],$B59, Data_main[Scenario],$B$3))</f>
        <v>299.17121845608744</v>
      </c>
      <c r="P59" s="531">
        <f ca="1">IF($B$6="ON", IF(P58&gt;=covid_start, IF(P58&lt;covid_recovery,NA(),SUMIFS(INDIRECT("Data_main"&amp;"["&amp;P$8&amp;"]"),Data_main[Data],$A59, Data_main[Segment],$B59, Data_main[Scenario],$B$3)),SUMIFS(INDIRECT("Data_main"&amp;"["&amp;P$8&amp;"]"),Data_main[Data],$A59, Data_main[Segment],$B59, Data_main[Scenario],$B$3)),SUMIFS(INDIRECT("Data_main"&amp;"["&amp;P$8&amp;"]"),Data_main[Data],$A59, Data_main[Segment],$B59, Data_main[Scenario],$B$3))</f>
        <v>297.95019193374503</v>
      </c>
      <c r="Q59" s="531">
        <f ca="1">IF($B$6="ON", IF(Q58&gt;=covid_start, IF(Q58&lt;covid_recovery,NA(),SUMIFS(INDIRECT("Data_main"&amp;"["&amp;Q$8&amp;"]"),Data_main[Data],$A59, Data_main[Segment],$B59, Data_main[Scenario],$B$3)),SUMIFS(INDIRECT("Data_main"&amp;"["&amp;Q$8&amp;"]"),Data_main[Data],$A59, Data_main[Segment],$B59, Data_main[Scenario],$B$3)),SUMIFS(INDIRECT("Data_main"&amp;"["&amp;Q$8&amp;"]"),Data_main[Data],$A59, Data_main[Segment],$B59, Data_main[Scenario],$B$3))</f>
        <v>296.72916541140256</v>
      </c>
      <c r="R59" s="531">
        <f ca="1">IF($B$6="ON", IF(R58&gt;=covid_start, IF(R58&lt;covid_recovery,NA(),SUMIFS(INDIRECT("Data_main"&amp;"["&amp;R$8&amp;"]"),Data_main[Data],$A59, Data_main[Segment],$B59, Data_main[Scenario],$B$3)),SUMIFS(INDIRECT("Data_main"&amp;"["&amp;R$8&amp;"]"),Data_main[Data],$A59, Data_main[Segment],$B59, Data_main[Scenario],$B$3)),SUMIFS(INDIRECT("Data_main"&amp;"["&amp;R$8&amp;"]"),Data_main[Data],$A59, Data_main[Segment],$B59, Data_main[Scenario],$B$3))</f>
        <v>295.50813888906015</v>
      </c>
      <c r="S59" s="531">
        <f ca="1">IF($B$6="ON", IF(S58&gt;=covid_start, IF(S58&lt;covid_recovery,NA(),SUMIFS(INDIRECT("Data_main"&amp;"["&amp;S$8&amp;"]"),Data_main[Data],$A59, Data_main[Segment],$B59, Data_main[Scenario],$B$3)),SUMIFS(INDIRECT("Data_main"&amp;"["&amp;S$8&amp;"]"),Data_main[Data],$A59, Data_main[Segment],$B59, Data_main[Scenario],$B$3)),SUMIFS(INDIRECT("Data_main"&amp;"["&amp;S$8&amp;"]"),Data_main[Data],$A59, Data_main[Segment],$B59, Data_main[Scenario],$B$3))</f>
        <v>294.28711236671768</v>
      </c>
      <c r="T59" s="531">
        <f ca="1">IF($B$6="ON", IF(T58&gt;=covid_start, IF(T58&lt;covid_recovery,NA(),SUMIFS(INDIRECT("Data_main"&amp;"["&amp;T$8&amp;"]"),Data_main[Data],$A59, Data_main[Segment],$B59, Data_main[Scenario],$B$3)),SUMIFS(INDIRECT("Data_main"&amp;"["&amp;T$8&amp;"]"),Data_main[Data],$A59, Data_main[Segment],$B59, Data_main[Scenario],$B$3)),SUMIFS(INDIRECT("Data_main"&amp;"["&amp;T$8&amp;"]"),Data_main[Data],$A59, Data_main[Segment],$B59, Data_main[Scenario],$B$3))</f>
        <v>293.0660858443751</v>
      </c>
      <c r="U59" s="531">
        <f ca="1">IF($B$6="ON", IF(U58&gt;=covid_start, IF(U58&lt;covid_recovery,NA(),SUMIFS(INDIRECT("Data_main"&amp;"["&amp;U$8&amp;"]"),Data_main[Data],$A59, Data_main[Segment],$B59, Data_main[Scenario],$B$3)),SUMIFS(INDIRECT("Data_main"&amp;"["&amp;U$8&amp;"]"),Data_main[Data],$A59, Data_main[Segment],$B59, Data_main[Scenario],$B$3)),SUMIFS(INDIRECT("Data_main"&amp;"["&amp;U$8&amp;"]"),Data_main[Data],$A59, Data_main[Segment],$B59, Data_main[Scenario],$B$3))</f>
        <v>289.98665038153342</v>
      </c>
      <c r="V59" s="531">
        <f ca="1">IF($B$6="ON", IF(V58&gt;=covid_start, IF(V58&lt;covid_recovery,NA(),SUMIFS(INDIRECT("Data_main"&amp;"["&amp;V$8&amp;"]"),Data_main[Data],$A59, Data_main[Segment],$B59, Data_main[Scenario],$B$3)),SUMIFS(INDIRECT("Data_main"&amp;"["&amp;V$8&amp;"]"),Data_main[Data],$A59, Data_main[Segment],$B59, Data_main[Scenario],$B$3)),SUMIFS(INDIRECT("Data_main"&amp;"["&amp;V$8&amp;"]"),Data_main[Data],$A59, Data_main[Segment],$B59, Data_main[Scenario],$B$3))</f>
        <v>286.90721491869175</v>
      </c>
      <c r="W59" s="531">
        <f ca="1">IF($B$6="ON", IF(W58&gt;=covid_start, IF(W58&lt;covid_recovery,NA(),SUMIFS(INDIRECT("Data_main"&amp;"["&amp;W$8&amp;"]"),Data_main[Data],$A59, Data_main[Segment],$B59, Data_main[Scenario],$B$3)),SUMIFS(INDIRECT("Data_main"&amp;"["&amp;W$8&amp;"]"),Data_main[Data],$A59, Data_main[Segment],$B59, Data_main[Scenario],$B$3)),SUMIFS(INDIRECT("Data_main"&amp;"["&amp;W$8&amp;"]"),Data_main[Data],$A59, Data_main[Segment],$B59, Data_main[Scenario],$B$3))</f>
        <v>283.82777945585002</v>
      </c>
      <c r="X59" s="531">
        <f ca="1">IF($B$6="ON", IF(X58&gt;=covid_start, IF(X58&lt;covid_recovery,NA(),SUMIFS(INDIRECT("Data_main"&amp;"["&amp;X$8&amp;"]"),Data_main[Data],$A59, Data_main[Segment],$B59, Data_main[Scenario],$B$3)),SUMIFS(INDIRECT("Data_main"&amp;"["&amp;X$8&amp;"]"),Data_main[Data],$A59, Data_main[Segment],$B59, Data_main[Scenario],$B$3)),SUMIFS(INDIRECT("Data_main"&amp;"["&amp;X$8&amp;"]"),Data_main[Data],$A59, Data_main[Segment],$B59, Data_main[Scenario],$B$3))</f>
        <v>280.74834399300829</v>
      </c>
      <c r="Y59" s="531">
        <f ca="1">IF($B$6="ON", IF(Y58&gt;=covid_start, IF(Y58&lt;covid_recovery,NA(),SUMIFS(INDIRECT("Data_main"&amp;"["&amp;Y$8&amp;"]"),Data_main[Data],$A59, Data_main[Segment],$B59, Data_main[Scenario],$B$3)),SUMIFS(INDIRECT("Data_main"&amp;"["&amp;Y$8&amp;"]"),Data_main[Data],$A59, Data_main[Segment],$B59, Data_main[Scenario],$B$3)),SUMIFS(INDIRECT("Data_main"&amp;"["&amp;Y$8&amp;"]"),Data_main[Data],$A59, Data_main[Segment],$B59, Data_main[Scenario],$B$3))</f>
        <v>277.66890853016668</v>
      </c>
      <c r="Z59" s="531">
        <f ca="1">IF($B$6="ON", IF(Z58&gt;=covid_start, IF(Z58&lt;covid_recovery,NA(),SUMIFS(INDIRECT("Data_main"&amp;"["&amp;Z$8&amp;"]"),Data_main[Data],$A59, Data_main[Segment],$B59, Data_main[Scenario],$B$3)),SUMIFS(INDIRECT("Data_main"&amp;"["&amp;Z$8&amp;"]"),Data_main[Data],$A59, Data_main[Segment],$B59, Data_main[Scenario],$B$3)),SUMIFS(INDIRECT("Data_main"&amp;"["&amp;Z$8&amp;"]"),Data_main[Data],$A59, Data_main[Segment],$B59, Data_main[Scenario],$B$3))</f>
        <v>274.58947306732506</v>
      </c>
      <c r="AA59" s="531">
        <f ca="1">IF($B$6="ON", IF(AA58&gt;=covid_start, IF(AA58&lt;covid_recovery,NA(),SUMIFS(INDIRECT("Data_main"&amp;"["&amp;AA$8&amp;"]"),Data_main[Data],$A59, Data_main[Segment],$B59, Data_main[Scenario],$B$3)),SUMIFS(INDIRECT("Data_main"&amp;"["&amp;AA$8&amp;"]"),Data_main[Data],$A59, Data_main[Segment],$B59, Data_main[Scenario],$B$3)),SUMIFS(INDIRECT("Data_main"&amp;"["&amp;AA$8&amp;"]"),Data_main[Data],$A59, Data_main[Segment],$B59, Data_main[Scenario],$B$3))</f>
        <v>271.51003760448327</v>
      </c>
      <c r="AB59" s="531">
        <f ca="1">IF($B$6="ON", IF(AB58&gt;=covid_start, IF(AB58&lt;covid_recovery,NA(),SUMIFS(INDIRECT("Data_main"&amp;"["&amp;AB$8&amp;"]"),Data_main[Data],$A59, Data_main[Segment],$B59, Data_main[Scenario],$B$3)),SUMIFS(INDIRECT("Data_main"&amp;"["&amp;AB$8&amp;"]"),Data_main[Data],$A59, Data_main[Segment],$B59, Data_main[Scenario],$B$3)),SUMIFS(INDIRECT("Data_main"&amp;"["&amp;AB$8&amp;"]"),Data_main[Data],$A59, Data_main[Segment],$B59, Data_main[Scenario],$B$3))</f>
        <v>268.43060214164166</v>
      </c>
      <c r="AC59" s="531">
        <f ca="1">IF($B$6="ON", IF(AC58&gt;=covid_start, IF(AC58&lt;covid_recovery,NA(),SUMIFS(INDIRECT("Data_main"&amp;"["&amp;AC$8&amp;"]"),Data_main[Data],$A59, Data_main[Segment],$B59, Data_main[Scenario],$B$3)),SUMIFS(INDIRECT("Data_main"&amp;"["&amp;AC$8&amp;"]"),Data_main[Data],$A59, Data_main[Segment],$B59, Data_main[Scenario],$B$3)),SUMIFS(INDIRECT("Data_main"&amp;"["&amp;AC$8&amp;"]"),Data_main[Data],$A59, Data_main[Segment],$B59, Data_main[Scenario],$B$3))</f>
        <v>265.35116667879998</v>
      </c>
      <c r="AD59" s="531">
        <f ca="1">IF($B$6="ON", IF(AD58&gt;=covid_start, IF(AD58&lt;covid_recovery,NA(),SUMIFS(INDIRECT("Data_main"&amp;"["&amp;AD$8&amp;"]"),Data_main[Data],$A59, Data_main[Segment],$B59, Data_main[Scenario],$B$3)),SUMIFS(INDIRECT("Data_main"&amp;"["&amp;AD$8&amp;"]"),Data_main[Data],$A59, Data_main[Segment],$B59, Data_main[Scenario],$B$3)),SUMIFS(INDIRECT("Data_main"&amp;"["&amp;AD$8&amp;"]"),Data_main[Data],$A59, Data_main[Segment],$B59, Data_main[Scenario],$B$3))</f>
        <v>262.27173121595831</v>
      </c>
      <c r="AE59" s="531">
        <f ca="1">IF($B$6="ON", IF(AE58&gt;=covid_start, IF(AE58&lt;covid_recovery,NA(),SUMIFS(INDIRECT("Data_main"&amp;"["&amp;AE$8&amp;"]"),Data_main[Data],$A59, Data_main[Segment],$B59, Data_main[Scenario],$B$3)),SUMIFS(INDIRECT("Data_main"&amp;"["&amp;AE$8&amp;"]"),Data_main[Data],$A59, Data_main[Segment],$B59, Data_main[Scenario],$B$3)),SUMIFS(INDIRECT("Data_main"&amp;"["&amp;AE$8&amp;"]"),Data_main[Data],$A59, Data_main[Segment],$B59, Data_main[Scenario],$B$3))</f>
        <v>261.03480505484913</v>
      </c>
      <c r="AF59" s="531">
        <f ca="1">IF($B$6="ON", IF(AF58&gt;=covid_start, IF(AF58&lt;covid_recovery,NA(),SUMIFS(INDIRECT("Data_main"&amp;"["&amp;AF$8&amp;"]"),Data_main[Data],$A59, Data_main[Segment],$B59, Data_main[Scenario],$B$3)),SUMIFS(INDIRECT("Data_main"&amp;"["&amp;AF$8&amp;"]"),Data_main[Data],$A59, Data_main[Segment],$B59, Data_main[Scenario],$B$3)),SUMIFS(INDIRECT("Data_main"&amp;"["&amp;AF$8&amp;"]"),Data_main[Data],$A59, Data_main[Segment],$B59, Data_main[Scenario],$B$3))</f>
        <v>259.79787889374001</v>
      </c>
      <c r="AG59" s="531">
        <f ca="1">IF($B$6="ON", IF(AG58&gt;=covid_start, IF(AG58&lt;covid_recovery,NA(),SUMIFS(INDIRECT("Data_main"&amp;"["&amp;AG$8&amp;"]"),Data_main[Data],$A59, Data_main[Segment],$B59, Data_main[Scenario],$B$3)),SUMIFS(INDIRECT("Data_main"&amp;"["&amp;AG$8&amp;"]"),Data_main[Data],$A59, Data_main[Segment],$B59, Data_main[Scenario],$B$3)),SUMIFS(INDIRECT("Data_main"&amp;"["&amp;AG$8&amp;"]"),Data_main[Data],$A59, Data_main[Segment],$B59, Data_main[Scenario],$B$3))</f>
        <v>258.56095273263082</v>
      </c>
      <c r="AH59" s="531">
        <f ca="1">IF($B$6="ON", IF(AH58&gt;=covid_start, IF(AH58&lt;covid_recovery,NA(),SUMIFS(INDIRECT("Data_main"&amp;"["&amp;AH$8&amp;"]"),Data_main[Data],$A59, Data_main[Segment],$B59, Data_main[Scenario],$B$3)),SUMIFS(INDIRECT("Data_main"&amp;"["&amp;AH$8&amp;"]"),Data_main[Data],$A59, Data_main[Segment],$B59, Data_main[Scenario],$B$3)),SUMIFS(INDIRECT("Data_main"&amp;"["&amp;AH$8&amp;"]"),Data_main[Data],$A59, Data_main[Segment],$B59, Data_main[Scenario],$B$3))</f>
        <v>257.3240265715217</v>
      </c>
      <c r="AI59" s="531">
        <f ca="1">IF($B$6="ON", IF(AI58&gt;=covid_start, IF(AI58&lt;covid_recovery,NA(),SUMIFS(INDIRECT("Data_main"&amp;"["&amp;AI$8&amp;"]"),Data_main[Data],$A59, Data_main[Segment],$B59, Data_main[Scenario],$B$3)),SUMIFS(INDIRECT("Data_main"&amp;"["&amp;AI$8&amp;"]"),Data_main[Data],$A59, Data_main[Segment],$B59, Data_main[Scenario],$B$3)),SUMIFS(INDIRECT("Data_main"&amp;"["&amp;AI$8&amp;"]"),Data_main[Data],$A59, Data_main[Segment],$B59, Data_main[Scenario],$B$3))</f>
        <v>256.08710041041252</v>
      </c>
      <c r="AJ59" s="531">
        <f ca="1">IF($B$6="ON", IF(AJ58&gt;=covid_start, IF(AJ58&lt;covid_recovery,NA(),SUMIFS(INDIRECT("Data_main"&amp;"["&amp;AJ$8&amp;"]"),Data_main[Data],$A59, Data_main[Segment],$B59, Data_main[Scenario],$B$3)),SUMIFS(INDIRECT("Data_main"&amp;"["&amp;AJ$8&amp;"]"),Data_main[Data],$A59, Data_main[Segment],$B59, Data_main[Scenario],$B$3)),SUMIFS(INDIRECT("Data_main"&amp;"["&amp;AJ$8&amp;"]"),Data_main[Data],$A59, Data_main[Segment],$B59, Data_main[Scenario],$B$3))</f>
        <v>254.85017424930339</v>
      </c>
      <c r="AK59" s="531">
        <f ca="1">IF($B$6="ON", IF(AK58&gt;=covid_start, IF(AK58&lt;covid_recovery,NA(),SUMIFS(INDIRECT("Data_main"&amp;"["&amp;AK$8&amp;"]"),Data_main[Data],$A59, Data_main[Segment],$B59, Data_main[Scenario],$B$3)),SUMIFS(INDIRECT("Data_main"&amp;"["&amp;AK$8&amp;"]"),Data_main[Data],$A59, Data_main[Segment],$B59, Data_main[Scenario],$B$3)),SUMIFS(INDIRECT("Data_main"&amp;"["&amp;AK$8&amp;"]"),Data_main[Data],$A59, Data_main[Segment],$B59, Data_main[Scenario],$B$3))</f>
        <v>253.61324808819418</v>
      </c>
      <c r="AL59" s="531">
        <f ca="1">IF($B$6="ON", IF(AL58&gt;=covid_start, IF(AL58&lt;covid_recovery,NA(),SUMIFS(INDIRECT("Data_main"&amp;"["&amp;AL$8&amp;"]"),Data_main[Data],$A59, Data_main[Segment],$B59, Data_main[Scenario],$B$3)),SUMIFS(INDIRECT("Data_main"&amp;"["&amp;AL$8&amp;"]"),Data_main[Data],$A59, Data_main[Segment],$B59, Data_main[Scenario],$B$3)),SUMIFS(INDIRECT("Data_main"&amp;"["&amp;AL$8&amp;"]"),Data_main[Data],$A59, Data_main[Segment],$B59, Data_main[Scenario],$B$3))</f>
        <v>252.37632192708512</v>
      </c>
      <c r="AM59" s="531">
        <f ca="1">IF($B$6="ON", IF(AM58&gt;=covid_start, IF(AM58&lt;covid_recovery,NA(),SUMIFS(INDIRECT("Data_main"&amp;"["&amp;AM$8&amp;"]"),Data_main[Data],$A59, Data_main[Segment],$B59, Data_main[Scenario],$B$3)),SUMIFS(INDIRECT("Data_main"&amp;"["&amp;AM$8&amp;"]"),Data_main[Data],$A59, Data_main[Segment],$B59, Data_main[Scenario],$B$3)),SUMIFS(INDIRECT("Data_main"&amp;"["&amp;AM$8&amp;"]"),Data_main[Data],$A59, Data_main[Segment],$B59, Data_main[Scenario],$B$3))</f>
        <v>251.13939576597593</v>
      </c>
      <c r="AN59" s="531">
        <f ca="1">IF($B$6="ON", IF(AN58&gt;=covid_start, IF(AN58&lt;covid_recovery,NA(),SUMIFS(INDIRECT("Data_main"&amp;"["&amp;AN$8&amp;"]"),Data_main[Data],$A59, Data_main[Segment],$B59, Data_main[Scenario],$B$3)),SUMIFS(INDIRECT("Data_main"&amp;"["&amp;AN$8&amp;"]"),Data_main[Data],$A59, Data_main[Segment],$B59, Data_main[Scenario],$B$3)),SUMIFS(INDIRECT("Data_main"&amp;"["&amp;AN$8&amp;"]"),Data_main[Data],$A59, Data_main[Segment],$B59, Data_main[Scenario],$B$3))</f>
        <v>249.90246960486684</v>
      </c>
      <c r="AO59" s="531">
        <f ca="1">IF($B$6="ON", IF(AO58&gt;=covid_start, IF(AO58&lt;covid_recovery,NA(),SUMIFS(INDIRECT("Data_main"&amp;"["&amp;AO$8&amp;"]"),Data_main[Data],$A59, Data_main[Segment],$B59, Data_main[Scenario],$B$3)),SUMIFS(INDIRECT("Data_main"&amp;"["&amp;AO$8&amp;"]"),Data_main[Data],$A59, Data_main[Segment],$B59, Data_main[Scenario],$B$3)),SUMIFS(INDIRECT("Data_main"&amp;"["&amp;AO$8&amp;"]"),Data_main[Data],$A59, Data_main[Segment],$B59, Data_main[Scenario],$B$3))</f>
        <v>0</v>
      </c>
      <c r="AP59" s="531">
        <f ca="1">IF($B$6="ON", IF(AP58&gt;=covid_start, IF(AP58&lt;covid_recovery,NA(),SUMIFS(INDIRECT("Data_main"&amp;"["&amp;AP$8&amp;"]"),Data_main[Data],$A59, Data_main[Segment],$B59, Data_main[Scenario],$B$3)),SUMIFS(INDIRECT("Data_main"&amp;"["&amp;AP$8&amp;"]"),Data_main[Data],$A59, Data_main[Segment],$B59, Data_main[Scenario],$B$3)),SUMIFS(INDIRECT("Data_main"&amp;"["&amp;AP$8&amp;"]"),Data_main[Data],$A59, Data_main[Segment],$B59, Data_main[Scenario],$B$3))</f>
        <v>0</v>
      </c>
      <c r="AQ59" s="531">
        <f ca="1">IF($B$6="ON", IF(AQ58&gt;=covid_start, IF(AQ58&lt;covid_recovery,NA(),SUMIFS(INDIRECT("Data_main"&amp;"["&amp;AQ$8&amp;"]"),Data_main[Data],$A59, Data_main[Segment],$B59, Data_main[Scenario],$B$3)),SUMIFS(INDIRECT("Data_main"&amp;"["&amp;AQ$8&amp;"]"),Data_main[Data],$A59, Data_main[Segment],$B59, Data_main[Scenario],$B$3)),SUMIFS(INDIRECT("Data_main"&amp;"["&amp;AQ$8&amp;"]"),Data_main[Data],$A59, Data_main[Segment],$B59, Data_main[Scenario],$B$3))</f>
        <v>0</v>
      </c>
      <c r="AR59" s="531">
        <f ca="1">IF($B$6="ON", IF(AR58&gt;=covid_start, IF(AR58&lt;covid_recovery,NA(),SUMIFS(INDIRECT("Data_main"&amp;"["&amp;AR$8&amp;"]"),Data_main[Data],$A59, Data_main[Segment],$B59, Data_main[Scenario],$B$3)),SUMIFS(INDIRECT("Data_main"&amp;"["&amp;AR$8&amp;"]"),Data_main[Data],$A59, Data_main[Segment],$B59, Data_main[Scenario],$B$3)),SUMIFS(INDIRECT("Data_main"&amp;"["&amp;AR$8&amp;"]"),Data_main[Data],$A59, Data_main[Segment],$B59, Data_main[Scenario],$B$3))</f>
        <v>0</v>
      </c>
      <c r="AS59" s="531">
        <f ca="1">IF($B$6="ON", IF(AS58&gt;=covid_start, IF(AS58&lt;covid_recovery,NA(),SUMIFS(INDIRECT("Data_main"&amp;"["&amp;AS$8&amp;"]"),Data_main[Data],$A59, Data_main[Segment],$B59, Data_main[Scenario],$B$3)),SUMIFS(INDIRECT("Data_main"&amp;"["&amp;AS$8&amp;"]"),Data_main[Data],$A59, Data_main[Segment],$B59, Data_main[Scenario],$B$3)),SUMIFS(INDIRECT("Data_main"&amp;"["&amp;AS$8&amp;"]"),Data_main[Data],$A59, Data_main[Segment],$B59, Data_main[Scenario],$B$3))</f>
        <v>0</v>
      </c>
      <c r="AT59" s="531">
        <f ca="1">IF($B$6="ON", IF(AT58&gt;=covid_start, IF(AT58&lt;covid_recovery,NA(),SUMIFS(INDIRECT("Data_main"&amp;"["&amp;AT$8&amp;"]"),Data_main[Data],$A59, Data_main[Segment],$B59, Data_main[Scenario],$B$3)),SUMIFS(INDIRECT("Data_main"&amp;"["&amp;AT$8&amp;"]"),Data_main[Data],$A59, Data_main[Segment],$B59, Data_main[Scenario],$B$3)),SUMIFS(INDIRECT("Data_main"&amp;"["&amp;AT$8&amp;"]"),Data_main[Data],$A59, Data_main[Segment],$B59, Data_main[Scenario],$B$3))</f>
        <v>0</v>
      </c>
      <c r="AU59" s="531">
        <f ca="1">IF($B$6="ON", IF(AU58&gt;=covid_start, IF(AU58&lt;covid_recovery,NA(),SUMIFS(INDIRECT("Data_main"&amp;"["&amp;AU$8&amp;"]"),Data_main[Data],$A59, Data_main[Segment],$B59, Data_main[Scenario],$B$3)),SUMIFS(INDIRECT("Data_main"&amp;"["&amp;AU$8&amp;"]"),Data_main[Data],$A59, Data_main[Segment],$B59, Data_main[Scenario],$B$3)),SUMIFS(INDIRECT("Data_main"&amp;"["&amp;AU$8&amp;"]"),Data_main[Data],$A59, Data_main[Segment],$B59, Data_main[Scenario],$B$3))</f>
        <v>0</v>
      </c>
      <c r="AV59" s="531">
        <f ca="1">IF($B$6="ON", IF(AV58&gt;=covid_start, IF(AV58&lt;covid_recovery,NA(),SUMIFS(INDIRECT("Data_main"&amp;"["&amp;AV$8&amp;"]"),Data_main[Data],$A59, Data_main[Segment],$B59, Data_main[Scenario],$B$3)),SUMIFS(INDIRECT("Data_main"&amp;"["&amp;AV$8&amp;"]"),Data_main[Data],$A59, Data_main[Segment],$B59, Data_main[Scenario],$B$3)),SUMIFS(INDIRECT("Data_main"&amp;"["&amp;AV$8&amp;"]"),Data_main[Data],$A59, Data_main[Segment],$B59, Data_main[Scenario],$B$3))</f>
        <v>0</v>
      </c>
      <c r="AW59" s="531">
        <f ca="1">IF($B$6="ON", IF(AW58&gt;=covid_start, IF(AW58&lt;covid_recovery,NA(),SUMIFS(INDIRECT("Data_main"&amp;"["&amp;AW$8&amp;"]"),Data_main[Data],$A59, Data_main[Segment],$B59, Data_main[Scenario],$B$3)),SUMIFS(INDIRECT("Data_main"&amp;"["&amp;AW$8&amp;"]"),Data_main[Data],$A59, Data_main[Segment],$B59, Data_main[Scenario],$B$3)),SUMIFS(INDIRECT("Data_main"&amp;"["&amp;AW$8&amp;"]"),Data_main[Data],$A59, Data_main[Segment],$B59, Data_main[Scenario],$B$3))</f>
        <v>0</v>
      </c>
      <c r="AX59" s="531">
        <f ca="1">IF($B$6="ON", IF(AX58&gt;=covid_start, IF(AX58&lt;covid_recovery,NA(),SUMIFS(INDIRECT("Data_main"&amp;"["&amp;AX$8&amp;"]"),Data_main[Data],$A59, Data_main[Segment],$B59, Data_main[Scenario],$B$3)),SUMIFS(INDIRECT("Data_main"&amp;"["&amp;AX$8&amp;"]"),Data_main[Data],$A59, Data_main[Segment],$B59, Data_main[Scenario],$B$3)),SUMIFS(INDIRECT("Data_main"&amp;"["&amp;AX$8&amp;"]"),Data_main[Data],$A59, Data_main[Segment],$B59, Data_main[Scenario],$B$3))</f>
        <v>0</v>
      </c>
      <c r="AY59" s="531">
        <f ca="1">IF($B$6="ON", IF(AY58&gt;=covid_start, IF(AY58&lt;covid_recovery,NA(),SUMIFS(INDIRECT("Data_main"&amp;"["&amp;AY$8&amp;"]"),Data_main[Data],$A59, Data_main[Segment],$B59, Data_main[Scenario],$B$3)),SUMIFS(INDIRECT("Data_main"&amp;"["&amp;AY$8&amp;"]"),Data_main[Data],$A59, Data_main[Segment],$B59, Data_main[Scenario],$B$3)),SUMIFS(INDIRECT("Data_main"&amp;"["&amp;AY$8&amp;"]"),Data_main[Data],$A59, Data_main[Segment],$B59, Data_main[Scenario],$B$3))</f>
        <v>0</v>
      </c>
      <c r="AZ59" s="531">
        <f ca="1">IF($B$6="ON", IF(AZ58&gt;=covid_start, IF(AZ58&lt;covid_recovery,NA(),SUMIFS(INDIRECT("Data_main"&amp;"["&amp;AZ$8&amp;"]"),Data_main[Data],$A59, Data_main[Segment],$B59, Data_main[Scenario],$B$3)),SUMIFS(INDIRECT("Data_main"&amp;"["&amp;AZ$8&amp;"]"),Data_main[Data],$A59, Data_main[Segment],$B59, Data_main[Scenario],$B$3)),SUMIFS(INDIRECT("Data_main"&amp;"["&amp;AZ$8&amp;"]"),Data_main[Data],$A59, Data_main[Segment],$B59, Data_main[Scenario],$B$3))</f>
        <v>0</v>
      </c>
      <c r="BA59" s="531">
        <f ca="1">IF($B$6="ON", IF(BA58&gt;=covid_start, IF(BA58&lt;covid_recovery,NA(),SUMIFS(INDIRECT("Data_main"&amp;"["&amp;BA$8&amp;"]"),Data_main[Data],$A59, Data_main[Segment],$B59, Data_main[Scenario],$B$3)),SUMIFS(INDIRECT("Data_main"&amp;"["&amp;BA$8&amp;"]"),Data_main[Data],$A59, Data_main[Segment],$B59, Data_main[Scenario],$B$3)),SUMIFS(INDIRECT("Data_main"&amp;"["&amp;BA$8&amp;"]"),Data_main[Data],$A59, Data_main[Segment],$B59, Data_main[Scenario],$B$3))</f>
        <v>0</v>
      </c>
      <c r="BB59" s="531">
        <f ca="1">IF($B$6="ON", IF(BB58&gt;=covid_start, IF(BB58&lt;covid_recovery,NA(),SUMIFS(INDIRECT("Data_main"&amp;"["&amp;BB$8&amp;"]"),Data_main[Data],$A59, Data_main[Segment],$B59, Data_main[Scenario],$B$3)),SUMIFS(INDIRECT("Data_main"&amp;"["&amp;BB$8&amp;"]"),Data_main[Data],$A59, Data_main[Segment],$B59, Data_main[Scenario],$B$3)),SUMIFS(INDIRECT("Data_main"&amp;"["&amp;BB$8&amp;"]"),Data_main[Data],$A59, Data_main[Segment],$B59, Data_main[Scenario],$B$3))</f>
        <v>0</v>
      </c>
      <c r="BC59" s="531">
        <f ca="1">IF($B$6="ON", IF(BC58&gt;=covid_start, IF(BC58&lt;covid_recovery,NA(),SUMIFS(INDIRECT("Data_main"&amp;"["&amp;BC$8&amp;"]"),Data_main[Data],$A59, Data_main[Segment],$B59, Data_main[Scenario],$B$3)),SUMIFS(INDIRECT("Data_main"&amp;"["&amp;BC$8&amp;"]"),Data_main[Data],$A59, Data_main[Segment],$B59, Data_main[Scenario],$B$3)),SUMIFS(INDIRECT("Data_main"&amp;"["&amp;BC$8&amp;"]"),Data_main[Data],$A59, Data_main[Segment],$B59, Data_main[Scenario],$B$3))</f>
        <v>0</v>
      </c>
      <c r="BD59" s="531">
        <f ca="1">IF($B$6="ON", IF(BD58&gt;=covid_start, IF(BD58&lt;covid_recovery,NA(),SUMIFS(INDIRECT("Data_main"&amp;"["&amp;BD$8&amp;"]"),Data_main[Data],$A59, Data_main[Segment],$B59, Data_main[Scenario],$B$3)),SUMIFS(INDIRECT("Data_main"&amp;"["&amp;BD$8&amp;"]"),Data_main[Data],$A59, Data_main[Segment],$B59, Data_main[Scenario],$B$3)),SUMIFS(INDIRECT("Data_main"&amp;"["&amp;BD$8&amp;"]"),Data_main[Data],$A59, Data_main[Segment],$B59, Data_main[Scenario],$B$3))</f>
        <v>0</v>
      </c>
      <c r="BE59" s="531">
        <f ca="1">IF($B$6="ON", IF(BE58&gt;=covid_start, IF(BE58&lt;covid_recovery,NA(),SUMIFS(INDIRECT("Data_main"&amp;"["&amp;BE$8&amp;"]"),Data_main[Data],$A59, Data_main[Segment],$B59, Data_main[Scenario],$B$3)),SUMIFS(INDIRECT("Data_main"&amp;"["&amp;BE$8&amp;"]"),Data_main[Data],$A59, Data_main[Segment],$B59, Data_main[Scenario],$B$3)),SUMIFS(INDIRECT("Data_main"&amp;"["&amp;BE$8&amp;"]"),Data_main[Data],$A59, Data_main[Segment],$B59, Data_main[Scenario],$B$3))</f>
        <v>0</v>
      </c>
      <c r="BF59" s="531">
        <f ca="1">IF($B$6="ON", IF(BF58&gt;=covid_start, IF(BF58&lt;covid_recovery,NA(),SUMIFS(INDIRECT("Data_main"&amp;"["&amp;BF$8&amp;"]"),Data_main[Data],$A59, Data_main[Segment],$B59, Data_main[Scenario],$B$3)),SUMIFS(INDIRECT("Data_main"&amp;"["&amp;BF$8&amp;"]"),Data_main[Data],$A59, Data_main[Segment],$B59, Data_main[Scenario],$B$3)),SUMIFS(INDIRECT("Data_main"&amp;"["&amp;BF$8&amp;"]"),Data_main[Data],$A59, Data_main[Segment],$B59, Data_main[Scenario],$B$3))</f>
        <v>0</v>
      </c>
      <c r="BG59" s="531">
        <f ca="1">IF($B$6="ON", IF(BG58&gt;=covid_start, IF(BG58&lt;covid_recovery,NA(),SUMIFS(INDIRECT("Data_main"&amp;"["&amp;BG$8&amp;"]"),Data_main[Data],$A59, Data_main[Segment],$B59, Data_main[Scenario],$B$3)),SUMIFS(INDIRECT("Data_main"&amp;"["&amp;BG$8&amp;"]"),Data_main[Data],$A59, Data_main[Segment],$B59, Data_main[Scenario],$B$3)),SUMIFS(INDIRECT("Data_main"&amp;"["&amp;BG$8&amp;"]"),Data_main[Data],$A59, Data_main[Segment],$B59, Data_main[Scenario],$B$3))</f>
        <v>0</v>
      </c>
      <c r="BH59" s="531">
        <f ca="1">IF($B$6="ON", IF(BH58&gt;=covid_start, IF(BH58&lt;covid_recovery,NA(),SUMIFS(INDIRECT("Data_main"&amp;"["&amp;BH$8&amp;"]"),Data_main[Data],$A59, Data_main[Segment],$B59, Data_main[Scenario],$B$3)),SUMIFS(INDIRECT("Data_main"&amp;"["&amp;BH$8&amp;"]"),Data_main[Data],$A59, Data_main[Segment],$B59, Data_main[Scenario],$B$3)),SUMIFS(INDIRECT("Data_main"&amp;"["&amp;BH$8&amp;"]"),Data_main[Data],$A59, Data_main[Segment],$B59, Data_main[Scenario],$B$3))</f>
        <v>0</v>
      </c>
      <c r="BI59" s="531">
        <f ca="1">IF($B$6="ON", IF(BI58&gt;=covid_start, IF(BI58&lt;covid_recovery,NA(),SUMIFS(INDIRECT("Data_main"&amp;"["&amp;BI$8&amp;"]"),Data_main[Data],$A59, Data_main[Segment],$B59, Data_main[Scenario],$B$3)),SUMIFS(INDIRECT("Data_main"&amp;"["&amp;BI$8&amp;"]"),Data_main[Data],$A59, Data_main[Segment],$B59, Data_main[Scenario],$B$3)),SUMIFS(INDIRECT("Data_main"&amp;"["&amp;BI$8&amp;"]"),Data_main[Data],$A59, Data_main[Segment],$B59, Data_main[Scenario],$B$3))</f>
        <v>0</v>
      </c>
      <c r="BJ59" s="531">
        <f ca="1">IF($B$6="ON", IF(BJ58&gt;=covid_start, IF(BJ58&lt;covid_recovery,NA(),SUMIFS(INDIRECT("Data_main"&amp;"["&amp;BJ$8&amp;"]"),Data_main[Data],$A59, Data_main[Segment],$B59, Data_main[Scenario],$B$3)),SUMIFS(INDIRECT("Data_main"&amp;"["&amp;BJ$8&amp;"]"),Data_main[Data],$A59, Data_main[Segment],$B59, Data_main[Scenario],$B$3)),SUMIFS(INDIRECT("Data_main"&amp;"["&amp;BJ$8&amp;"]"),Data_main[Data],$A59, Data_main[Segment],$B59, Data_main[Scenario],$B$3))</f>
        <v>0</v>
      </c>
      <c r="BK59" s="531">
        <f ca="1">IF($B$6="ON", IF(BK58&gt;=covid_start, IF(BK58&lt;covid_recovery,NA(),SUMIFS(INDIRECT("Data_main"&amp;"["&amp;BK$8&amp;"]"),Data_main[Data],$A59, Data_main[Segment],$B59, Data_main[Scenario],$B$3)),SUMIFS(INDIRECT("Data_main"&amp;"["&amp;BK$8&amp;"]"),Data_main[Data],$A59, Data_main[Segment],$B59, Data_main[Scenario],$B$3)),SUMIFS(INDIRECT("Data_main"&amp;"["&amp;BK$8&amp;"]"),Data_main[Data],$A59, Data_main[Segment],$B59, Data_main[Scenario],$B$3))</f>
        <v>0</v>
      </c>
      <c r="BL59" s="531">
        <f ca="1">IF($B$6="ON", IF(BL58&gt;=covid_start, IF(BL58&lt;covid_recovery,NA(),SUMIFS(INDIRECT("Data_main"&amp;"["&amp;BL$8&amp;"]"),Data_main[Data],$A59, Data_main[Segment],$B59, Data_main[Scenario],$B$3)),SUMIFS(INDIRECT("Data_main"&amp;"["&amp;BL$8&amp;"]"),Data_main[Data],$A59, Data_main[Segment],$B59, Data_main[Scenario],$B$3)),SUMIFS(INDIRECT("Data_main"&amp;"["&amp;BL$8&amp;"]"),Data_main[Data],$A59, Data_main[Segment],$B59, Data_main[Scenario],$B$3))</f>
        <v>0</v>
      </c>
      <c r="BM59" s="531">
        <f ca="1">IF($B$6="ON", IF(BM58&gt;=covid_start, IF(BM58&lt;covid_recovery,NA(),SUMIFS(INDIRECT("Data_main"&amp;"["&amp;BM$8&amp;"]"),Data_main[Data],$A59, Data_main[Segment],$B59, Data_main[Scenario],$B$3)),SUMIFS(INDIRECT("Data_main"&amp;"["&amp;BM$8&amp;"]"),Data_main[Data],$A59, Data_main[Segment],$B59, Data_main[Scenario],$B$3)),SUMIFS(INDIRECT("Data_main"&amp;"["&amp;BM$8&amp;"]"),Data_main[Data],$A59, Data_main[Segment],$B59, Data_main[Scenario],$B$3))</f>
        <v>0</v>
      </c>
      <c r="BN59" s="531">
        <f ca="1">IF($B$6="ON", IF(BN58&gt;=covid_start, IF(BN58&lt;covid_recovery,NA(),SUMIFS(INDIRECT("Data_main"&amp;"["&amp;BN$8&amp;"]"),Data_main[Data],$A59, Data_main[Segment],$B59, Data_main[Scenario],$B$3)),SUMIFS(INDIRECT("Data_main"&amp;"["&amp;BN$8&amp;"]"),Data_main[Data],$A59, Data_main[Segment],$B59, Data_main[Scenario],$B$3)),SUMIFS(INDIRECT("Data_main"&amp;"["&amp;BN$8&amp;"]"),Data_main[Data],$A59, Data_main[Segment],$B59, Data_main[Scenario],$B$3))</f>
        <v>0</v>
      </c>
      <c r="BO59" s="531">
        <f ca="1">IF($B$6="ON", IF(BO58&gt;=covid_start, IF(BO58&lt;covid_recovery,NA(),SUMIFS(INDIRECT("Data_main"&amp;"["&amp;BO$8&amp;"]"),Data_main[Data],$A59, Data_main[Segment],$B59, Data_main[Scenario],$B$3)),SUMIFS(INDIRECT("Data_main"&amp;"["&amp;BO$8&amp;"]"),Data_main[Data],$A59, Data_main[Segment],$B59, Data_main[Scenario],$B$3)),SUMIFS(INDIRECT("Data_main"&amp;"["&amp;BO$8&amp;"]"),Data_main[Data],$A59, Data_main[Segment],$B59, Data_main[Scenario],$B$3))</f>
        <v>0</v>
      </c>
      <c r="BP59" s="531">
        <f ca="1">IF($B$6="ON", IF(BP58&gt;=covid_start, IF(BP58&lt;covid_recovery,NA(),SUMIFS(INDIRECT("Data_main"&amp;"["&amp;BP$8&amp;"]"),Data_main[Data],$A59, Data_main[Segment],$B59, Data_main[Scenario],$B$3)),SUMIFS(INDIRECT("Data_main"&amp;"["&amp;BP$8&amp;"]"),Data_main[Data],$A59, Data_main[Segment],$B59, Data_main[Scenario],$B$3)),SUMIFS(INDIRECT("Data_main"&amp;"["&amp;BP$8&amp;"]"),Data_main[Data],$A59, Data_main[Segment],$B59, Data_main[Scenario],$B$3))</f>
        <v>0</v>
      </c>
      <c r="BQ59" s="531">
        <f ca="1">IF($B$6="ON", IF(BQ58&gt;=covid_start, IF(BQ58&lt;covid_recovery,NA(),SUMIFS(INDIRECT("Data_main"&amp;"["&amp;BQ$8&amp;"]"),Data_main[Data],$A59, Data_main[Segment],$B59, Data_main[Scenario],$B$3)),SUMIFS(INDIRECT("Data_main"&amp;"["&amp;BQ$8&amp;"]"),Data_main[Data],$A59, Data_main[Segment],$B59, Data_main[Scenario],$B$3)),SUMIFS(INDIRECT("Data_main"&amp;"["&amp;BQ$8&amp;"]"),Data_main[Data],$A59, Data_main[Segment],$B59, Data_main[Scenario],$B$3))</f>
        <v>0</v>
      </c>
      <c r="BR59" s="531">
        <f ca="1">IF($B$6="ON", IF(BR58&gt;=covid_start, IF(BR58&lt;covid_recovery,NA(),SUMIFS(INDIRECT("Data_main"&amp;"["&amp;BR$8&amp;"]"),Data_main[Data],$A59, Data_main[Segment],$B59, Data_main[Scenario],$B$3)),SUMIFS(INDIRECT("Data_main"&amp;"["&amp;BR$8&amp;"]"),Data_main[Data],$A59, Data_main[Segment],$B59, Data_main[Scenario],$B$3)),SUMIFS(INDIRECT("Data_main"&amp;"["&amp;BR$8&amp;"]"),Data_main[Data],$A59, Data_main[Segment],$B59, Data_main[Scenario],$B$3))</f>
        <v>0</v>
      </c>
      <c r="BS59" s="531">
        <f ca="1">IF($B$6="ON", IF(BS58&gt;=covid_start, IF(BS58&lt;covid_recovery,NA(),SUMIFS(INDIRECT("Data_main"&amp;"["&amp;BS$8&amp;"]"),Data_main[Data],$A59, Data_main[Segment],$B59, Data_main[Scenario],$B$3)),SUMIFS(INDIRECT("Data_main"&amp;"["&amp;BS$8&amp;"]"),Data_main[Data],$A59, Data_main[Segment],$B59, Data_main[Scenario],$B$3)),SUMIFS(INDIRECT("Data_main"&amp;"["&amp;BS$8&amp;"]"),Data_main[Data],$A59, Data_main[Segment],$B59, Data_main[Scenario],$B$3))</f>
        <v>0</v>
      </c>
      <c r="BT59" s="531">
        <f ca="1">IF($B$6="ON", IF(BT58&gt;=covid_start, IF(BT58&lt;covid_recovery,NA(),SUMIFS(INDIRECT("Data_main"&amp;"["&amp;BT$8&amp;"]"),Data_main[Data],$A59, Data_main[Segment],$B59, Data_main[Scenario],$B$3)),SUMIFS(INDIRECT("Data_main"&amp;"["&amp;BT$8&amp;"]"),Data_main[Data],$A59, Data_main[Segment],$B59, Data_main[Scenario],$B$3)),SUMIFS(INDIRECT("Data_main"&amp;"["&amp;BT$8&amp;"]"),Data_main[Data],$A59, Data_main[Segment],$B59, Data_main[Scenario],$B$3))</f>
        <v>0</v>
      </c>
      <c r="BU59" s="531">
        <f ca="1">IF($B$6="ON", IF(BU58&gt;=covid_start, IF(BU58&lt;covid_recovery,NA(),SUMIFS(INDIRECT("Data_main"&amp;"["&amp;BU$8&amp;"]"),Data_main[Data],$A59, Data_main[Segment],$B59, Data_main[Scenario],$B$3)),SUMIFS(INDIRECT("Data_main"&amp;"["&amp;BU$8&amp;"]"),Data_main[Data],$A59, Data_main[Segment],$B59, Data_main[Scenario],$B$3)),SUMIFS(INDIRECT("Data_main"&amp;"["&amp;BU$8&amp;"]"),Data_main[Data],$A59, Data_main[Segment],$B59, Data_main[Scenario],$B$3))</f>
        <v>0</v>
      </c>
      <c r="BV59" s="531">
        <f ca="1">IF($B$6="ON", IF(BV58&gt;=covid_start, IF(BV58&lt;covid_recovery,NA(),SUMIFS(INDIRECT("Data_main"&amp;"["&amp;BV$8&amp;"]"),Data_main[Data],$A59, Data_main[Segment],$B59, Data_main[Scenario],$B$3)),SUMIFS(INDIRECT("Data_main"&amp;"["&amp;BV$8&amp;"]"),Data_main[Data],$A59, Data_main[Segment],$B59, Data_main[Scenario],$B$3)),SUMIFS(INDIRECT("Data_main"&amp;"["&amp;BV$8&amp;"]"),Data_main[Data],$A59, Data_main[Segment],$B59, Data_main[Scenario],$B$3))</f>
        <v>0</v>
      </c>
      <c r="BW59" s="531">
        <f ca="1">IF($B$6="ON", IF(BW58&gt;=covid_start, IF(BW58&lt;covid_recovery,NA(),SUMIFS(INDIRECT("Data_main"&amp;"["&amp;BW$8&amp;"]"),Data_main[Data],$A59, Data_main[Segment],$B59, Data_main[Scenario],$B$3)),SUMIFS(INDIRECT("Data_main"&amp;"["&amp;BW$8&amp;"]"),Data_main[Data],$A59, Data_main[Segment],$B59, Data_main[Scenario],$B$3)),SUMIFS(INDIRECT("Data_main"&amp;"["&amp;BW$8&amp;"]"),Data_main[Data],$A59, Data_main[Segment],$B59, Data_main[Scenario],$B$3))</f>
        <v>0</v>
      </c>
      <c r="BX59" s="531">
        <f ca="1">IF($B$6="ON", IF(BX58&gt;=covid_start, IF(BX58&lt;covid_recovery,NA(),SUMIFS(INDIRECT("Data_main"&amp;"["&amp;BX$8&amp;"]"),Data_main[Data],$A59, Data_main[Segment],$B59, Data_main[Scenario],$B$3)),SUMIFS(INDIRECT("Data_main"&amp;"["&amp;BX$8&amp;"]"),Data_main[Data],$A59, Data_main[Segment],$B59, Data_main[Scenario],$B$3)),SUMIFS(INDIRECT("Data_main"&amp;"["&amp;BX$8&amp;"]"),Data_main[Data],$A59, Data_main[Segment],$B59, Data_main[Scenario],$B$3))</f>
        <v>0</v>
      </c>
      <c r="BY59" s="531">
        <f ca="1">IF($B$6="ON", IF(BY58&gt;=covid_start, IF(BY58&lt;covid_recovery,NA(),SUMIFS(INDIRECT("Data_main"&amp;"["&amp;BY$8&amp;"]"),Data_main[Data],$A59, Data_main[Segment],$B59, Data_main[Scenario],$B$3)),SUMIFS(INDIRECT("Data_main"&amp;"["&amp;BY$8&amp;"]"),Data_main[Data],$A59, Data_main[Segment],$B59, Data_main[Scenario],$B$3)),SUMIFS(INDIRECT("Data_main"&amp;"["&amp;BY$8&amp;"]"),Data_main[Data],$A59, Data_main[Segment],$B59, Data_main[Scenario],$B$3))</f>
        <v>0</v>
      </c>
      <c r="BZ59" s="531">
        <f ca="1">IF($B$6="ON", IF(BZ58&gt;=covid_start, IF(BZ58&lt;covid_recovery,NA(),SUMIFS(INDIRECT("Data_main"&amp;"["&amp;BZ$8&amp;"]"),Data_main[Data],$A59, Data_main[Segment],$B59, Data_main[Scenario],$B$3)),SUMIFS(INDIRECT("Data_main"&amp;"["&amp;BZ$8&amp;"]"),Data_main[Data],$A59, Data_main[Segment],$B59, Data_main[Scenario],$B$3)),SUMIFS(INDIRECT("Data_main"&amp;"["&amp;BZ$8&amp;"]"),Data_main[Data],$A59, Data_main[Segment],$B59, Data_main[Scenario],$B$3))</f>
        <v>0</v>
      </c>
      <c r="CA59" s="531">
        <f ca="1">IF($B$6="ON", IF(CA58&gt;=covid_start, IF(CA58&lt;covid_recovery,NA(),SUMIFS(INDIRECT("Data_main"&amp;"["&amp;CA$8&amp;"]"),Data_main[Data],$A59, Data_main[Segment],$B59, Data_main[Scenario],$B$3)),SUMIFS(INDIRECT("Data_main"&amp;"["&amp;CA$8&amp;"]"),Data_main[Data],$A59, Data_main[Segment],$B59, Data_main[Scenario],$B$3)),SUMIFS(INDIRECT("Data_main"&amp;"["&amp;CA$8&amp;"]"),Data_main[Data],$A59, Data_main[Segment],$B59, Data_main[Scenario],$B$3))</f>
        <v>0</v>
      </c>
      <c r="CB59" s="531">
        <f ca="1">IF($B$6="ON", IF(CB58&gt;=covid_start, IF(CB58&lt;covid_recovery,NA(),SUMIFS(INDIRECT("Data_main"&amp;"["&amp;CB$8&amp;"]"),Data_main[Data],$A59, Data_main[Segment],$B59, Data_main[Scenario],$B$3)),SUMIFS(INDIRECT("Data_main"&amp;"["&amp;CB$8&amp;"]"),Data_main[Data],$A59, Data_main[Segment],$B59, Data_main[Scenario],$B$3)),SUMIFS(INDIRECT("Data_main"&amp;"["&amp;CB$8&amp;"]"),Data_main[Data],$A59, Data_main[Segment],$B59, Data_main[Scenario],$B$3))</f>
        <v>0</v>
      </c>
      <c r="CC59" s="531">
        <f ca="1">IF($B$6="ON", IF(CC58&gt;=covid_start, IF(CC58&lt;covid_recovery,NA(),SUMIFS(INDIRECT("Data_main"&amp;"["&amp;CC$8&amp;"]"),Data_main[Data],$A59, Data_main[Segment],$B59, Data_main[Scenario],$B$3)),SUMIFS(INDIRECT("Data_main"&amp;"["&amp;CC$8&amp;"]"),Data_main[Data],$A59, Data_main[Segment],$B59, Data_main[Scenario],$B$3)),SUMIFS(INDIRECT("Data_main"&amp;"["&amp;CC$8&amp;"]"),Data_main[Data],$A59, Data_main[Segment],$B59, Data_main[Scenario],$B$3))</f>
        <v>0</v>
      </c>
      <c r="CD59" s="531">
        <f ca="1">IF($B$6="ON", IF(CD58&gt;=covid_start, IF(CD58&lt;covid_recovery,NA(),SUMIFS(INDIRECT("Data_main"&amp;"["&amp;CD$8&amp;"]"),Data_main[Data],$A59, Data_main[Segment],$B59, Data_main[Scenario],$B$3)),SUMIFS(INDIRECT("Data_main"&amp;"["&amp;CD$8&amp;"]"),Data_main[Data],$A59, Data_main[Segment],$B59, Data_main[Scenario],$B$3)),SUMIFS(INDIRECT("Data_main"&amp;"["&amp;CD$8&amp;"]"),Data_main[Data],$A59, Data_main[Segment],$B59, Data_main[Scenario],$B$3))</f>
        <v>0</v>
      </c>
      <c r="CE59" s="531">
        <f ca="1">IF($B$6="ON", IF(CE58&gt;=covid_start, IF(CE58&lt;covid_recovery,NA(),SUMIFS(INDIRECT("Data_main"&amp;"["&amp;CE$8&amp;"]"),Data_main[Data],$A59, Data_main[Segment],$B59, Data_main[Scenario],$B$3)),SUMIFS(INDIRECT("Data_main"&amp;"["&amp;CE$8&amp;"]"),Data_main[Data],$A59, Data_main[Segment],$B59, Data_main[Scenario],$B$3)),SUMIFS(INDIRECT("Data_main"&amp;"["&amp;CE$8&amp;"]"),Data_main[Data],$A59, Data_main[Segment],$B59, Data_main[Scenario],$B$3))</f>
        <v>0</v>
      </c>
      <c r="CF59" s="531">
        <f ca="1">IF($B$6="ON", IF(CF58&gt;=covid_start, IF(CF58&lt;covid_recovery,NA(),SUMIFS(INDIRECT("Data_main"&amp;"["&amp;CF$8&amp;"]"),Data_main[Data],$A59, Data_main[Segment],$B59, Data_main[Scenario],$B$3)),SUMIFS(INDIRECT("Data_main"&amp;"["&amp;CF$8&amp;"]"),Data_main[Data],$A59, Data_main[Segment],$B59, Data_main[Scenario],$B$3)),SUMIFS(INDIRECT("Data_main"&amp;"["&amp;CF$8&amp;"]"),Data_main[Data],$A59, Data_main[Segment],$B59, Data_main[Scenario],$B$3))</f>
        <v>0</v>
      </c>
      <c r="CG59" s="531">
        <f ca="1">IF($B$6="ON", IF(CG58&gt;=covid_start, IF(CG58&lt;covid_recovery,NA(),SUMIFS(INDIRECT("Data_main"&amp;"["&amp;CG$8&amp;"]"),Data_main[Data],$A59, Data_main[Segment],$B59, Data_main[Scenario],$B$3)),SUMIFS(INDIRECT("Data_main"&amp;"["&amp;CG$8&amp;"]"),Data_main[Data],$A59, Data_main[Segment],$B59, Data_main[Scenario],$B$3)),SUMIFS(INDIRECT("Data_main"&amp;"["&amp;CG$8&amp;"]"),Data_main[Data],$A59, Data_main[Segment],$B59, Data_main[Scenario],$B$3))</f>
        <v>0</v>
      </c>
      <c r="CH59" s="531">
        <f ca="1">IF($B$6="ON", IF(CH58&gt;=covid_start, IF(CH58&lt;covid_recovery,NA(),SUMIFS(INDIRECT("Data_main"&amp;"["&amp;CH$8&amp;"]"),Data_main[Data],$A59, Data_main[Segment],$B59, Data_main[Scenario],$B$3)),SUMIFS(INDIRECT("Data_main"&amp;"["&amp;CH$8&amp;"]"),Data_main[Data],$A59, Data_main[Segment],$B59, Data_main[Scenario],$B$3)),SUMIFS(INDIRECT("Data_main"&amp;"["&amp;CH$8&amp;"]"),Data_main[Data],$A59, Data_main[Segment],$B59, Data_main[Scenario],$B$3))</f>
        <v>0</v>
      </c>
      <c r="CI59" s="531">
        <f ca="1">IF($B$6="ON", IF(CI58&gt;=covid_start, IF(CI58&lt;covid_recovery,NA(),SUMIFS(INDIRECT("Data_main"&amp;"["&amp;CI$8&amp;"]"),Data_main[Data],$A59, Data_main[Segment],$B59, Data_main[Scenario],$B$3)),SUMIFS(INDIRECT("Data_main"&amp;"["&amp;CI$8&amp;"]"),Data_main[Data],$A59, Data_main[Segment],$B59, Data_main[Scenario],$B$3)),SUMIFS(INDIRECT("Data_main"&amp;"["&amp;CI$8&amp;"]"),Data_main[Data],$A59, Data_main[Segment],$B59, Data_main[Scenario],$B$3))</f>
        <v>0</v>
      </c>
      <c r="CJ59" s="531">
        <f ca="1">IF($B$6="ON", IF(CJ58&gt;=covid_start, IF(CJ58&lt;covid_recovery,NA(),SUMIFS(INDIRECT("Data_main"&amp;"["&amp;CJ$8&amp;"]"),Data_main[Data],$A59, Data_main[Segment],$B59, Data_main[Scenario],$B$3)),SUMIFS(INDIRECT("Data_main"&amp;"["&amp;CJ$8&amp;"]"),Data_main[Data],$A59, Data_main[Segment],$B59, Data_main[Scenario],$B$3)),SUMIFS(INDIRECT("Data_main"&amp;"["&amp;CJ$8&amp;"]"),Data_main[Data],$A59, Data_main[Segment],$B59, Data_main[Scenario],$B$3))</f>
        <v>0</v>
      </c>
      <c r="CK59" s="531">
        <f ca="1">IF($B$6="ON", IF(CK58&gt;=covid_start, IF(CK58&lt;covid_recovery,NA(),SUMIFS(INDIRECT("Data_main"&amp;"["&amp;CK$8&amp;"]"),Data_main[Data],$A59, Data_main[Segment],$B59, Data_main[Scenario],$B$3)),SUMIFS(INDIRECT("Data_main"&amp;"["&amp;CK$8&amp;"]"),Data_main[Data],$A59, Data_main[Segment],$B59, Data_main[Scenario],$B$3)),SUMIFS(INDIRECT("Data_main"&amp;"["&amp;CK$8&amp;"]"),Data_main[Data],$A59, Data_main[Segment],$B59, Data_main[Scenario],$B$3))</f>
        <v>0</v>
      </c>
      <c r="CL59" s="531">
        <f ca="1">IF($B$6="ON", IF(CL58&gt;=covid_start, IF(CL58&lt;covid_recovery,NA(),SUMIFS(INDIRECT("Data_main"&amp;"["&amp;CL$8&amp;"]"),Data_main[Data],$A59, Data_main[Segment],$B59, Data_main[Scenario],$B$3)),SUMIFS(INDIRECT("Data_main"&amp;"["&amp;CL$8&amp;"]"),Data_main[Data],$A59, Data_main[Segment],$B59, Data_main[Scenario],$B$3)),SUMIFS(INDIRECT("Data_main"&amp;"["&amp;CL$8&amp;"]"),Data_main[Data],$A59, Data_main[Segment],$B59, Data_main[Scenario],$B$3))</f>
        <v>0</v>
      </c>
      <c r="CN59" s="613">
        <f ca="1">IFERROR((Y59/H59)^(1/17)-1,"")</f>
        <v>-4.3894973452969221E-3</v>
      </c>
      <c r="CO59" s="613">
        <f ca="1">IFERROR((AN59/Y59)^(1/15)-1,"")</f>
        <v>-6.9993037866263874E-3</v>
      </c>
      <c r="CP59" s="613">
        <f ca="1">IFERROR((AN59/H59)^(1/32)-1,"")</f>
        <v>-5.6136970556908139E-3</v>
      </c>
    </row>
    <row r="60" spans="1:94" outlineLevel="1">
      <c r="A60" s="532" t="s">
        <v>157</v>
      </c>
      <c r="B60" s="532" t="str">
        <f t="shared" ref="B60:B61" si="160">$A$58</f>
        <v>Pax-short</v>
      </c>
      <c r="C60" s="533" t="s">
        <v>332</v>
      </c>
      <c r="D60" s="530"/>
      <c r="E60" s="531">
        <f ca="1">IF($B$6="ON", IF(E58&gt;=covid_start, IF(E58&lt;covid_recovery,NA(),SUMIFS(INDIRECT("Data_main"&amp;"["&amp;E$8&amp;"]"),Data_main[Data],$A60, Data_main[Segment],$B60, Data_main[Scenario],$B$3)),SUMIFS(INDIRECT("Data_main"&amp;"["&amp;E$8&amp;"]"),Data_main[Data],$A60, Data_main[Segment],$B60, Data_main[Scenario],$B$3)),SUMIFS(INDIRECT("Data_main"&amp;"["&amp;E$8&amp;"]"),Data_main[Data],$A60, Data_main[Segment],$B60, Data_main[Scenario],$B$3))</f>
        <v>184.59780180725991</v>
      </c>
      <c r="F60" s="531">
        <f ca="1">IF($B$6="ON", IF(F58&gt;=covid_start, IF(F58&lt;covid_recovery,NA(),SUMIFS(INDIRECT("Data_main"&amp;"["&amp;F$8&amp;"]"),Data_main[Data],$A60, Data_main[Segment],$B60, Data_main[Scenario],$B$3)),SUMIFS(INDIRECT("Data_main"&amp;"["&amp;F$8&amp;"]"),Data_main[Data],$A60, Data_main[Segment],$B60, Data_main[Scenario],$B$3)),SUMIFS(INDIRECT("Data_main"&amp;"["&amp;F$8&amp;"]"),Data_main[Data],$A60, Data_main[Segment],$B60, Data_main[Scenario],$B$3))</f>
        <v>198.00740206971611</v>
      </c>
      <c r="G60" s="531">
        <f ca="1">IF($B$6="ON", IF(G58&gt;=covid_start, IF(G58&lt;covid_recovery,NA(),SUMIFS(INDIRECT("Data_main"&amp;"["&amp;G$8&amp;"]"),Data_main[Data],$A60, Data_main[Segment],$B60, Data_main[Scenario],$B$3)),SUMIFS(INDIRECT("Data_main"&amp;"["&amp;G$8&amp;"]"),Data_main[Data],$A60, Data_main[Segment],$B60, Data_main[Scenario],$B$3)),SUMIFS(INDIRECT("Data_main"&amp;"["&amp;G$8&amp;"]"),Data_main[Data],$A60, Data_main[Segment],$B60, Data_main[Scenario],$B$3))</f>
        <v>211.4170023321723</v>
      </c>
      <c r="H60" s="531">
        <f ca="1">IF($B$6="ON", IF(H58&gt;=covid_start, IF(H58&lt;covid_recovery,NA(),SUMIFS(INDIRECT("Data_main"&amp;"["&amp;H$8&amp;"]"),Data_main[Data],$A60, Data_main[Segment],$B60, Data_main[Scenario],$B$3)),SUMIFS(INDIRECT("Data_main"&amp;"["&amp;H$8&amp;"]"),Data_main[Data],$A60, Data_main[Segment],$B60, Data_main[Scenario],$B$3)),SUMIFS(INDIRECT("Data_main"&amp;"["&amp;H$8&amp;"]"),Data_main[Data],$A60, Data_main[Segment],$B60, Data_main[Scenario],$B$3))</f>
        <v>224.82660259462847</v>
      </c>
      <c r="I60" s="531">
        <f ca="1">IF($B$6="ON", IF(I58&gt;=covid_start, IF(I58&lt;covid_recovery,NA(),SUMIFS(INDIRECT("Data_main"&amp;"["&amp;I$8&amp;"]"),Data_main[Data],$A60, Data_main[Segment],$B60, Data_main[Scenario],$B$3)),SUMIFS(INDIRECT("Data_main"&amp;"["&amp;I$8&amp;"]"),Data_main[Data],$A60, Data_main[Segment],$B60, Data_main[Scenario],$B$3)),SUMIFS(INDIRECT("Data_main"&amp;"["&amp;I$8&amp;"]"),Data_main[Data],$A60, Data_main[Segment],$B60, Data_main[Scenario],$B$3))</f>
        <v>235.1940156949546</v>
      </c>
      <c r="J60" s="531" t="e">
        <f ca="1">IF($B$6="ON", IF(J58&gt;=covid_start, IF(J58&lt;covid_recovery,NA(),SUMIFS(INDIRECT("Data_main"&amp;"["&amp;J$8&amp;"]"),Data_main[Data],$A60, Data_main[Segment],$B60, Data_main[Scenario],$B$3)),SUMIFS(INDIRECT("Data_main"&amp;"["&amp;J$8&amp;"]"),Data_main[Data],$A60, Data_main[Segment],$B60, Data_main[Scenario],$B$3)),SUMIFS(INDIRECT("Data_main"&amp;"["&amp;J$8&amp;"]"),Data_main[Data],$A60, Data_main[Segment],$B60, Data_main[Scenario],$B$3))</f>
        <v>#N/A</v>
      </c>
      <c r="K60" s="531" t="e">
        <f ca="1">IF($B$6="ON", IF(K58&gt;=covid_start, IF(K58&lt;covid_recovery,NA(),SUMIFS(INDIRECT("Data_main"&amp;"["&amp;K$8&amp;"]"),Data_main[Data],$A60, Data_main[Segment],$B60, Data_main[Scenario],$B$3)),SUMIFS(INDIRECT("Data_main"&amp;"["&amp;K$8&amp;"]"),Data_main[Data],$A60, Data_main[Segment],$B60, Data_main[Scenario],$B$3)),SUMIFS(INDIRECT("Data_main"&amp;"["&amp;K$8&amp;"]"),Data_main[Data],$A60, Data_main[Segment],$B60, Data_main[Scenario],$B$3))</f>
        <v>#N/A</v>
      </c>
      <c r="L60" s="531" t="e">
        <f ca="1">IF($B$6="ON", IF(L58&gt;=covid_start, IF(L58&lt;covid_recovery,NA(),SUMIFS(INDIRECT("Data_main"&amp;"["&amp;L$8&amp;"]"),Data_main[Data],$A60, Data_main[Segment],$B60, Data_main[Scenario],$B$3)),SUMIFS(INDIRECT("Data_main"&amp;"["&amp;L$8&amp;"]"),Data_main[Data],$A60, Data_main[Segment],$B60, Data_main[Scenario],$B$3)),SUMIFS(INDIRECT("Data_main"&amp;"["&amp;L$8&amp;"]"),Data_main[Data],$A60, Data_main[Segment],$B60, Data_main[Scenario],$B$3))</f>
        <v>#N/A</v>
      </c>
      <c r="M60" s="531">
        <f ca="1">IF($B$6="ON", IF(M58&gt;=covid_start, IF(M58&lt;covid_recovery,NA(),SUMIFS(INDIRECT("Data_main"&amp;"["&amp;M$8&amp;"]"),Data_main[Data],$A60, Data_main[Segment],$B60, Data_main[Scenario],$B$3)),SUMIFS(INDIRECT("Data_main"&amp;"["&amp;M$8&amp;"]"),Data_main[Data],$A60, Data_main[Segment],$B60, Data_main[Scenario],$B$3)),SUMIFS(INDIRECT("Data_main"&amp;"["&amp;M$8&amp;"]"),Data_main[Data],$A60, Data_main[Segment],$B60, Data_main[Scenario],$B$3))</f>
        <v>265.76821442260973</v>
      </c>
      <c r="N60" s="531">
        <f ca="1">IF($B$6="ON", IF(N58&gt;=covid_start, IF(N58&lt;covid_recovery,NA(),SUMIFS(INDIRECT("Data_main"&amp;"["&amp;N$8&amp;"]"),Data_main[Data],$A60, Data_main[Segment],$B60, Data_main[Scenario],$B$3)),SUMIFS(INDIRECT("Data_main"&amp;"["&amp;N$8&amp;"]"),Data_main[Data],$A60, Data_main[Segment],$B60, Data_main[Scenario],$B$3)),SUMIFS(INDIRECT("Data_main"&amp;"["&amp;N$8&amp;"]"),Data_main[Data],$A60, Data_main[Segment],$B60, Data_main[Scenario],$B$3))</f>
        <v>273.41176410452351</v>
      </c>
      <c r="O60" s="531">
        <f ca="1">IF($B$6="ON", IF(O58&gt;=covid_start, IF(O58&lt;covid_recovery,NA(),SUMIFS(INDIRECT("Data_main"&amp;"["&amp;O$8&amp;"]"),Data_main[Data],$A60, Data_main[Segment],$B60, Data_main[Scenario],$B$3)),SUMIFS(INDIRECT("Data_main"&amp;"["&amp;O$8&amp;"]"),Data_main[Data],$A60, Data_main[Segment],$B60, Data_main[Scenario],$B$3)),SUMIFS(INDIRECT("Data_main"&amp;"["&amp;O$8&amp;"]"),Data_main[Data],$A60, Data_main[Segment],$B60, Data_main[Scenario],$B$3))</f>
        <v>281.05531378643724</v>
      </c>
      <c r="P60" s="531">
        <f ca="1">IF($B$6="ON", IF(P58&gt;=covid_start, IF(P58&lt;covid_recovery,NA(),SUMIFS(INDIRECT("Data_main"&amp;"["&amp;P$8&amp;"]"),Data_main[Data],$A60, Data_main[Segment],$B60, Data_main[Scenario],$B$3)),SUMIFS(INDIRECT("Data_main"&amp;"["&amp;P$8&amp;"]"),Data_main[Data],$A60, Data_main[Segment],$B60, Data_main[Scenario],$B$3)),SUMIFS(INDIRECT("Data_main"&amp;"["&amp;P$8&amp;"]"),Data_main[Data],$A60, Data_main[Segment],$B60, Data_main[Scenario],$B$3))</f>
        <v>288.69886346835102</v>
      </c>
      <c r="Q60" s="531">
        <f ca="1">IF($B$6="ON", IF(Q58&gt;=covid_start, IF(Q58&lt;covid_recovery,NA(),SUMIFS(INDIRECT("Data_main"&amp;"["&amp;Q$8&amp;"]"),Data_main[Data],$A60, Data_main[Segment],$B60, Data_main[Scenario],$B$3)),SUMIFS(INDIRECT("Data_main"&amp;"["&amp;Q$8&amp;"]"),Data_main[Data],$A60, Data_main[Segment],$B60, Data_main[Scenario],$B$3)),SUMIFS(INDIRECT("Data_main"&amp;"["&amp;Q$8&amp;"]"),Data_main[Data],$A60, Data_main[Segment],$B60, Data_main[Scenario],$B$3))</f>
        <v>296.3424131502648</v>
      </c>
      <c r="R60" s="531">
        <f ca="1">IF($B$6="ON", IF(R58&gt;=covid_start, IF(R58&lt;covid_recovery,NA(),SUMIFS(INDIRECT("Data_main"&amp;"["&amp;R$8&amp;"]"),Data_main[Data],$A60, Data_main[Segment],$B60, Data_main[Scenario],$B$3)),SUMIFS(INDIRECT("Data_main"&amp;"["&amp;R$8&amp;"]"),Data_main[Data],$A60, Data_main[Segment],$B60, Data_main[Scenario],$B$3)),SUMIFS(INDIRECT("Data_main"&amp;"["&amp;R$8&amp;"]"),Data_main[Data],$A60, Data_main[Segment],$B60, Data_main[Scenario],$B$3))</f>
        <v>303.98596283217853</v>
      </c>
      <c r="S60" s="531">
        <f ca="1">IF($B$6="ON", IF(S58&gt;=covid_start, IF(S58&lt;covid_recovery,NA(),SUMIFS(INDIRECT("Data_main"&amp;"["&amp;S$8&amp;"]"),Data_main[Data],$A60, Data_main[Segment],$B60, Data_main[Scenario],$B$3)),SUMIFS(INDIRECT("Data_main"&amp;"["&amp;S$8&amp;"]"),Data_main[Data],$A60, Data_main[Segment],$B60, Data_main[Scenario],$B$3)),SUMIFS(INDIRECT("Data_main"&amp;"["&amp;S$8&amp;"]"),Data_main[Data],$A60, Data_main[Segment],$B60, Data_main[Scenario],$B$3))</f>
        <v>311.62951251409231</v>
      </c>
      <c r="T60" s="531">
        <f ca="1">IF($B$6="ON", IF(T58&gt;=covid_start, IF(T58&lt;covid_recovery,NA(),SUMIFS(INDIRECT("Data_main"&amp;"["&amp;T$8&amp;"]"),Data_main[Data],$A60, Data_main[Segment],$B60, Data_main[Scenario],$B$3)),SUMIFS(INDIRECT("Data_main"&amp;"["&amp;T$8&amp;"]"),Data_main[Data],$A60, Data_main[Segment],$B60, Data_main[Scenario],$B$3)),SUMIFS(INDIRECT("Data_main"&amp;"["&amp;T$8&amp;"]"),Data_main[Data],$A60, Data_main[Segment],$B60, Data_main[Scenario],$B$3))</f>
        <v>319.27306219600632</v>
      </c>
      <c r="U60" s="531">
        <f ca="1">IF($B$6="ON", IF(U58&gt;=covid_start, IF(U58&lt;covid_recovery,NA(),SUMIFS(INDIRECT("Data_main"&amp;"["&amp;U$8&amp;"]"),Data_main[Data],$A60, Data_main[Segment],$B60, Data_main[Scenario],$B$3)),SUMIFS(INDIRECT("Data_main"&amp;"["&amp;U$8&amp;"]"),Data_main[Data],$A60, Data_main[Segment],$B60, Data_main[Scenario],$B$3)),SUMIFS(INDIRECT("Data_main"&amp;"["&amp;U$8&amp;"]"),Data_main[Data],$A60, Data_main[Segment],$B60, Data_main[Scenario],$B$3))</f>
        <v>328.96562167371906</v>
      </c>
      <c r="V60" s="531">
        <f ca="1">IF($B$6="ON", IF(V58&gt;=covid_start, IF(V58&lt;covid_recovery,NA(),SUMIFS(INDIRECT("Data_main"&amp;"["&amp;V$8&amp;"]"),Data_main[Data],$A60, Data_main[Segment],$B60, Data_main[Scenario],$B$3)),SUMIFS(INDIRECT("Data_main"&amp;"["&amp;V$8&amp;"]"),Data_main[Data],$A60, Data_main[Segment],$B60, Data_main[Scenario],$B$3)),SUMIFS(INDIRECT("Data_main"&amp;"["&amp;V$8&amp;"]"),Data_main[Data],$A60, Data_main[Segment],$B60, Data_main[Scenario],$B$3))</f>
        <v>338.65818115143179</v>
      </c>
      <c r="W60" s="531">
        <f ca="1">IF($B$6="ON", IF(W58&gt;=covid_start, IF(W58&lt;covid_recovery,NA(),SUMIFS(INDIRECT("Data_main"&amp;"["&amp;W$8&amp;"]"),Data_main[Data],$A60, Data_main[Segment],$B60, Data_main[Scenario],$B$3)),SUMIFS(INDIRECT("Data_main"&amp;"["&amp;W$8&amp;"]"),Data_main[Data],$A60, Data_main[Segment],$B60, Data_main[Scenario],$B$3)),SUMIFS(INDIRECT("Data_main"&amp;"["&amp;W$8&amp;"]"),Data_main[Data],$A60, Data_main[Segment],$B60, Data_main[Scenario],$B$3))</f>
        <v>348.35074062914441</v>
      </c>
      <c r="X60" s="531">
        <f ca="1">IF($B$6="ON", IF(X58&gt;=covid_start, IF(X58&lt;covid_recovery,NA(),SUMIFS(INDIRECT("Data_main"&amp;"["&amp;X$8&amp;"]"),Data_main[Data],$A60, Data_main[Segment],$B60, Data_main[Scenario],$B$3)),SUMIFS(INDIRECT("Data_main"&amp;"["&amp;X$8&amp;"]"),Data_main[Data],$A60, Data_main[Segment],$B60, Data_main[Scenario],$B$3)),SUMIFS(INDIRECT("Data_main"&amp;"["&amp;X$8&amp;"]"),Data_main[Data],$A60, Data_main[Segment],$B60, Data_main[Scenario],$B$3))</f>
        <v>358.0433001068572</v>
      </c>
      <c r="Y60" s="531">
        <f ca="1">IF($B$6="ON", IF(Y58&gt;=covid_start, IF(Y58&lt;covid_recovery,NA(),SUMIFS(INDIRECT("Data_main"&amp;"["&amp;Y$8&amp;"]"),Data_main[Data],$A60, Data_main[Segment],$B60, Data_main[Scenario],$B$3)),SUMIFS(INDIRECT("Data_main"&amp;"["&amp;Y$8&amp;"]"),Data_main[Data],$A60, Data_main[Segment],$B60, Data_main[Scenario],$B$3)),SUMIFS(INDIRECT("Data_main"&amp;"["&amp;Y$8&amp;"]"),Data_main[Data],$A60, Data_main[Segment],$B60, Data_main[Scenario],$B$3))</f>
        <v>367.73585958456988</v>
      </c>
      <c r="Z60" s="531">
        <f ca="1">IF($B$6="ON", IF(Z58&gt;=covid_start, IF(Z58&lt;covid_recovery,NA(),SUMIFS(INDIRECT("Data_main"&amp;"["&amp;Z$8&amp;"]"),Data_main[Data],$A60, Data_main[Segment],$B60, Data_main[Scenario],$B$3)),SUMIFS(INDIRECT("Data_main"&amp;"["&amp;Z$8&amp;"]"),Data_main[Data],$A60, Data_main[Segment],$B60, Data_main[Scenario],$B$3)),SUMIFS(INDIRECT("Data_main"&amp;"["&amp;Z$8&amp;"]"),Data_main[Data],$A60, Data_main[Segment],$B60, Data_main[Scenario],$B$3))</f>
        <v>377.42841906228261</v>
      </c>
      <c r="AA60" s="531">
        <f ca="1">IF($B$6="ON", IF(AA58&gt;=covid_start, IF(AA58&lt;covid_recovery,NA(),SUMIFS(INDIRECT("Data_main"&amp;"["&amp;AA$8&amp;"]"),Data_main[Data],$A60, Data_main[Segment],$B60, Data_main[Scenario],$B$3)),SUMIFS(INDIRECT("Data_main"&amp;"["&amp;AA$8&amp;"]"),Data_main[Data],$A60, Data_main[Segment],$B60, Data_main[Scenario],$B$3)),SUMIFS(INDIRECT("Data_main"&amp;"["&amp;AA$8&amp;"]"),Data_main[Data],$A60, Data_main[Segment],$B60, Data_main[Scenario],$B$3))</f>
        <v>387.12097853999535</v>
      </c>
      <c r="AB60" s="531">
        <f ca="1">IF($B$6="ON", IF(AB58&gt;=covid_start, IF(AB58&lt;covid_recovery,NA(),SUMIFS(INDIRECT("Data_main"&amp;"["&amp;AB$8&amp;"]"),Data_main[Data],$A60, Data_main[Segment],$B60, Data_main[Scenario],$B$3)),SUMIFS(INDIRECT("Data_main"&amp;"["&amp;AB$8&amp;"]"),Data_main[Data],$A60, Data_main[Segment],$B60, Data_main[Scenario],$B$3)),SUMIFS(INDIRECT("Data_main"&amp;"["&amp;AB$8&amp;"]"),Data_main[Data],$A60, Data_main[Segment],$B60, Data_main[Scenario],$B$3))</f>
        <v>396.81353801770803</v>
      </c>
      <c r="AC60" s="531">
        <f ca="1">IF($B$6="ON", IF(AC58&gt;=covid_start, IF(AC58&lt;covid_recovery,NA(),SUMIFS(INDIRECT("Data_main"&amp;"["&amp;AC$8&amp;"]"),Data_main[Data],$A60, Data_main[Segment],$B60, Data_main[Scenario],$B$3)),SUMIFS(INDIRECT("Data_main"&amp;"["&amp;AC$8&amp;"]"),Data_main[Data],$A60, Data_main[Segment],$B60, Data_main[Scenario],$B$3)),SUMIFS(INDIRECT("Data_main"&amp;"["&amp;AC$8&amp;"]"),Data_main[Data],$A60, Data_main[Segment],$B60, Data_main[Scenario],$B$3))</f>
        <v>406.50609749542082</v>
      </c>
      <c r="AD60" s="531">
        <f ca="1">IF($B$6="ON", IF(AD58&gt;=covid_start, IF(AD58&lt;covid_recovery,NA(),SUMIFS(INDIRECT("Data_main"&amp;"["&amp;AD$8&amp;"]"),Data_main[Data],$A60, Data_main[Segment],$B60, Data_main[Scenario],$B$3)),SUMIFS(INDIRECT("Data_main"&amp;"["&amp;AD$8&amp;"]"),Data_main[Data],$A60, Data_main[Segment],$B60, Data_main[Scenario],$B$3)),SUMIFS(INDIRECT("Data_main"&amp;"["&amp;AD$8&amp;"]"),Data_main[Data],$A60, Data_main[Segment],$B60, Data_main[Scenario],$B$3))</f>
        <v>416.19865697313338</v>
      </c>
      <c r="AE60" s="531">
        <f ca="1">IF($B$6="ON", IF(AE58&gt;=covid_start, IF(AE58&lt;covid_recovery,NA(),SUMIFS(INDIRECT("Data_main"&amp;"["&amp;AE$8&amp;"]"),Data_main[Data],$A60, Data_main[Segment],$B60, Data_main[Scenario],$B$3)),SUMIFS(INDIRECT("Data_main"&amp;"["&amp;AE$8&amp;"]"),Data_main[Data],$A60, Data_main[Segment],$B60, Data_main[Scenario],$B$3)),SUMIFS(INDIRECT("Data_main"&amp;"["&amp;AE$8&amp;"]"),Data_main[Data],$A60, Data_main[Segment],$B60, Data_main[Scenario],$B$3))</f>
        <v>429.65911834951385</v>
      </c>
      <c r="AF60" s="531">
        <f ca="1">IF($B$6="ON", IF(AF58&gt;=covid_start, IF(AF58&lt;covid_recovery,NA(),SUMIFS(INDIRECT("Data_main"&amp;"["&amp;AF$8&amp;"]"),Data_main[Data],$A60, Data_main[Segment],$B60, Data_main[Scenario],$B$3)),SUMIFS(INDIRECT("Data_main"&amp;"["&amp;AF$8&amp;"]"),Data_main[Data],$A60, Data_main[Segment],$B60, Data_main[Scenario],$B$3)),SUMIFS(INDIRECT("Data_main"&amp;"["&amp;AF$8&amp;"]"),Data_main[Data],$A60, Data_main[Segment],$B60, Data_main[Scenario],$B$3))</f>
        <v>443.11957972589425</v>
      </c>
      <c r="AG60" s="531">
        <f ca="1">IF($B$6="ON", IF(AG58&gt;=covid_start, IF(AG58&lt;covid_recovery,NA(),SUMIFS(INDIRECT("Data_main"&amp;"["&amp;AG$8&amp;"]"),Data_main[Data],$A60, Data_main[Segment],$B60, Data_main[Scenario],$B$3)),SUMIFS(INDIRECT("Data_main"&amp;"["&amp;AG$8&amp;"]"),Data_main[Data],$A60, Data_main[Segment],$B60, Data_main[Scenario],$B$3)),SUMIFS(INDIRECT("Data_main"&amp;"["&amp;AG$8&amp;"]"),Data_main[Data],$A60, Data_main[Segment],$B60, Data_main[Scenario],$B$3))</f>
        <v>456.58004110227478</v>
      </c>
      <c r="AH60" s="531">
        <f ca="1">IF($B$6="ON", IF(AH58&gt;=covid_start, IF(AH58&lt;covid_recovery,NA(),SUMIFS(INDIRECT("Data_main"&amp;"["&amp;AH$8&amp;"]"),Data_main[Data],$A60, Data_main[Segment],$B60, Data_main[Scenario],$B$3)),SUMIFS(INDIRECT("Data_main"&amp;"["&amp;AH$8&amp;"]"),Data_main[Data],$A60, Data_main[Segment],$B60, Data_main[Scenario],$B$3)),SUMIFS(INDIRECT("Data_main"&amp;"["&amp;AH$8&amp;"]"),Data_main[Data],$A60, Data_main[Segment],$B60, Data_main[Scenario],$B$3))</f>
        <v>470.04050247865507</v>
      </c>
      <c r="AI60" s="531">
        <f ca="1">IF($B$6="ON", IF(AI58&gt;=covid_start, IF(AI58&lt;covid_recovery,NA(),SUMIFS(INDIRECT("Data_main"&amp;"["&amp;AI$8&amp;"]"),Data_main[Data],$A60, Data_main[Segment],$B60, Data_main[Scenario],$B$3)),SUMIFS(INDIRECT("Data_main"&amp;"["&amp;AI$8&amp;"]"),Data_main[Data],$A60, Data_main[Segment],$B60, Data_main[Scenario],$B$3)),SUMIFS(INDIRECT("Data_main"&amp;"["&amp;AI$8&amp;"]"),Data_main[Data],$A60, Data_main[Segment],$B60, Data_main[Scenario],$B$3))</f>
        <v>483.50096385503548</v>
      </c>
      <c r="AJ60" s="531">
        <f ca="1">IF($B$6="ON", IF(AJ58&gt;=covid_start, IF(AJ58&lt;covid_recovery,NA(),SUMIFS(INDIRECT("Data_main"&amp;"["&amp;AJ$8&amp;"]"),Data_main[Data],$A60, Data_main[Segment],$B60, Data_main[Scenario],$B$3)),SUMIFS(INDIRECT("Data_main"&amp;"["&amp;AJ$8&amp;"]"),Data_main[Data],$A60, Data_main[Segment],$B60, Data_main[Scenario],$B$3)),SUMIFS(INDIRECT("Data_main"&amp;"["&amp;AJ$8&amp;"]"),Data_main[Data],$A60, Data_main[Segment],$B60, Data_main[Scenario],$B$3))</f>
        <v>496.96142523141589</v>
      </c>
      <c r="AK60" s="531">
        <f ca="1">IF($B$6="ON", IF(AK58&gt;=covid_start, IF(AK58&lt;covid_recovery,NA(),SUMIFS(INDIRECT("Data_main"&amp;"["&amp;AK$8&amp;"]"),Data_main[Data],$A60, Data_main[Segment],$B60, Data_main[Scenario],$B$3)),SUMIFS(INDIRECT("Data_main"&amp;"["&amp;AK$8&amp;"]"),Data_main[Data],$A60, Data_main[Segment],$B60, Data_main[Scenario],$B$3)),SUMIFS(INDIRECT("Data_main"&amp;"["&amp;AK$8&amp;"]"),Data_main[Data],$A60, Data_main[Segment],$B60, Data_main[Scenario],$B$3))</f>
        <v>510.42188660779624</v>
      </c>
      <c r="AL60" s="531">
        <f ca="1">IF($B$6="ON", IF(AL58&gt;=covid_start, IF(AL58&lt;covid_recovery,NA(),SUMIFS(INDIRECT("Data_main"&amp;"["&amp;AL$8&amp;"]"),Data_main[Data],$A60, Data_main[Segment],$B60, Data_main[Scenario],$B$3)),SUMIFS(INDIRECT("Data_main"&amp;"["&amp;AL$8&amp;"]"),Data_main[Data],$A60, Data_main[Segment],$B60, Data_main[Scenario],$B$3)),SUMIFS(INDIRECT("Data_main"&amp;"["&amp;AL$8&amp;"]"),Data_main[Data],$A60, Data_main[Segment],$B60, Data_main[Scenario],$B$3))</f>
        <v>523.88234798417659</v>
      </c>
      <c r="AM60" s="531">
        <f ca="1">IF($B$6="ON", IF(AM58&gt;=covid_start, IF(AM58&lt;covid_recovery,NA(),SUMIFS(INDIRECT("Data_main"&amp;"["&amp;AM$8&amp;"]"),Data_main[Data],$A60, Data_main[Segment],$B60, Data_main[Scenario],$B$3)),SUMIFS(INDIRECT("Data_main"&amp;"["&amp;AM$8&amp;"]"),Data_main[Data],$A60, Data_main[Segment],$B60, Data_main[Scenario],$B$3)),SUMIFS(INDIRECT("Data_main"&amp;"["&amp;AM$8&amp;"]"),Data_main[Data],$A60, Data_main[Segment],$B60, Data_main[Scenario],$B$3))</f>
        <v>537.342809360557</v>
      </c>
      <c r="AN60" s="531">
        <f ca="1">IF($B$6="ON", IF(AN58&gt;=covid_start, IF(AN58&lt;covid_recovery,NA(),SUMIFS(INDIRECT("Data_main"&amp;"["&amp;AN$8&amp;"]"),Data_main[Data],$A60, Data_main[Segment],$B60, Data_main[Scenario],$B$3)),SUMIFS(INDIRECT("Data_main"&amp;"["&amp;AN$8&amp;"]"),Data_main[Data],$A60, Data_main[Segment],$B60, Data_main[Scenario],$B$3)),SUMIFS(INDIRECT("Data_main"&amp;"["&amp;AN$8&amp;"]"),Data_main[Data],$A60, Data_main[Segment],$B60, Data_main[Scenario],$B$3))</f>
        <v>550.80327073693775</v>
      </c>
      <c r="AO60" s="531">
        <f ca="1">IF($B$6="ON", IF(AO58&gt;=covid_start, IF(AO58&lt;covid_recovery,NA(),SUMIFS(INDIRECT("Data_main"&amp;"["&amp;AO$8&amp;"]"),Data_main[Data],$A60, Data_main[Segment],$B60, Data_main[Scenario],$B$3)),SUMIFS(INDIRECT("Data_main"&amp;"["&amp;AO$8&amp;"]"),Data_main[Data],$A60, Data_main[Segment],$B60, Data_main[Scenario],$B$3)),SUMIFS(INDIRECT("Data_main"&amp;"["&amp;AO$8&amp;"]"),Data_main[Data],$A60, Data_main[Segment],$B60, Data_main[Scenario],$B$3))</f>
        <v>0</v>
      </c>
      <c r="AP60" s="531">
        <f ca="1">IF($B$6="ON", IF(AP58&gt;=covid_start, IF(AP58&lt;covid_recovery,NA(),SUMIFS(INDIRECT("Data_main"&amp;"["&amp;AP$8&amp;"]"),Data_main[Data],$A60, Data_main[Segment],$B60, Data_main[Scenario],$B$3)),SUMIFS(INDIRECT("Data_main"&amp;"["&amp;AP$8&amp;"]"),Data_main[Data],$A60, Data_main[Segment],$B60, Data_main[Scenario],$B$3)),SUMIFS(INDIRECT("Data_main"&amp;"["&amp;AP$8&amp;"]"),Data_main[Data],$A60, Data_main[Segment],$B60, Data_main[Scenario],$B$3))</f>
        <v>0</v>
      </c>
      <c r="AQ60" s="531">
        <f ca="1">IF($B$6="ON", IF(AQ58&gt;=covid_start, IF(AQ58&lt;covid_recovery,NA(),SUMIFS(INDIRECT("Data_main"&amp;"["&amp;AQ$8&amp;"]"),Data_main[Data],$A60, Data_main[Segment],$B60, Data_main[Scenario],$B$3)),SUMIFS(INDIRECT("Data_main"&amp;"["&amp;AQ$8&amp;"]"),Data_main[Data],$A60, Data_main[Segment],$B60, Data_main[Scenario],$B$3)),SUMIFS(INDIRECT("Data_main"&amp;"["&amp;AQ$8&amp;"]"),Data_main[Data],$A60, Data_main[Segment],$B60, Data_main[Scenario],$B$3))</f>
        <v>0</v>
      </c>
      <c r="AR60" s="531">
        <f ca="1">IF($B$6="ON", IF(AR58&gt;=covid_start, IF(AR58&lt;covid_recovery,NA(),SUMIFS(INDIRECT("Data_main"&amp;"["&amp;AR$8&amp;"]"),Data_main[Data],$A60, Data_main[Segment],$B60, Data_main[Scenario],$B$3)),SUMIFS(INDIRECT("Data_main"&amp;"["&amp;AR$8&amp;"]"),Data_main[Data],$A60, Data_main[Segment],$B60, Data_main[Scenario],$B$3)),SUMIFS(INDIRECT("Data_main"&amp;"["&amp;AR$8&amp;"]"),Data_main[Data],$A60, Data_main[Segment],$B60, Data_main[Scenario],$B$3))</f>
        <v>0</v>
      </c>
      <c r="AS60" s="531">
        <f ca="1">IF($B$6="ON", IF(AS58&gt;=covid_start, IF(AS58&lt;covid_recovery,NA(),SUMIFS(INDIRECT("Data_main"&amp;"["&amp;AS$8&amp;"]"),Data_main[Data],$A60, Data_main[Segment],$B60, Data_main[Scenario],$B$3)),SUMIFS(INDIRECT("Data_main"&amp;"["&amp;AS$8&amp;"]"),Data_main[Data],$A60, Data_main[Segment],$B60, Data_main[Scenario],$B$3)),SUMIFS(INDIRECT("Data_main"&amp;"["&amp;AS$8&amp;"]"),Data_main[Data],$A60, Data_main[Segment],$B60, Data_main[Scenario],$B$3))</f>
        <v>0</v>
      </c>
      <c r="AT60" s="531">
        <f ca="1">IF($B$6="ON", IF(AT58&gt;=covid_start, IF(AT58&lt;covid_recovery,NA(),SUMIFS(INDIRECT("Data_main"&amp;"["&amp;AT$8&amp;"]"),Data_main[Data],$A60, Data_main[Segment],$B60, Data_main[Scenario],$B$3)),SUMIFS(INDIRECT("Data_main"&amp;"["&amp;AT$8&amp;"]"),Data_main[Data],$A60, Data_main[Segment],$B60, Data_main[Scenario],$B$3)),SUMIFS(INDIRECT("Data_main"&amp;"["&amp;AT$8&amp;"]"),Data_main[Data],$A60, Data_main[Segment],$B60, Data_main[Scenario],$B$3))</f>
        <v>0</v>
      </c>
      <c r="AU60" s="531">
        <f ca="1">IF($B$6="ON", IF(AU58&gt;=covid_start, IF(AU58&lt;covid_recovery,NA(),SUMIFS(INDIRECT("Data_main"&amp;"["&amp;AU$8&amp;"]"),Data_main[Data],$A60, Data_main[Segment],$B60, Data_main[Scenario],$B$3)),SUMIFS(INDIRECT("Data_main"&amp;"["&amp;AU$8&amp;"]"),Data_main[Data],$A60, Data_main[Segment],$B60, Data_main[Scenario],$B$3)),SUMIFS(INDIRECT("Data_main"&amp;"["&amp;AU$8&amp;"]"),Data_main[Data],$A60, Data_main[Segment],$B60, Data_main[Scenario],$B$3))</f>
        <v>0</v>
      </c>
      <c r="AV60" s="531">
        <f ca="1">IF($B$6="ON", IF(AV58&gt;=covid_start, IF(AV58&lt;covid_recovery,NA(),SUMIFS(INDIRECT("Data_main"&amp;"["&amp;AV$8&amp;"]"),Data_main[Data],$A60, Data_main[Segment],$B60, Data_main[Scenario],$B$3)),SUMIFS(INDIRECT("Data_main"&amp;"["&amp;AV$8&amp;"]"),Data_main[Data],$A60, Data_main[Segment],$B60, Data_main[Scenario],$B$3)),SUMIFS(INDIRECT("Data_main"&amp;"["&amp;AV$8&amp;"]"),Data_main[Data],$A60, Data_main[Segment],$B60, Data_main[Scenario],$B$3))</f>
        <v>0</v>
      </c>
      <c r="AW60" s="531">
        <f ca="1">IF($B$6="ON", IF(AW58&gt;=covid_start, IF(AW58&lt;covid_recovery,NA(),SUMIFS(INDIRECT("Data_main"&amp;"["&amp;AW$8&amp;"]"),Data_main[Data],$A60, Data_main[Segment],$B60, Data_main[Scenario],$B$3)),SUMIFS(INDIRECT("Data_main"&amp;"["&amp;AW$8&amp;"]"),Data_main[Data],$A60, Data_main[Segment],$B60, Data_main[Scenario],$B$3)),SUMIFS(INDIRECT("Data_main"&amp;"["&amp;AW$8&amp;"]"),Data_main[Data],$A60, Data_main[Segment],$B60, Data_main[Scenario],$B$3))</f>
        <v>0</v>
      </c>
      <c r="AX60" s="531">
        <f ca="1">IF($B$6="ON", IF(AX58&gt;=covid_start, IF(AX58&lt;covid_recovery,NA(),SUMIFS(INDIRECT("Data_main"&amp;"["&amp;AX$8&amp;"]"),Data_main[Data],$A60, Data_main[Segment],$B60, Data_main[Scenario],$B$3)),SUMIFS(INDIRECT("Data_main"&amp;"["&amp;AX$8&amp;"]"),Data_main[Data],$A60, Data_main[Segment],$B60, Data_main[Scenario],$B$3)),SUMIFS(INDIRECT("Data_main"&amp;"["&amp;AX$8&amp;"]"),Data_main[Data],$A60, Data_main[Segment],$B60, Data_main[Scenario],$B$3))</f>
        <v>0</v>
      </c>
      <c r="AY60" s="531">
        <f ca="1">IF($B$6="ON", IF(AY58&gt;=covid_start, IF(AY58&lt;covid_recovery,NA(),SUMIFS(INDIRECT("Data_main"&amp;"["&amp;AY$8&amp;"]"),Data_main[Data],$A60, Data_main[Segment],$B60, Data_main[Scenario],$B$3)),SUMIFS(INDIRECT("Data_main"&amp;"["&amp;AY$8&amp;"]"),Data_main[Data],$A60, Data_main[Segment],$B60, Data_main[Scenario],$B$3)),SUMIFS(INDIRECT("Data_main"&amp;"["&amp;AY$8&amp;"]"),Data_main[Data],$A60, Data_main[Segment],$B60, Data_main[Scenario],$B$3))</f>
        <v>0</v>
      </c>
      <c r="AZ60" s="531">
        <f ca="1">IF($B$6="ON", IF(AZ58&gt;=covid_start, IF(AZ58&lt;covid_recovery,NA(),SUMIFS(INDIRECT("Data_main"&amp;"["&amp;AZ$8&amp;"]"),Data_main[Data],$A60, Data_main[Segment],$B60, Data_main[Scenario],$B$3)),SUMIFS(INDIRECT("Data_main"&amp;"["&amp;AZ$8&amp;"]"),Data_main[Data],$A60, Data_main[Segment],$B60, Data_main[Scenario],$B$3)),SUMIFS(INDIRECT("Data_main"&amp;"["&amp;AZ$8&amp;"]"),Data_main[Data],$A60, Data_main[Segment],$B60, Data_main[Scenario],$B$3))</f>
        <v>0</v>
      </c>
      <c r="BA60" s="531">
        <f ca="1">IF($B$6="ON", IF(BA58&gt;=covid_start, IF(BA58&lt;covid_recovery,NA(),SUMIFS(INDIRECT("Data_main"&amp;"["&amp;BA$8&amp;"]"),Data_main[Data],$A60, Data_main[Segment],$B60, Data_main[Scenario],$B$3)),SUMIFS(INDIRECT("Data_main"&amp;"["&amp;BA$8&amp;"]"),Data_main[Data],$A60, Data_main[Segment],$B60, Data_main[Scenario],$B$3)),SUMIFS(INDIRECT("Data_main"&amp;"["&amp;BA$8&amp;"]"),Data_main[Data],$A60, Data_main[Segment],$B60, Data_main[Scenario],$B$3))</f>
        <v>0</v>
      </c>
      <c r="BB60" s="531">
        <f ca="1">IF($B$6="ON", IF(BB58&gt;=covid_start, IF(BB58&lt;covid_recovery,NA(),SUMIFS(INDIRECT("Data_main"&amp;"["&amp;BB$8&amp;"]"),Data_main[Data],$A60, Data_main[Segment],$B60, Data_main[Scenario],$B$3)),SUMIFS(INDIRECT("Data_main"&amp;"["&amp;BB$8&amp;"]"),Data_main[Data],$A60, Data_main[Segment],$B60, Data_main[Scenario],$B$3)),SUMIFS(INDIRECT("Data_main"&amp;"["&amp;BB$8&amp;"]"),Data_main[Data],$A60, Data_main[Segment],$B60, Data_main[Scenario],$B$3))</f>
        <v>0</v>
      </c>
      <c r="BC60" s="531">
        <f ca="1">IF($B$6="ON", IF(BC58&gt;=covid_start, IF(BC58&lt;covid_recovery,NA(),SUMIFS(INDIRECT("Data_main"&amp;"["&amp;BC$8&amp;"]"),Data_main[Data],$A60, Data_main[Segment],$B60, Data_main[Scenario],$B$3)),SUMIFS(INDIRECT("Data_main"&amp;"["&amp;BC$8&amp;"]"),Data_main[Data],$A60, Data_main[Segment],$B60, Data_main[Scenario],$B$3)),SUMIFS(INDIRECT("Data_main"&amp;"["&amp;BC$8&amp;"]"),Data_main[Data],$A60, Data_main[Segment],$B60, Data_main[Scenario],$B$3))</f>
        <v>0</v>
      </c>
      <c r="BD60" s="531">
        <f ca="1">IF($B$6="ON", IF(BD58&gt;=covid_start, IF(BD58&lt;covid_recovery,NA(),SUMIFS(INDIRECT("Data_main"&amp;"["&amp;BD$8&amp;"]"),Data_main[Data],$A60, Data_main[Segment],$B60, Data_main[Scenario],$B$3)),SUMIFS(INDIRECT("Data_main"&amp;"["&amp;BD$8&amp;"]"),Data_main[Data],$A60, Data_main[Segment],$B60, Data_main[Scenario],$B$3)),SUMIFS(INDIRECT("Data_main"&amp;"["&amp;BD$8&amp;"]"),Data_main[Data],$A60, Data_main[Segment],$B60, Data_main[Scenario],$B$3))</f>
        <v>0</v>
      </c>
      <c r="BE60" s="531">
        <f ca="1">IF($B$6="ON", IF(BE58&gt;=covid_start, IF(BE58&lt;covid_recovery,NA(),SUMIFS(INDIRECT("Data_main"&amp;"["&amp;BE$8&amp;"]"),Data_main[Data],$A60, Data_main[Segment],$B60, Data_main[Scenario],$B$3)),SUMIFS(INDIRECT("Data_main"&amp;"["&amp;BE$8&amp;"]"),Data_main[Data],$A60, Data_main[Segment],$B60, Data_main[Scenario],$B$3)),SUMIFS(INDIRECT("Data_main"&amp;"["&amp;BE$8&amp;"]"),Data_main[Data],$A60, Data_main[Segment],$B60, Data_main[Scenario],$B$3))</f>
        <v>0</v>
      </c>
      <c r="BF60" s="531">
        <f ca="1">IF($B$6="ON", IF(BF58&gt;=covid_start, IF(BF58&lt;covid_recovery,NA(),SUMIFS(INDIRECT("Data_main"&amp;"["&amp;BF$8&amp;"]"),Data_main[Data],$A60, Data_main[Segment],$B60, Data_main[Scenario],$B$3)),SUMIFS(INDIRECT("Data_main"&amp;"["&amp;BF$8&amp;"]"),Data_main[Data],$A60, Data_main[Segment],$B60, Data_main[Scenario],$B$3)),SUMIFS(INDIRECT("Data_main"&amp;"["&amp;BF$8&amp;"]"),Data_main[Data],$A60, Data_main[Segment],$B60, Data_main[Scenario],$B$3))</f>
        <v>0</v>
      </c>
      <c r="BG60" s="531">
        <f ca="1">IF($B$6="ON", IF(BG58&gt;=covid_start, IF(BG58&lt;covid_recovery,NA(),SUMIFS(INDIRECT("Data_main"&amp;"["&amp;BG$8&amp;"]"),Data_main[Data],$A60, Data_main[Segment],$B60, Data_main[Scenario],$B$3)),SUMIFS(INDIRECT("Data_main"&amp;"["&amp;BG$8&amp;"]"),Data_main[Data],$A60, Data_main[Segment],$B60, Data_main[Scenario],$B$3)),SUMIFS(INDIRECT("Data_main"&amp;"["&amp;BG$8&amp;"]"),Data_main[Data],$A60, Data_main[Segment],$B60, Data_main[Scenario],$B$3))</f>
        <v>0</v>
      </c>
      <c r="BH60" s="531">
        <f ca="1">IF($B$6="ON", IF(BH58&gt;=covid_start, IF(BH58&lt;covid_recovery,NA(),SUMIFS(INDIRECT("Data_main"&amp;"["&amp;BH$8&amp;"]"),Data_main[Data],$A60, Data_main[Segment],$B60, Data_main[Scenario],$B$3)),SUMIFS(INDIRECT("Data_main"&amp;"["&amp;BH$8&amp;"]"),Data_main[Data],$A60, Data_main[Segment],$B60, Data_main[Scenario],$B$3)),SUMIFS(INDIRECT("Data_main"&amp;"["&amp;BH$8&amp;"]"),Data_main[Data],$A60, Data_main[Segment],$B60, Data_main[Scenario],$B$3))</f>
        <v>0</v>
      </c>
      <c r="BI60" s="531">
        <f ca="1">IF($B$6="ON", IF(BI58&gt;=covid_start, IF(BI58&lt;covid_recovery,NA(),SUMIFS(INDIRECT("Data_main"&amp;"["&amp;BI$8&amp;"]"),Data_main[Data],$A60, Data_main[Segment],$B60, Data_main[Scenario],$B$3)),SUMIFS(INDIRECT("Data_main"&amp;"["&amp;BI$8&amp;"]"),Data_main[Data],$A60, Data_main[Segment],$B60, Data_main[Scenario],$B$3)),SUMIFS(INDIRECT("Data_main"&amp;"["&amp;BI$8&amp;"]"),Data_main[Data],$A60, Data_main[Segment],$B60, Data_main[Scenario],$B$3))</f>
        <v>0</v>
      </c>
      <c r="BJ60" s="531">
        <f ca="1">IF($B$6="ON", IF(BJ58&gt;=covid_start, IF(BJ58&lt;covid_recovery,NA(),SUMIFS(INDIRECT("Data_main"&amp;"["&amp;BJ$8&amp;"]"),Data_main[Data],$A60, Data_main[Segment],$B60, Data_main[Scenario],$B$3)),SUMIFS(INDIRECT("Data_main"&amp;"["&amp;BJ$8&amp;"]"),Data_main[Data],$A60, Data_main[Segment],$B60, Data_main[Scenario],$B$3)),SUMIFS(INDIRECT("Data_main"&amp;"["&amp;BJ$8&amp;"]"),Data_main[Data],$A60, Data_main[Segment],$B60, Data_main[Scenario],$B$3))</f>
        <v>0</v>
      </c>
      <c r="BK60" s="531">
        <f ca="1">IF($B$6="ON", IF(BK58&gt;=covid_start, IF(BK58&lt;covid_recovery,NA(),SUMIFS(INDIRECT("Data_main"&amp;"["&amp;BK$8&amp;"]"),Data_main[Data],$A60, Data_main[Segment],$B60, Data_main[Scenario],$B$3)),SUMIFS(INDIRECT("Data_main"&amp;"["&amp;BK$8&amp;"]"),Data_main[Data],$A60, Data_main[Segment],$B60, Data_main[Scenario],$B$3)),SUMIFS(INDIRECT("Data_main"&amp;"["&amp;BK$8&amp;"]"),Data_main[Data],$A60, Data_main[Segment],$B60, Data_main[Scenario],$B$3))</f>
        <v>0</v>
      </c>
      <c r="BL60" s="531">
        <f ca="1">IF($B$6="ON", IF(BL58&gt;=covid_start, IF(BL58&lt;covid_recovery,NA(),SUMIFS(INDIRECT("Data_main"&amp;"["&amp;BL$8&amp;"]"),Data_main[Data],$A60, Data_main[Segment],$B60, Data_main[Scenario],$B$3)),SUMIFS(INDIRECT("Data_main"&amp;"["&amp;BL$8&amp;"]"),Data_main[Data],$A60, Data_main[Segment],$B60, Data_main[Scenario],$B$3)),SUMIFS(INDIRECT("Data_main"&amp;"["&amp;BL$8&amp;"]"),Data_main[Data],$A60, Data_main[Segment],$B60, Data_main[Scenario],$B$3))</f>
        <v>0</v>
      </c>
      <c r="BM60" s="531">
        <f ca="1">IF($B$6="ON", IF(BM58&gt;=covid_start, IF(BM58&lt;covid_recovery,NA(),SUMIFS(INDIRECT("Data_main"&amp;"["&amp;BM$8&amp;"]"),Data_main[Data],$A60, Data_main[Segment],$B60, Data_main[Scenario],$B$3)),SUMIFS(INDIRECT("Data_main"&amp;"["&amp;BM$8&amp;"]"),Data_main[Data],$A60, Data_main[Segment],$B60, Data_main[Scenario],$B$3)),SUMIFS(INDIRECT("Data_main"&amp;"["&amp;BM$8&amp;"]"),Data_main[Data],$A60, Data_main[Segment],$B60, Data_main[Scenario],$B$3))</f>
        <v>0</v>
      </c>
      <c r="BN60" s="531">
        <f ca="1">IF($B$6="ON", IF(BN58&gt;=covid_start, IF(BN58&lt;covid_recovery,NA(),SUMIFS(INDIRECT("Data_main"&amp;"["&amp;BN$8&amp;"]"),Data_main[Data],$A60, Data_main[Segment],$B60, Data_main[Scenario],$B$3)),SUMIFS(INDIRECT("Data_main"&amp;"["&amp;BN$8&amp;"]"),Data_main[Data],$A60, Data_main[Segment],$B60, Data_main[Scenario],$B$3)),SUMIFS(INDIRECT("Data_main"&amp;"["&amp;BN$8&amp;"]"),Data_main[Data],$A60, Data_main[Segment],$B60, Data_main[Scenario],$B$3))</f>
        <v>0</v>
      </c>
      <c r="BO60" s="531">
        <f ca="1">IF($B$6="ON", IF(BO58&gt;=covid_start, IF(BO58&lt;covid_recovery,NA(),SUMIFS(INDIRECT("Data_main"&amp;"["&amp;BO$8&amp;"]"),Data_main[Data],$A60, Data_main[Segment],$B60, Data_main[Scenario],$B$3)),SUMIFS(INDIRECT("Data_main"&amp;"["&amp;BO$8&amp;"]"),Data_main[Data],$A60, Data_main[Segment],$B60, Data_main[Scenario],$B$3)),SUMIFS(INDIRECT("Data_main"&amp;"["&amp;BO$8&amp;"]"),Data_main[Data],$A60, Data_main[Segment],$B60, Data_main[Scenario],$B$3))</f>
        <v>0</v>
      </c>
      <c r="BP60" s="531">
        <f ca="1">IF($B$6="ON", IF(BP58&gt;=covid_start, IF(BP58&lt;covid_recovery,NA(),SUMIFS(INDIRECT("Data_main"&amp;"["&amp;BP$8&amp;"]"),Data_main[Data],$A60, Data_main[Segment],$B60, Data_main[Scenario],$B$3)),SUMIFS(INDIRECT("Data_main"&amp;"["&amp;BP$8&amp;"]"),Data_main[Data],$A60, Data_main[Segment],$B60, Data_main[Scenario],$B$3)),SUMIFS(INDIRECT("Data_main"&amp;"["&amp;BP$8&amp;"]"),Data_main[Data],$A60, Data_main[Segment],$B60, Data_main[Scenario],$B$3))</f>
        <v>0</v>
      </c>
      <c r="BQ60" s="531">
        <f ca="1">IF($B$6="ON", IF(BQ58&gt;=covid_start, IF(BQ58&lt;covid_recovery,NA(),SUMIFS(INDIRECT("Data_main"&amp;"["&amp;BQ$8&amp;"]"),Data_main[Data],$A60, Data_main[Segment],$B60, Data_main[Scenario],$B$3)),SUMIFS(INDIRECT("Data_main"&amp;"["&amp;BQ$8&amp;"]"),Data_main[Data],$A60, Data_main[Segment],$B60, Data_main[Scenario],$B$3)),SUMIFS(INDIRECT("Data_main"&amp;"["&amp;BQ$8&amp;"]"),Data_main[Data],$A60, Data_main[Segment],$B60, Data_main[Scenario],$B$3))</f>
        <v>0</v>
      </c>
      <c r="BR60" s="531">
        <f ca="1">IF($B$6="ON", IF(BR58&gt;=covid_start, IF(BR58&lt;covid_recovery,NA(),SUMIFS(INDIRECT("Data_main"&amp;"["&amp;BR$8&amp;"]"),Data_main[Data],$A60, Data_main[Segment],$B60, Data_main[Scenario],$B$3)),SUMIFS(INDIRECT("Data_main"&amp;"["&amp;BR$8&amp;"]"),Data_main[Data],$A60, Data_main[Segment],$B60, Data_main[Scenario],$B$3)),SUMIFS(INDIRECT("Data_main"&amp;"["&amp;BR$8&amp;"]"),Data_main[Data],$A60, Data_main[Segment],$B60, Data_main[Scenario],$B$3))</f>
        <v>0</v>
      </c>
      <c r="BS60" s="531">
        <f ca="1">IF($B$6="ON", IF(BS58&gt;=covid_start, IF(BS58&lt;covid_recovery,NA(),SUMIFS(INDIRECT("Data_main"&amp;"["&amp;BS$8&amp;"]"),Data_main[Data],$A60, Data_main[Segment],$B60, Data_main[Scenario],$B$3)),SUMIFS(INDIRECT("Data_main"&amp;"["&amp;BS$8&amp;"]"),Data_main[Data],$A60, Data_main[Segment],$B60, Data_main[Scenario],$B$3)),SUMIFS(INDIRECT("Data_main"&amp;"["&amp;BS$8&amp;"]"),Data_main[Data],$A60, Data_main[Segment],$B60, Data_main[Scenario],$B$3))</f>
        <v>0</v>
      </c>
      <c r="BT60" s="531">
        <f ca="1">IF($B$6="ON", IF(BT58&gt;=covid_start, IF(BT58&lt;covid_recovery,NA(),SUMIFS(INDIRECT("Data_main"&amp;"["&amp;BT$8&amp;"]"),Data_main[Data],$A60, Data_main[Segment],$B60, Data_main[Scenario],$B$3)),SUMIFS(INDIRECT("Data_main"&amp;"["&amp;BT$8&amp;"]"),Data_main[Data],$A60, Data_main[Segment],$B60, Data_main[Scenario],$B$3)),SUMIFS(INDIRECT("Data_main"&amp;"["&amp;BT$8&amp;"]"),Data_main[Data],$A60, Data_main[Segment],$B60, Data_main[Scenario],$B$3))</f>
        <v>0</v>
      </c>
      <c r="BU60" s="531">
        <f ca="1">IF($B$6="ON", IF(BU58&gt;=covid_start, IF(BU58&lt;covid_recovery,NA(),SUMIFS(INDIRECT("Data_main"&amp;"["&amp;BU$8&amp;"]"),Data_main[Data],$A60, Data_main[Segment],$B60, Data_main[Scenario],$B$3)),SUMIFS(INDIRECT("Data_main"&amp;"["&amp;BU$8&amp;"]"),Data_main[Data],$A60, Data_main[Segment],$B60, Data_main[Scenario],$B$3)),SUMIFS(INDIRECT("Data_main"&amp;"["&amp;BU$8&amp;"]"),Data_main[Data],$A60, Data_main[Segment],$B60, Data_main[Scenario],$B$3))</f>
        <v>0</v>
      </c>
      <c r="BV60" s="531">
        <f ca="1">IF($B$6="ON", IF(BV58&gt;=covid_start, IF(BV58&lt;covid_recovery,NA(),SUMIFS(INDIRECT("Data_main"&amp;"["&amp;BV$8&amp;"]"),Data_main[Data],$A60, Data_main[Segment],$B60, Data_main[Scenario],$B$3)),SUMIFS(INDIRECT("Data_main"&amp;"["&amp;BV$8&amp;"]"),Data_main[Data],$A60, Data_main[Segment],$B60, Data_main[Scenario],$B$3)),SUMIFS(INDIRECT("Data_main"&amp;"["&amp;BV$8&amp;"]"),Data_main[Data],$A60, Data_main[Segment],$B60, Data_main[Scenario],$B$3))</f>
        <v>0</v>
      </c>
      <c r="BW60" s="531">
        <f ca="1">IF($B$6="ON", IF(BW58&gt;=covid_start, IF(BW58&lt;covid_recovery,NA(),SUMIFS(INDIRECT("Data_main"&amp;"["&amp;BW$8&amp;"]"),Data_main[Data],$A60, Data_main[Segment],$B60, Data_main[Scenario],$B$3)),SUMIFS(INDIRECT("Data_main"&amp;"["&amp;BW$8&amp;"]"),Data_main[Data],$A60, Data_main[Segment],$B60, Data_main[Scenario],$B$3)),SUMIFS(INDIRECT("Data_main"&amp;"["&amp;BW$8&amp;"]"),Data_main[Data],$A60, Data_main[Segment],$B60, Data_main[Scenario],$B$3))</f>
        <v>0</v>
      </c>
      <c r="BX60" s="531">
        <f ca="1">IF($B$6="ON", IF(BX58&gt;=covid_start, IF(BX58&lt;covid_recovery,NA(),SUMIFS(INDIRECT("Data_main"&amp;"["&amp;BX$8&amp;"]"),Data_main[Data],$A60, Data_main[Segment],$B60, Data_main[Scenario],$B$3)),SUMIFS(INDIRECT("Data_main"&amp;"["&amp;BX$8&amp;"]"),Data_main[Data],$A60, Data_main[Segment],$B60, Data_main[Scenario],$B$3)),SUMIFS(INDIRECT("Data_main"&amp;"["&amp;BX$8&amp;"]"),Data_main[Data],$A60, Data_main[Segment],$B60, Data_main[Scenario],$B$3))</f>
        <v>0</v>
      </c>
      <c r="BY60" s="531">
        <f ca="1">IF($B$6="ON", IF(BY58&gt;=covid_start, IF(BY58&lt;covid_recovery,NA(),SUMIFS(INDIRECT("Data_main"&amp;"["&amp;BY$8&amp;"]"),Data_main[Data],$A60, Data_main[Segment],$B60, Data_main[Scenario],$B$3)),SUMIFS(INDIRECT("Data_main"&amp;"["&amp;BY$8&amp;"]"),Data_main[Data],$A60, Data_main[Segment],$B60, Data_main[Scenario],$B$3)),SUMIFS(INDIRECT("Data_main"&amp;"["&amp;BY$8&amp;"]"),Data_main[Data],$A60, Data_main[Segment],$B60, Data_main[Scenario],$B$3))</f>
        <v>0</v>
      </c>
      <c r="BZ60" s="531">
        <f ca="1">IF($B$6="ON", IF(BZ58&gt;=covid_start, IF(BZ58&lt;covid_recovery,NA(),SUMIFS(INDIRECT("Data_main"&amp;"["&amp;BZ$8&amp;"]"),Data_main[Data],$A60, Data_main[Segment],$B60, Data_main[Scenario],$B$3)),SUMIFS(INDIRECT("Data_main"&amp;"["&amp;BZ$8&amp;"]"),Data_main[Data],$A60, Data_main[Segment],$B60, Data_main[Scenario],$B$3)),SUMIFS(INDIRECT("Data_main"&amp;"["&amp;BZ$8&amp;"]"),Data_main[Data],$A60, Data_main[Segment],$B60, Data_main[Scenario],$B$3))</f>
        <v>0</v>
      </c>
      <c r="CA60" s="531">
        <f ca="1">IF($B$6="ON", IF(CA58&gt;=covid_start, IF(CA58&lt;covid_recovery,NA(),SUMIFS(INDIRECT("Data_main"&amp;"["&amp;CA$8&amp;"]"),Data_main[Data],$A60, Data_main[Segment],$B60, Data_main[Scenario],$B$3)),SUMIFS(INDIRECT("Data_main"&amp;"["&amp;CA$8&amp;"]"),Data_main[Data],$A60, Data_main[Segment],$B60, Data_main[Scenario],$B$3)),SUMIFS(INDIRECT("Data_main"&amp;"["&amp;CA$8&amp;"]"),Data_main[Data],$A60, Data_main[Segment],$B60, Data_main[Scenario],$B$3))</f>
        <v>0</v>
      </c>
      <c r="CB60" s="531">
        <f ca="1">IF($B$6="ON", IF(CB58&gt;=covid_start, IF(CB58&lt;covid_recovery,NA(),SUMIFS(INDIRECT("Data_main"&amp;"["&amp;CB$8&amp;"]"),Data_main[Data],$A60, Data_main[Segment],$B60, Data_main[Scenario],$B$3)),SUMIFS(INDIRECT("Data_main"&amp;"["&amp;CB$8&amp;"]"),Data_main[Data],$A60, Data_main[Segment],$B60, Data_main[Scenario],$B$3)),SUMIFS(INDIRECT("Data_main"&amp;"["&amp;CB$8&amp;"]"),Data_main[Data],$A60, Data_main[Segment],$B60, Data_main[Scenario],$B$3))</f>
        <v>0</v>
      </c>
      <c r="CC60" s="531">
        <f ca="1">IF($B$6="ON", IF(CC58&gt;=covid_start, IF(CC58&lt;covid_recovery,NA(),SUMIFS(INDIRECT("Data_main"&amp;"["&amp;CC$8&amp;"]"),Data_main[Data],$A60, Data_main[Segment],$B60, Data_main[Scenario],$B$3)),SUMIFS(INDIRECT("Data_main"&amp;"["&amp;CC$8&amp;"]"),Data_main[Data],$A60, Data_main[Segment],$B60, Data_main[Scenario],$B$3)),SUMIFS(INDIRECT("Data_main"&amp;"["&amp;CC$8&amp;"]"),Data_main[Data],$A60, Data_main[Segment],$B60, Data_main[Scenario],$B$3))</f>
        <v>0</v>
      </c>
      <c r="CD60" s="531">
        <f ca="1">IF($B$6="ON", IF(CD58&gt;=covid_start, IF(CD58&lt;covid_recovery,NA(),SUMIFS(INDIRECT("Data_main"&amp;"["&amp;CD$8&amp;"]"),Data_main[Data],$A60, Data_main[Segment],$B60, Data_main[Scenario],$B$3)),SUMIFS(INDIRECT("Data_main"&amp;"["&amp;CD$8&amp;"]"),Data_main[Data],$A60, Data_main[Segment],$B60, Data_main[Scenario],$B$3)),SUMIFS(INDIRECT("Data_main"&amp;"["&amp;CD$8&amp;"]"),Data_main[Data],$A60, Data_main[Segment],$B60, Data_main[Scenario],$B$3))</f>
        <v>0</v>
      </c>
      <c r="CE60" s="531">
        <f ca="1">IF($B$6="ON", IF(CE58&gt;=covid_start, IF(CE58&lt;covid_recovery,NA(),SUMIFS(INDIRECT("Data_main"&amp;"["&amp;CE$8&amp;"]"),Data_main[Data],$A60, Data_main[Segment],$B60, Data_main[Scenario],$B$3)),SUMIFS(INDIRECT("Data_main"&amp;"["&amp;CE$8&amp;"]"),Data_main[Data],$A60, Data_main[Segment],$B60, Data_main[Scenario],$B$3)),SUMIFS(INDIRECT("Data_main"&amp;"["&amp;CE$8&amp;"]"),Data_main[Data],$A60, Data_main[Segment],$B60, Data_main[Scenario],$B$3))</f>
        <v>0</v>
      </c>
      <c r="CF60" s="531">
        <f ca="1">IF($B$6="ON", IF(CF58&gt;=covid_start, IF(CF58&lt;covid_recovery,NA(),SUMIFS(INDIRECT("Data_main"&amp;"["&amp;CF$8&amp;"]"),Data_main[Data],$A60, Data_main[Segment],$B60, Data_main[Scenario],$B$3)),SUMIFS(INDIRECT("Data_main"&amp;"["&amp;CF$8&amp;"]"),Data_main[Data],$A60, Data_main[Segment],$B60, Data_main[Scenario],$B$3)),SUMIFS(INDIRECT("Data_main"&amp;"["&amp;CF$8&amp;"]"),Data_main[Data],$A60, Data_main[Segment],$B60, Data_main[Scenario],$B$3))</f>
        <v>0</v>
      </c>
      <c r="CG60" s="531">
        <f ca="1">IF($B$6="ON", IF(CG58&gt;=covid_start, IF(CG58&lt;covid_recovery,NA(),SUMIFS(INDIRECT("Data_main"&amp;"["&amp;CG$8&amp;"]"),Data_main[Data],$A60, Data_main[Segment],$B60, Data_main[Scenario],$B$3)),SUMIFS(INDIRECT("Data_main"&amp;"["&amp;CG$8&amp;"]"),Data_main[Data],$A60, Data_main[Segment],$B60, Data_main[Scenario],$B$3)),SUMIFS(INDIRECT("Data_main"&amp;"["&amp;CG$8&amp;"]"),Data_main[Data],$A60, Data_main[Segment],$B60, Data_main[Scenario],$B$3))</f>
        <v>0</v>
      </c>
      <c r="CH60" s="531">
        <f ca="1">IF($B$6="ON", IF(CH58&gt;=covid_start, IF(CH58&lt;covid_recovery,NA(),SUMIFS(INDIRECT("Data_main"&amp;"["&amp;CH$8&amp;"]"),Data_main[Data],$A60, Data_main[Segment],$B60, Data_main[Scenario],$B$3)),SUMIFS(INDIRECT("Data_main"&amp;"["&amp;CH$8&amp;"]"),Data_main[Data],$A60, Data_main[Segment],$B60, Data_main[Scenario],$B$3)),SUMIFS(INDIRECT("Data_main"&amp;"["&amp;CH$8&amp;"]"),Data_main[Data],$A60, Data_main[Segment],$B60, Data_main[Scenario],$B$3))</f>
        <v>0</v>
      </c>
      <c r="CI60" s="531">
        <f ca="1">IF($B$6="ON", IF(CI58&gt;=covid_start, IF(CI58&lt;covid_recovery,NA(),SUMIFS(INDIRECT("Data_main"&amp;"["&amp;CI$8&amp;"]"),Data_main[Data],$A60, Data_main[Segment],$B60, Data_main[Scenario],$B$3)),SUMIFS(INDIRECT("Data_main"&amp;"["&amp;CI$8&amp;"]"),Data_main[Data],$A60, Data_main[Segment],$B60, Data_main[Scenario],$B$3)),SUMIFS(INDIRECT("Data_main"&amp;"["&amp;CI$8&amp;"]"),Data_main[Data],$A60, Data_main[Segment],$B60, Data_main[Scenario],$B$3))</f>
        <v>0</v>
      </c>
      <c r="CJ60" s="531">
        <f ca="1">IF($B$6="ON", IF(CJ58&gt;=covid_start, IF(CJ58&lt;covid_recovery,NA(),SUMIFS(INDIRECT("Data_main"&amp;"["&amp;CJ$8&amp;"]"),Data_main[Data],$A60, Data_main[Segment],$B60, Data_main[Scenario],$B$3)),SUMIFS(INDIRECT("Data_main"&amp;"["&amp;CJ$8&amp;"]"),Data_main[Data],$A60, Data_main[Segment],$B60, Data_main[Scenario],$B$3)),SUMIFS(INDIRECT("Data_main"&amp;"["&amp;CJ$8&amp;"]"),Data_main[Data],$A60, Data_main[Segment],$B60, Data_main[Scenario],$B$3))</f>
        <v>0</v>
      </c>
      <c r="CK60" s="531">
        <f ca="1">IF($B$6="ON", IF(CK58&gt;=covid_start, IF(CK58&lt;covid_recovery,NA(),SUMIFS(INDIRECT("Data_main"&amp;"["&amp;CK$8&amp;"]"),Data_main[Data],$A60, Data_main[Segment],$B60, Data_main[Scenario],$B$3)),SUMIFS(INDIRECT("Data_main"&amp;"["&amp;CK$8&amp;"]"),Data_main[Data],$A60, Data_main[Segment],$B60, Data_main[Scenario],$B$3)),SUMIFS(INDIRECT("Data_main"&amp;"["&amp;CK$8&amp;"]"),Data_main[Data],$A60, Data_main[Segment],$B60, Data_main[Scenario],$B$3))</f>
        <v>0</v>
      </c>
      <c r="CL60" s="531">
        <f ca="1">IF($B$6="ON", IF(CL58&gt;=covid_start, IF(CL58&lt;covid_recovery,NA(),SUMIFS(INDIRECT("Data_main"&amp;"["&amp;CL$8&amp;"]"),Data_main[Data],$A60, Data_main[Segment],$B60, Data_main[Scenario],$B$3)),SUMIFS(INDIRECT("Data_main"&amp;"["&amp;CL$8&amp;"]"),Data_main[Data],$A60, Data_main[Segment],$B60, Data_main[Scenario],$B$3)),SUMIFS(INDIRECT("Data_main"&amp;"["&amp;CL$8&amp;"]"),Data_main[Data],$A60, Data_main[Segment],$B60, Data_main[Scenario],$B$3))</f>
        <v>0</v>
      </c>
      <c r="CN60" s="613">
        <f ca="1">IFERROR((Y60/H60)^(1/17)-1,"")</f>
        <v>2.9366188858404474E-2</v>
      </c>
      <c r="CO60" s="613">
        <f ca="1">IFERROR((AN60/Y60)^(1/15)-1,"")</f>
        <v>2.7300190311734696E-2</v>
      </c>
      <c r="CP60" s="613">
        <f ca="1">IFERROR((AN60/H60)^(1/32)-1,"")</f>
        <v>2.83972352121733E-2</v>
      </c>
    </row>
    <row r="61" spans="1:94" outlineLevel="1">
      <c r="A61" s="532" t="s">
        <v>158</v>
      </c>
      <c r="B61" s="532" t="str">
        <f t="shared" si="160"/>
        <v>Pax-short</v>
      </c>
      <c r="C61" s="533" t="s">
        <v>333</v>
      </c>
      <c r="D61" s="530" t="s">
        <v>334</v>
      </c>
      <c r="E61" s="531">
        <f ca="1">IF($B$6="ON", IF(E58&gt;=covid_start, IF(E58&lt;covid_recovery,NA(),SUMIFS(INDIRECT("Data_main"&amp;"["&amp;E$8&amp;"]"),Data_main[Data],$A61, Data_main[Segment],$B61, Data_main[Scenario],$B$3)),SUMIFS(INDIRECT("Data_main"&amp;"["&amp;E$8&amp;"]"),Data_main[Data],$A61, Data_main[Segment],$B61, Data_main[Scenario],$B$3)),SUMIFS(INDIRECT("Data_main"&amp;"["&amp;E$8&amp;"]"),Data_main[Data],$A61, Data_main[Segment],$B61, Data_main[Scenario],$B$3))</f>
        <v>1401.0714773798429</v>
      </c>
      <c r="F61" s="531">
        <f ca="1">IF($B$6="ON", IF(F58&gt;=covid_start, IF(F58&lt;covid_recovery,NA(),SUMIFS(INDIRECT("Data_main"&amp;"["&amp;F$8&amp;"]"),Data_main[Data],$A61, Data_main[Segment],$B61, Data_main[Scenario],$B$3)),SUMIFS(INDIRECT("Data_main"&amp;"["&amp;F$8&amp;"]"),Data_main[Data],$A61, Data_main[Segment],$B61, Data_main[Scenario],$B$3)),SUMIFS(INDIRECT("Data_main"&amp;"["&amp;F$8&amp;"]"),Data_main[Data],$A61, Data_main[Segment],$B61, Data_main[Scenario],$B$3))</f>
        <v>1374.5281039005874</v>
      </c>
      <c r="G61" s="531">
        <f ca="1">IF($B$6="ON", IF(G58&gt;=covid_start, IF(G58&lt;covid_recovery,NA(),SUMIFS(INDIRECT("Data_main"&amp;"["&amp;G$8&amp;"]"),Data_main[Data],$A61, Data_main[Segment],$B61, Data_main[Scenario],$B$3)),SUMIFS(INDIRECT("Data_main"&amp;"["&amp;G$8&amp;"]"),Data_main[Data],$A61, Data_main[Segment],$B61, Data_main[Scenario],$B$3)),SUMIFS(INDIRECT("Data_main"&amp;"["&amp;G$8&amp;"]"),Data_main[Data],$A61, Data_main[Segment],$B61, Data_main[Scenario],$B$3))</f>
        <v>1351.3518770939982</v>
      </c>
      <c r="H61" s="531">
        <f ca="1">IF($B$6="ON", IF(H58&gt;=covid_start, IF(H58&lt;covid_recovery,NA(),SUMIFS(INDIRECT("Data_main"&amp;"["&amp;H$8&amp;"]"),Data_main[Data],$A61, Data_main[Segment],$B61, Data_main[Scenario],$B$3)),SUMIFS(INDIRECT("Data_main"&amp;"["&amp;H$8&amp;"]"),Data_main[Data],$A61, Data_main[Segment],$B61, Data_main[Scenario],$B$3)),SUMIFS(INDIRECT("Data_main"&amp;"["&amp;H$8&amp;"]"),Data_main[Data],$A61, Data_main[Segment],$B61, Data_main[Scenario],$B$3))</f>
        <v>1330.9403047676328</v>
      </c>
      <c r="I61" s="531">
        <f ca="1">IF($B$6="ON", IF(I58&gt;=covid_start, IF(I58&lt;covid_recovery,NA(),SUMIFS(INDIRECT("Data_main"&amp;"["&amp;I$8&amp;"]"),Data_main[Data],$A61, Data_main[Segment],$B61, Data_main[Scenario],$B$3)),SUMIFS(INDIRECT("Data_main"&amp;"["&amp;I$8&amp;"]"),Data_main[Data],$A61, Data_main[Segment],$B61, Data_main[Scenario],$B$3)),SUMIFS(INDIRECT("Data_main"&amp;"["&amp;I$8&amp;"]"),Data_main[Data],$A61, Data_main[Segment],$B61, Data_main[Scenario],$B$3))</f>
        <v>1303.1682659292971</v>
      </c>
      <c r="J61" s="531" t="e">
        <f ca="1">IF($B$6="ON", IF(J58&gt;=covid_start, IF(J58&lt;covid_recovery,NA(),SUMIFS(INDIRECT("Data_main"&amp;"["&amp;J$8&amp;"]"),Data_main[Data],$A61, Data_main[Segment],$B61, Data_main[Scenario],$B$3)),SUMIFS(INDIRECT("Data_main"&amp;"["&amp;J$8&amp;"]"),Data_main[Data],$A61, Data_main[Segment],$B61, Data_main[Scenario],$B$3)),SUMIFS(INDIRECT("Data_main"&amp;"["&amp;J$8&amp;"]"),Data_main[Data],$A61, Data_main[Segment],$B61, Data_main[Scenario],$B$3))</f>
        <v>#N/A</v>
      </c>
      <c r="K61" s="531" t="e">
        <f ca="1">IF($B$6="ON", IF(K58&gt;=covid_start, IF(K58&lt;covid_recovery,NA(),SUMIFS(INDIRECT("Data_main"&amp;"["&amp;K$8&amp;"]"),Data_main[Data],$A61, Data_main[Segment],$B61, Data_main[Scenario],$B$3)),SUMIFS(INDIRECT("Data_main"&amp;"["&amp;K$8&amp;"]"),Data_main[Data],$A61, Data_main[Segment],$B61, Data_main[Scenario],$B$3)),SUMIFS(INDIRECT("Data_main"&amp;"["&amp;K$8&amp;"]"),Data_main[Data],$A61, Data_main[Segment],$B61, Data_main[Scenario],$B$3))</f>
        <v>#N/A</v>
      </c>
      <c r="L61" s="531" t="e">
        <f ca="1">IF($B$6="ON", IF(L58&gt;=covid_start, IF(L58&lt;covid_recovery,NA(),SUMIFS(INDIRECT("Data_main"&amp;"["&amp;L$8&amp;"]"),Data_main[Data],$A61, Data_main[Segment],$B61, Data_main[Scenario],$B$3)),SUMIFS(INDIRECT("Data_main"&amp;"["&amp;L$8&amp;"]"),Data_main[Data],$A61, Data_main[Segment],$B61, Data_main[Scenario],$B$3)),SUMIFS(INDIRECT("Data_main"&amp;"["&amp;L$8&amp;"]"),Data_main[Data],$A61, Data_main[Segment],$B61, Data_main[Scenario],$B$3))</f>
        <v>#N/A</v>
      </c>
      <c r="M61" s="531">
        <f ca="1">IF($B$6="ON", IF(M58&gt;=covid_start, IF(M58&lt;covid_recovery,NA(),SUMIFS(INDIRECT("Data_main"&amp;"["&amp;M$8&amp;"]"),Data_main[Data],$A61, Data_main[Segment],$B61, Data_main[Scenario],$B$3)),SUMIFS(INDIRECT("Data_main"&amp;"["&amp;M$8&amp;"]"),Data_main[Data],$A61, Data_main[Segment],$B61, Data_main[Scenario],$B$3)),SUMIFS(INDIRECT("Data_main"&amp;"["&amp;M$8&amp;"]"),Data_main[Data],$A61, Data_main[Segment],$B61, Data_main[Scenario],$B$3))</f>
        <v>1134.8733788803036</v>
      </c>
      <c r="N61" s="531">
        <f ca="1">IF($B$6="ON", IF(N58&gt;=covid_start, IF(N58&lt;covid_recovery,NA(),SUMIFS(INDIRECT("Data_main"&amp;"["&amp;N$8&amp;"]"),Data_main[Data],$A61, Data_main[Segment],$B61, Data_main[Scenario],$B$3)),SUMIFS(INDIRECT("Data_main"&amp;"["&amp;N$8&amp;"]"),Data_main[Data],$A61, Data_main[Segment],$B61, Data_main[Scenario],$B$3)),SUMIFS(INDIRECT("Data_main"&amp;"["&amp;N$8&amp;"]"),Data_main[Data],$A61, Data_main[Segment],$B61, Data_main[Scenario],$B$3))</f>
        <v>1098.6807607283199</v>
      </c>
      <c r="O61" s="531">
        <f ca="1">IF($B$6="ON", IF(O58&gt;=covid_start, IF(O58&lt;covid_recovery,NA(),SUMIFS(INDIRECT("Data_main"&amp;"["&amp;O$8&amp;"]"),Data_main[Data],$A61, Data_main[Segment],$B61, Data_main[Scenario],$B$3)),SUMIFS(INDIRECT("Data_main"&amp;"["&amp;O$8&amp;"]"),Data_main[Data],$A61, Data_main[Segment],$B61, Data_main[Scenario],$B$3)),SUMIFS(INDIRECT("Data_main"&amp;"["&amp;O$8&amp;"]"),Data_main[Data],$A61, Data_main[Segment],$B61, Data_main[Scenario],$B$3))</f>
        <v>1064.4567235736938</v>
      </c>
      <c r="P61" s="531">
        <f ca="1">IF($B$6="ON", IF(P58&gt;=covid_start, IF(P58&lt;covid_recovery,NA(),SUMIFS(INDIRECT("Data_main"&amp;"["&amp;P$8&amp;"]"),Data_main[Data],$A61, Data_main[Segment],$B61, Data_main[Scenario],$B$3)),SUMIFS(INDIRECT("Data_main"&amp;"["&amp;P$8&amp;"]"),Data_main[Data],$A61, Data_main[Segment],$B61, Data_main[Scenario],$B$3)),SUMIFS(INDIRECT("Data_main"&amp;"["&amp;P$8&amp;"]"),Data_main[Data],$A61, Data_main[Segment],$B61, Data_main[Scenario],$B$3))</f>
        <v>1032.0449078124209</v>
      </c>
      <c r="Q61" s="531">
        <f ca="1">IF($B$6="ON", IF(Q58&gt;=covid_start, IF(Q58&lt;covid_recovery,NA(),SUMIFS(INDIRECT("Data_main"&amp;"["&amp;Q$8&amp;"]"),Data_main[Data],$A61, Data_main[Segment],$B61, Data_main[Scenario],$B$3)),SUMIFS(INDIRECT("Data_main"&amp;"["&amp;Q$8&amp;"]"),Data_main[Data],$A61, Data_main[Segment],$B61, Data_main[Scenario],$B$3)),SUMIFS(INDIRECT("Data_main"&amp;"["&amp;Q$8&amp;"]"),Data_main[Data],$A61, Data_main[Segment],$B61, Data_main[Scenario],$B$3))</f>
        <v>1001.3050857520744</v>
      </c>
      <c r="R61" s="531">
        <f ca="1">IF($B$6="ON", IF(R58&gt;=covid_start, IF(R58&lt;covid_recovery,NA(),SUMIFS(INDIRECT("Data_main"&amp;"["&amp;R$8&amp;"]"),Data_main[Data],$A61, Data_main[Segment],$B61, Data_main[Scenario],$B$3)),SUMIFS(INDIRECT("Data_main"&amp;"["&amp;R$8&amp;"]"),Data_main[Data],$A61, Data_main[Segment],$B61, Data_main[Scenario],$B$3)),SUMIFS(INDIRECT("Data_main"&amp;"["&amp;R$8&amp;"]"),Data_main[Data],$A61, Data_main[Segment],$B61, Data_main[Scenario],$B$3))</f>
        <v>972.11113347428238</v>
      </c>
      <c r="S61" s="531">
        <f ca="1">IF($B$6="ON", IF(S58&gt;=covid_start, IF(S58&lt;covid_recovery,NA(),SUMIFS(INDIRECT("Data_main"&amp;"["&amp;S$8&amp;"]"),Data_main[Data],$A61, Data_main[Segment],$B61, Data_main[Scenario],$B$3)),SUMIFS(INDIRECT("Data_main"&amp;"["&amp;S$8&amp;"]"),Data_main[Data],$A61, Data_main[Segment],$B61, Data_main[Scenario],$B$3)),SUMIFS(INDIRECT("Data_main"&amp;"["&amp;S$8&amp;"]"),Data_main[Data],$A61, Data_main[Segment],$B61, Data_main[Scenario],$B$3))</f>
        <v>944.34930117027864</v>
      </c>
      <c r="T61" s="531">
        <f ca="1">IF($B$6="ON", IF(T58&gt;=covid_start, IF(T58&lt;covid_recovery,NA(),SUMIFS(INDIRECT("Data_main"&amp;"["&amp;T$8&amp;"]"),Data_main[Data],$A61, Data_main[Segment],$B61, Data_main[Scenario],$B$3)),SUMIFS(INDIRECT("Data_main"&amp;"["&amp;T$8&amp;"]"),Data_main[Data],$A61, Data_main[Segment],$B61, Data_main[Scenario],$B$3)),SUMIFS(INDIRECT("Data_main"&amp;"["&amp;T$8&amp;"]"),Data_main[Data],$A61, Data_main[Segment],$B61, Data_main[Scenario],$B$3))</f>
        <v>917.91673193041765</v>
      </c>
      <c r="U61" s="531">
        <f ca="1">IF($B$6="ON", IF(U58&gt;=covid_start, IF(U58&lt;covid_recovery,NA(),SUMIFS(INDIRECT("Data_main"&amp;"["&amp;U$8&amp;"]"),Data_main[Data],$A61, Data_main[Segment],$B61, Data_main[Scenario],$B$3)),SUMIFS(INDIRECT("Data_main"&amp;"["&amp;U$8&amp;"]"),Data_main[Data],$A61, Data_main[Segment],$B61, Data_main[Scenario],$B$3)),SUMIFS(INDIRECT("Data_main"&amp;"["&amp;U$8&amp;"]"),Data_main[Data],$A61, Data_main[Segment],$B61, Data_main[Scenario],$B$3))</f>
        <v>881.51050224072799</v>
      </c>
      <c r="V61" s="531">
        <f ca="1">IF($B$6="ON", IF(V58&gt;=covid_start, IF(V58&lt;covid_recovery,NA(),SUMIFS(INDIRECT("Data_main"&amp;"["&amp;V$8&amp;"]"),Data_main[Data],$A61, Data_main[Segment],$B61, Data_main[Scenario],$B$3)),SUMIFS(INDIRECT("Data_main"&amp;"["&amp;V$8&amp;"]"),Data_main[Data],$A61, Data_main[Segment],$B61, Data_main[Scenario],$B$3)),SUMIFS(INDIRECT("Data_main"&amp;"["&amp;V$8&amp;"]"),Data_main[Data],$A61, Data_main[Segment],$B61, Data_main[Scenario],$B$3))</f>
        <v>847.18820004056101</v>
      </c>
      <c r="W61" s="531">
        <f ca="1">IF($B$6="ON", IF(W58&gt;=covid_start, IF(W58&lt;covid_recovery,NA(),SUMIFS(INDIRECT("Data_main"&amp;"["&amp;W$8&amp;"]"),Data_main[Data],$A61, Data_main[Segment],$B61, Data_main[Scenario],$B$3)),SUMIFS(INDIRECT("Data_main"&amp;"["&amp;W$8&amp;"]"),Data_main[Data],$A61, Data_main[Segment],$B61, Data_main[Scenario],$B$3)),SUMIFS(INDIRECT("Data_main"&amp;"["&amp;W$8&amp;"]"),Data_main[Data],$A61, Data_main[Segment],$B61, Data_main[Scenario],$B$3))</f>
        <v>814.77587486462153</v>
      </c>
      <c r="X61" s="531">
        <f ca="1">IF($B$6="ON", IF(X58&gt;=covid_start, IF(X58&lt;covid_recovery,NA(),SUMIFS(INDIRECT("Data_main"&amp;"["&amp;X$8&amp;"]"),Data_main[Data],$A61, Data_main[Segment],$B61, Data_main[Scenario],$B$3)),SUMIFS(INDIRECT("Data_main"&amp;"["&amp;X$8&amp;"]"),Data_main[Data],$A61, Data_main[Segment],$B61, Data_main[Scenario],$B$3)),SUMIFS(INDIRECT("Data_main"&amp;"["&amp;X$8&amp;"]"),Data_main[Data],$A61, Data_main[Segment],$B61, Data_main[Scenario],$B$3))</f>
        <v>784.11841224013858</v>
      </c>
      <c r="Y61" s="531">
        <f ca="1">IF($B$6="ON", IF(Y58&gt;=covid_start, IF(Y58&lt;covid_recovery,NA(),SUMIFS(INDIRECT("Data_main"&amp;"["&amp;Y$8&amp;"]"),Data_main[Data],$A61, Data_main[Segment],$B61, Data_main[Scenario],$B$3)),SUMIFS(INDIRECT("Data_main"&amp;"["&amp;Y$8&amp;"]"),Data_main[Data],$A61, Data_main[Segment],$B61, Data_main[Scenario],$B$3)),SUMIFS(INDIRECT("Data_main"&amp;"["&amp;Y$8&amp;"]"),Data_main[Data],$A61, Data_main[Segment],$B61, Data_main[Scenario],$B$3))</f>
        <v>755.07705134834669</v>
      </c>
      <c r="Z61" s="531">
        <f ca="1">IF($B$6="ON", IF(Z58&gt;=covid_start, IF(Z58&lt;covid_recovery,NA(),SUMIFS(INDIRECT("Data_main"&amp;"["&amp;Z$8&amp;"]"),Data_main[Data],$A61, Data_main[Segment],$B61, Data_main[Scenario],$B$3)),SUMIFS(INDIRECT("Data_main"&amp;"["&amp;Z$8&amp;"]"),Data_main[Data],$A61, Data_main[Segment],$B61, Data_main[Scenario],$B$3)),SUMIFS(INDIRECT("Data_main"&amp;"["&amp;Z$8&amp;"]"),Data_main[Data],$A61, Data_main[Segment],$B61, Data_main[Scenario],$B$3))</f>
        <v>727.52728517248397</v>
      </c>
      <c r="AA61" s="531">
        <f ca="1">IF($B$6="ON", IF(AA58&gt;=covid_start, IF(AA58&lt;covid_recovery,NA(),SUMIFS(INDIRECT("Data_main"&amp;"["&amp;AA$8&amp;"]"),Data_main[Data],$A61, Data_main[Segment],$B61, Data_main[Scenario],$B$3)),SUMIFS(INDIRECT("Data_main"&amp;"["&amp;AA$8&amp;"]"),Data_main[Data],$A61, Data_main[Segment],$B61, Data_main[Scenario],$B$3)),SUMIFS(INDIRECT("Data_main"&amp;"["&amp;AA$8&amp;"]"),Data_main[Data],$A61, Data_main[Segment],$B61, Data_main[Scenario],$B$3))</f>
        <v>701.35707609664519</v>
      </c>
      <c r="AB61" s="531">
        <f ca="1">IF($B$6="ON", IF(AB58&gt;=covid_start, IF(AB58&lt;covid_recovery,NA(),SUMIFS(INDIRECT("Data_main"&amp;"["&amp;AB$8&amp;"]"),Data_main[Data],$A61, Data_main[Segment],$B61, Data_main[Scenario],$B$3)),SUMIFS(INDIRECT("Data_main"&amp;"["&amp;AB$8&amp;"]"),Data_main[Data],$A61, Data_main[Segment],$B61, Data_main[Scenario],$B$3)),SUMIFS(INDIRECT("Data_main"&amp;"["&amp;AB$8&amp;"]"),Data_main[Data],$A61, Data_main[Segment],$B61, Data_main[Scenario],$B$3))</f>
        <v>676.46533301911381</v>
      </c>
      <c r="AC61" s="531">
        <f ca="1">IF($B$6="ON", IF(AC58&gt;=covid_start, IF(AC58&lt;covid_recovery,NA(),SUMIFS(INDIRECT("Data_main"&amp;"["&amp;AC$8&amp;"]"),Data_main[Data],$A61, Data_main[Segment],$B61, Data_main[Scenario],$B$3)),SUMIFS(INDIRECT("Data_main"&amp;"["&amp;AC$8&amp;"]"),Data_main[Data],$A61, Data_main[Segment],$B61, Data_main[Scenario],$B$3)),SUMIFS(INDIRECT("Data_main"&amp;"["&amp;AC$8&amp;"]"),Data_main[Data],$A61, Data_main[Segment],$B61, Data_main[Scenario],$B$3))</f>
        <v>652.76060633208351</v>
      </c>
      <c r="AD61" s="531">
        <f ca="1">IF($B$6="ON", IF(AD58&gt;=covid_start, IF(AD58&lt;covid_recovery,NA(),SUMIFS(INDIRECT("Data_main"&amp;"["&amp;AD$8&amp;"]"),Data_main[Data],$A61, Data_main[Segment],$B61, Data_main[Scenario],$B$3)),SUMIFS(INDIRECT("Data_main"&amp;"["&amp;AD$8&amp;"]"),Data_main[Data],$A61, Data_main[Segment],$B61, Data_main[Scenario],$B$3)),SUMIFS(INDIRECT("Data_main"&amp;"["&amp;AD$8&amp;"]"),Data_main[Data],$A61, Data_main[Segment],$B61, Data_main[Scenario],$B$3))</f>
        <v>630.15996525161449</v>
      </c>
      <c r="AE61" s="531">
        <f ca="1">IF($B$6="ON", IF(AE58&gt;=covid_start, IF(AE58&lt;covid_recovery,NA(),SUMIFS(INDIRECT("Data_main"&amp;"["&amp;AE$8&amp;"]"),Data_main[Data],$A61, Data_main[Segment],$B61, Data_main[Scenario],$B$3)),SUMIFS(INDIRECT("Data_main"&amp;"["&amp;AE$8&amp;"]"),Data_main[Data],$A61, Data_main[Segment],$B61, Data_main[Scenario],$B$3)),SUMIFS(INDIRECT("Data_main"&amp;"["&amp;AE$8&amp;"]"),Data_main[Data],$A61, Data_main[Segment],$B61, Data_main[Scenario],$B$3))</f>
        <v>607.53931176320509</v>
      </c>
      <c r="AF61" s="531">
        <f ca="1">IF($B$6="ON", IF(AF58&gt;=covid_start, IF(AF58&lt;covid_recovery,NA(),SUMIFS(INDIRECT("Data_main"&amp;"["&amp;AF$8&amp;"]"),Data_main[Data],$A61, Data_main[Segment],$B61, Data_main[Scenario],$B$3)),SUMIFS(INDIRECT("Data_main"&amp;"["&amp;AF$8&amp;"]"),Data_main[Data],$A61, Data_main[Segment],$B61, Data_main[Scenario],$B$3)),SUMIFS(INDIRECT("Data_main"&amp;"["&amp;AF$8&amp;"]"),Data_main[Data],$A61, Data_main[Segment],$B61, Data_main[Scenario],$B$3))</f>
        <v>586.2929348652259</v>
      </c>
      <c r="AG61" s="531">
        <f ca="1">IF($B$6="ON", IF(AG58&gt;=covid_start, IF(AG58&lt;covid_recovery,NA(),SUMIFS(INDIRECT("Data_main"&amp;"["&amp;AG$8&amp;"]"),Data_main[Data],$A61, Data_main[Segment],$B61, Data_main[Scenario],$B$3)),SUMIFS(INDIRECT("Data_main"&amp;"["&amp;AG$8&amp;"]"),Data_main[Data],$A61, Data_main[Segment],$B61, Data_main[Scenario],$B$3)),SUMIFS(INDIRECT("Data_main"&amp;"["&amp;AG$8&amp;"]"),Data_main[Data],$A61, Data_main[Segment],$B61, Data_main[Scenario],$B$3))</f>
        <v>566.2992891857765</v>
      </c>
      <c r="AH61" s="531">
        <f ca="1">IF($B$6="ON", IF(AH58&gt;=covid_start, IF(AH58&lt;covid_recovery,NA(),SUMIFS(INDIRECT("Data_main"&amp;"["&amp;AH$8&amp;"]"),Data_main[Data],$A61, Data_main[Segment],$B61, Data_main[Scenario],$B$3)),SUMIFS(INDIRECT("Data_main"&amp;"["&amp;AH$8&amp;"]"),Data_main[Data],$A61, Data_main[Segment],$B61, Data_main[Scenario],$B$3)),SUMIFS(INDIRECT("Data_main"&amp;"["&amp;AH$8&amp;"]"),Data_main[Data],$A61, Data_main[Segment],$B61, Data_main[Scenario],$B$3))</f>
        <v>547.4507520406861</v>
      </c>
      <c r="AI61" s="531">
        <f ca="1">IF($B$6="ON", IF(AI58&gt;=covid_start, IF(AI58&lt;covid_recovery,NA(),SUMIFS(INDIRECT("Data_main"&amp;"["&amp;AI$8&amp;"]"),Data_main[Data],$A61, Data_main[Segment],$B61, Data_main[Scenario],$B$3)),SUMIFS(INDIRECT("Data_main"&amp;"["&amp;AI$8&amp;"]"),Data_main[Data],$A61, Data_main[Segment],$B61, Data_main[Scenario],$B$3)),SUMIFS(INDIRECT("Data_main"&amp;"["&amp;AI$8&amp;"]"),Data_main[Data],$A61, Data_main[Segment],$B61, Data_main[Scenario],$B$3))</f>
        <v>529.65168542496065</v>
      </c>
      <c r="AJ61" s="531">
        <f ca="1">IF($B$6="ON", IF(AJ58&gt;=covid_start, IF(AJ58&lt;covid_recovery,NA(),SUMIFS(INDIRECT("Data_main"&amp;"["&amp;AJ$8&amp;"]"),Data_main[Data],$A61, Data_main[Segment],$B61, Data_main[Scenario],$B$3)),SUMIFS(INDIRECT("Data_main"&amp;"["&amp;AJ$8&amp;"]"),Data_main[Data],$A61, Data_main[Segment],$B61, Data_main[Scenario],$B$3)),SUMIFS(INDIRECT("Data_main"&amp;"["&amp;AJ$8&amp;"]"),Data_main[Data],$A61, Data_main[Segment],$B61, Data_main[Scenario],$B$3))</f>
        <v>512.81681295611509</v>
      </c>
      <c r="AK61" s="531">
        <f ca="1">IF($B$6="ON", IF(AK58&gt;=covid_start, IF(AK58&lt;covid_recovery,NA(),SUMIFS(INDIRECT("Data_main"&amp;"["&amp;AK$8&amp;"]"),Data_main[Data],$A61, Data_main[Segment],$B61, Data_main[Scenario],$B$3)),SUMIFS(INDIRECT("Data_main"&amp;"["&amp;AK$8&amp;"]"),Data_main[Data],$A61, Data_main[Segment],$B61, Data_main[Scenario],$B$3)),SUMIFS(INDIRECT("Data_main"&amp;"["&amp;AK$8&amp;"]"),Data_main[Data],$A61, Data_main[Segment],$B61, Data_main[Scenario],$B$3))</f>
        <v>496.86985362966698</v>
      </c>
      <c r="AL61" s="531">
        <f ca="1">IF($B$6="ON", IF(AL58&gt;=covid_start, IF(AL58&lt;covid_recovery,NA(),SUMIFS(INDIRECT("Data_main"&amp;"["&amp;AL$8&amp;"]"),Data_main[Data],$A61, Data_main[Segment],$B61, Data_main[Scenario],$B$3)),SUMIFS(INDIRECT("Data_main"&amp;"["&amp;AL$8&amp;"]"),Data_main[Data],$A61, Data_main[Segment],$B61, Data_main[Scenario],$B$3)),SUMIFS(INDIRECT("Data_main"&amp;"["&amp;AL$8&amp;"]"),Data_main[Data],$A61, Data_main[Segment],$B61, Data_main[Scenario],$B$3))</f>
        <v>481.74236619766373</v>
      </c>
      <c r="AM61" s="531">
        <f ca="1">IF($B$6="ON", IF(AM58&gt;=covid_start, IF(AM58&lt;covid_recovery,NA(),SUMIFS(INDIRECT("Data_main"&amp;"["&amp;AM$8&amp;"]"),Data_main[Data],$A61, Data_main[Segment],$B61, Data_main[Scenario],$B$3)),SUMIFS(INDIRECT("Data_main"&amp;"["&amp;AM$8&amp;"]"),Data_main[Data],$A61, Data_main[Segment],$B61, Data_main[Scenario],$B$3)),SUMIFS(INDIRECT("Data_main"&amp;"["&amp;AM$8&amp;"]"),Data_main[Data],$A61, Data_main[Segment],$B61, Data_main[Scenario],$B$3))</f>
        <v>467.37276723742553</v>
      </c>
      <c r="AN61" s="531">
        <f ca="1">IF($B$6="ON", IF(AN58&gt;=covid_start, IF(AN58&lt;covid_recovery,NA(),SUMIFS(INDIRECT("Data_main"&amp;"["&amp;AN$8&amp;"]"),Data_main[Data],$A61, Data_main[Segment],$B61, Data_main[Scenario],$B$3)),SUMIFS(INDIRECT("Data_main"&amp;"["&amp;AN$8&amp;"]"),Data_main[Data],$A61, Data_main[Segment],$B61, Data_main[Scenario],$B$3)),SUMIFS(INDIRECT("Data_main"&amp;"["&amp;AN$8&amp;"]"),Data_main[Data],$A61, Data_main[Segment],$B61, Data_main[Scenario],$B$3))</f>
        <v>453.70549319816877</v>
      </c>
      <c r="AO61" s="531">
        <f ca="1">IF($B$6="ON", IF(AO58&gt;=covid_start, IF(AO58&lt;covid_recovery,NA(),SUMIFS(INDIRECT("Data_main"&amp;"["&amp;AO$8&amp;"]"),Data_main[Data],$A61, Data_main[Segment],$B61, Data_main[Scenario],$B$3)),SUMIFS(INDIRECT("Data_main"&amp;"["&amp;AO$8&amp;"]"),Data_main[Data],$A61, Data_main[Segment],$B61, Data_main[Scenario],$B$3)),SUMIFS(INDIRECT("Data_main"&amp;"["&amp;AO$8&amp;"]"),Data_main[Data],$A61, Data_main[Segment],$B61, Data_main[Scenario],$B$3))</f>
        <v>0</v>
      </c>
      <c r="AP61" s="531">
        <f ca="1">IF($B$6="ON", IF(AP58&gt;=covid_start, IF(AP58&lt;covid_recovery,NA(),SUMIFS(INDIRECT("Data_main"&amp;"["&amp;AP$8&amp;"]"),Data_main[Data],$A61, Data_main[Segment],$B61, Data_main[Scenario],$B$3)),SUMIFS(INDIRECT("Data_main"&amp;"["&amp;AP$8&amp;"]"),Data_main[Data],$A61, Data_main[Segment],$B61, Data_main[Scenario],$B$3)),SUMIFS(INDIRECT("Data_main"&amp;"["&amp;AP$8&amp;"]"),Data_main[Data],$A61, Data_main[Segment],$B61, Data_main[Scenario],$B$3))</f>
        <v>0</v>
      </c>
      <c r="AQ61" s="531">
        <f ca="1">IF($B$6="ON", IF(AQ58&gt;=covid_start, IF(AQ58&lt;covid_recovery,NA(),SUMIFS(INDIRECT("Data_main"&amp;"["&amp;AQ$8&amp;"]"),Data_main[Data],$A61, Data_main[Segment],$B61, Data_main[Scenario],$B$3)),SUMIFS(INDIRECT("Data_main"&amp;"["&amp;AQ$8&amp;"]"),Data_main[Data],$A61, Data_main[Segment],$B61, Data_main[Scenario],$B$3)),SUMIFS(INDIRECT("Data_main"&amp;"["&amp;AQ$8&amp;"]"),Data_main[Data],$A61, Data_main[Segment],$B61, Data_main[Scenario],$B$3))</f>
        <v>0</v>
      </c>
      <c r="AR61" s="531">
        <f ca="1">IF($B$6="ON", IF(AR58&gt;=covid_start, IF(AR58&lt;covid_recovery,NA(),SUMIFS(INDIRECT("Data_main"&amp;"["&amp;AR$8&amp;"]"),Data_main[Data],$A61, Data_main[Segment],$B61, Data_main[Scenario],$B$3)),SUMIFS(INDIRECT("Data_main"&amp;"["&amp;AR$8&amp;"]"),Data_main[Data],$A61, Data_main[Segment],$B61, Data_main[Scenario],$B$3)),SUMIFS(INDIRECT("Data_main"&amp;"["&amp;AR$8&amp;"]"),Data_main[Data],$A61, Data_main[Segment],$B61, Data_main[Scenario],$B$3))</f>
        <v>0</v>
      </c>
      <c r="AS61" s="531">
        <f ca="1">IF($B$6="ON", IF(AS58&gt;=covid_start, IF(AS58&lt;covid_recovery,NA(),SUMIFS(INDIRECT("Data_main"&amp;"["&amp;AS$8&amp;"]"),Data_main[Data],$A61, Data_main[Segment],$B61, Data_main[Scenario],$B$3)),SUMIFS(INDIRECT("Data_main"&amp;"["&amp;AS$8&amp;"]"),Data_main[Data],$A61, Data_main[Segment],$B61, Data_main[Scenario],$B$3)),SUMIFS(INDIRECT("Data_main"&amp;"["&amp;AS$8&amp;"]"),Data_main[Data],$A61, Data_main[Segment],$B61, Data_main[Scenario],$B$3))</f>
        <v>0</v>
      </c>
      <c r="AT61" s="531">
        <f ca="1">IF($B$6="ON", IF(AT58&gt;=covid_start, IF(AT58&lt;covid_recovery,NA(),SUMIFS(INDIRECT("Data_main"&amp;"["&amp;AT$8&amp;"]"),Data_main[Data],$A61, Data_main[Segment],$B61, Data_main[Scenario],$B$3)),SUMIFS(INDIRECT("Data_main"&amp;"["&amp;AT$8&amp;"]"),Data_main[Data],$A61, Data_main[Segment],$B61, Data_main[Scenario],$B$3)),SUMIFS(INDIRECT("Data_main"&amp;"["&amp;AT$8&amp;"]"),Data_main[Data],$A61, Data_main[Segment],$B61, Data_main[Scenario],$B$3))</f>
        <v>0</v>
      </c>
      <c r="AU61" s="531">
        <f ca="1">IF($B$6="ON", IF(AU58&gt;=covid_start, IF(AU58&lt;covid_recovery,NA(),SUMIFS(INDIRECT("Data_main"&amp;"["&amp;AU$8&amp;"]"),Data_main[Data],$A61, Data_main[Segment],$B61, Data_main[Scenario],$B$3)),SUMIFS(INDIRECT("Data_main"&amp;"["&amp;AU$8&amp;"]"),Data_main[Data],$A61, Data_main[Segment],$B61, Data_main[Scenario],$B$3)),SUMIFS(INDIRECT("Data_main"&amp;"["&amp;AU$8&amp;"]"),Data_main[Data],$A61, Data_main[Segment],$B61, Data_main[Scenario],$B$3))</f>
        <v>0</v>
      </c>
      <c r="AV61" s="531">
        <f ca="1">IF($B$6="ON", IF(AV58&gt;=covid_start, IF(AV58&lt;covid_recovery,NA(),SUMIFS(INDIRECT("Data_main"&amp;"["&amp;AV$8&amp;"]"),Data_main[Data],$A61, Data_main[Segment],$B61, Data_main[Scenario],$B$3)),SUMIFS(INDIRECT("Data_main"&amp;"["&amp;AV$8&amp;"]"),Data_main[Data],$A61, Data_main[Segment],$B61, Data_main[Scenario],$B$3)),SUMIFS(INDIRECT("Data_main"&amp;"["&amp;AV$8&amp;"]"),Data_main[Data],$A61, Data_main[Segment],$B61, Data_main[Scenario],$B$3))</f>
        <v>0</v>
      </c>
      <c r="AW61" s="531">
        <f ca="1">IF($B$6="ON", IF(AW58&gt;=covid_start, IF(AW58&lt;covid_recovery,NA(),SUMIFS(INDIRECT("Data_main"&amp;"["&amp;AW$8&amp;"]"),Data_main[Data],$A61, Data_main[Segment],$B61, Data_main[Scenario],$B$3)),SUMIFS(INDIRECT("Data_main"&amp;"["&amp;AW$8&amp;"]"),Data_main[Data],$A61, Data_main[Segment],$B61, Data_main[Scenario],$B$3)),SUMIFS(INDIRECT("Data_main"&amp;"["&amp;AW$8&amp;"]"),Data_main[Data],$A61, Data_main[Segment],$B61, Data_main[Scenario],$B$3))</f>
        <v>0</v>
      </c>
      <c r="AX61" s="531">
        <f ca="1">IF($B$6="ON", IF(AX58&gt;=covid_start, IF(AX58&lt;covid_recovery,NA(),SUMIFS(INDIRECT("Data_main"&amp;"["&amp;AX$8&amp;"]"),Data_main[Data],$A61, Data_main[Segment],$B61, Data_main[Scenario],$B$3)),SUMIFS(INDIRECT("Data_main"&amp;"["&amp;AX$8&amp;"]"),Data_main[Data],$A61, Data_main[Segment],$B61, Data_main[Scenario],$B$3)),SUMIFS(INDIRECT("Data_main"&amp;"["&amp;AX$8&amp;"]"),Data_main[Data],$A61, Data_main[Segment],$B61, Data_main[Scenario],$B$3))</f>
        <v>0</v>
      </c>
      <c r="AY61" s="531">
        <f ca="1">IF($B$6="ON", IF(AY58&gt;=covid_start, IF(AY58&lt;covid_recovery,NA(),SUMIFS(INDIRECT("Data_main"&amp;"["&amp;AY$8&amp;"]"),Data_main[Data],$A61, Data_main[Segment],$B61, Data_main[Scenario],$B$3)),SUMIFS(INDIRECT("Data_main"&amp;"["&amp;AY$8&amp;"]"),Data_main[Data],$A61, Data_main[Segment],$B61, Data_main[Scenario],$B$3)),SUMIFS(INDIRECT("Data_main"&amp;"["&amp;AY$8&amp;"]"),Data_main[Data],$A61, Data_main[Segment],$B61, Data_main[Scenario],$B$3))</f>
        <v>0</v>
      </c>
      <c r="AZ61" s="531">
        <f ca="1">IF($B$6="ON", IF(AZ58&gt;=covid_start, IF(AZ58&lt;covid_recovery,NA(),SUMIFS(INDIRECT("Data_main"&amp;"["&amp;AZ$8&amp;"]"),Data_main[Data],$A61, Data_main[Segment],$B61, Data_main[Scenario],$B$3)),SUMIFS(INDIRECT("Data_main"&amp;"["&amp;AZ$8&amp;"]"),Data_main[Data],$A61, Data_main[Segment],$B61, Data_main[Scenario],$B$3)),SUMIFS(INDIRECT("Data_main"&amp;"["&amp;AZ$8&amp;"]"),Data_main[Data],$A61, Data_main[Segment],$B61, Data_main[Scenario],$B$3))</f>
        <v>0</v>
      </c>
      <c r="BA61" s="531">
        <f ca="1">IF($B$6="ON", IF(BA58&gt;=covid_start, IF(BA58&lt;covid_recovery,NA(),SUMIFS(INDIRECT("Data_main"&amp;"["&amp;BA$8&amp;"]"),Data_main[Data],$A61, Data_main[Segment],$B61, Data_main[Scenario],$B$3)),SUMIFS(INDIRECT("Data_main"&amp;"["&amp;BA$8&amp;"]"),Data_main[Data],$A61, Data_main[Segment],$B61, Data_main[Scenario],$B$3)),SUMIFS(INDIRECT("Data_main"&amp;"["&amp;BA$8&amp;"]"),Data_main[Data],$A61, Data_main[Segment],$B61, Data_main[Scenario],$B$3))</f>
        <v>0</v>
      </c>
      <c r="BB61" s="531">
        <f ca="1">IF($B$6="ON", IF(BB58&gt;=covid_start, IF(BB58&lt;covid_recovery,NA(),SUMIFS(INDIRECT("Data_main"&amp;"["&amp;BB$8&amp;"]"),Data_main[Data],$A61, Data_main[Segment],$B61, Data_main[Scenario],$B$3)),SUMIFS(INDIRECT("Data_main"&amp;"["&amp;BB$8&amp;"]"),Data_main[Data],$A61, Data_main[Segment],$B61, Data_main[Scenario],$B$3)),SUMIFS(INDIRECT("Data_main"&amp;"["&amp;BB$8&amp;"]"),Data_main[Data],$A61, Data_main[Segment],$B61, Data_main[Scenario],$B$3))</f>
        <v>0</v>
      </c>
      <c r="BC61" s="531">
        <f ca="1">IF($B$6="ON", IF(BC58&gt;=covid_start, IF(BC58&lt;covid_recovery,NA(),SUMIFS(INDIRECT("Data_main"&amp;"["&amp;BC$8&amp;"]"),Data_main[Data],$A61, Data_main[Segment],$B61, Data_main[Scenario],$B$3)),SUMIFS(INDIRECT("Data_main"&amp;"["&amp;BC$8&amp;"]"),Data_main[Data],$A61, Data_main[Segment],$B61, Data_main[Scenario],$B$3)),SUMIFS(INDIRECT("Data_main"&amp;"["&amp;BC$8&amp;"]"),Data_main[Data],$A61, Data_main[Segment],$B61, Data_main[Scenario],$B$3))</f>
        <v>0</v>
      </c>
      <c r="BD61" s="531">
        <f ca="1">IF($B$6="ON", IF(BD58&gt;=covid_start, IF(BD58&lt;covid_recovery,NA(),SUMIFS(INDIRECT("Data_main"&amp;"["&amp;BD$8&amp;"]"),Data_main[Data],$A61, Data_main[Segment],$B61, Data_main[Scenario],$B$3)),SUMIFS(INDIRECT("Data_main"&amp;"["&amp;BD$8&amp;"]"),Data_main[Data],$A61, Data_main[Segment],$B61, Data_main[Scenario],$B$3)),SUMIFS(INDIRECT("Data_main"&amp;"["&amp;BD$8&amp;"]"),Data_main[Data],$A61, Data_main[Segment],$B61, Data_main[Scenario],$B$3))</f>
        <v>0</v>
      </c>
      <c r="BE61" s="531">
        <f ca="1">IF($B$6="ON", IF(BE58&gt;=covid_start, IF(BE58&lt;covid_recovery,NA(),SUMIFS(INDIRECT("Data_main"&amp;"["&amp;BE$8&amp;"]"),Data_main[Data],$A61, Data_main[Segment],$B61, Data_main[Scenario],$B$3)),SUMIFS(INDIRECT("Data_main"&amp;"["&amp;BE$8&amp;"]"),Data_main[Data],$A61, Data_main[Segment],$B61, Data_main[Scenario],$B$3)),SUMIFS(INDIRECT("Data_main"&amp;"["&amp;BE$8&amp;"]"),Data_main[Data],$A61, Data_main[Segment],$B61, Data_main[Scenario],$B$3))</f>
        <v>0</v>
      </c>
      <c r="BF61" s="531">
        <f ca="1">IF($B$6="ON", IF(BF58&gt;=covid_start, IF(BF58&lt;covid_recovery,NA(),SUMIFS(INDIRECT("Data_main"&amp;"["&amp;BF$8&amp;"]"),Data_main[Data],$A61, Data_main[Segment],$B61, Data_main[Scenario],$B$3)),SUMIFS(INDIRECT("Data_main"&amp;"["&amp;BF$8&amp;"]"),Data_main[Data],$A61, Data_main[Segment],$B61, Data_main[Scenario],$B$3)),SUMIFS(INDIRECT("Data_main"&amp;"["&amp;BF$8&amp;"]"),Data_main[Data],$A61, Data_main[Segment],$B61, Data_main[Scenario],$B$3))</f>
        <v>0</v>
      </c>
      <c r="BG61" s="531">
        <f ca="1">IF($B$6="ON", IF(BG58&gt;=covid_start, IF(BG58&lt;covid_recovery,NA(),SUMIFS(INDIRECT("Data_main"&amp;"["&amp;BG$8&amp;"]"),Data_main[Data],$A61, Data_main[Segment],$B61, Data_main[Scenario],$B$3)),SUMIFS(INDIRECT("Data_main"&amp;"["&amp;BG$8&amp;"]"),Data_main[Data],$A61, Data_main[Segment],$B61, Data_main[Scenario],$B$3)),SUMIFS(INDIRECT("Data_main"&amp;"["&amp;BG$8&amp;"]"),Data_main[Data],$A61, Data_main[Segment],$B61, Data_main[Scenario],$B$3))</f>
        <v>0</v>
      </c>
      <c r="BH61" s="531">
        <f ca="1">IF($B$6="ON", IF(BH58&gt;=covid_start, IF(BH58&lt;covid_recovery,NA(),SUMIFS(INDIRECT("Data_main"&amp;"["&amp;BH$8&amp;"]"),Data_main[Data],$A61, Data_main[Segment],$B61, Data_main[Scenario],$B$3)),SUMIFS(INDIRECT("Data_main"&amp;"["&amp;BH$8&amp;"]"),Data_main[Data],$A61, Data_main[Segment],$B61, Data_main[Scenario],$B$3)),SUMIFS(INDIRECT("Data_main"&amp;"["&amp;BH$8&amp;"]"),Data_main[Data],$A61, Data_main[Segment],$B61, Data_main[Scenario],$B$3))</f>
        <v>0</v>
      </c>
      <c r="BI61" s="531">
        <f ca="1">IF($B$6="ON", IF(BI58&gt;=covid_start, IF(BI58&lt;covid_recovery,NA(),SUMIFS(INDIRECT("Data_main"&amp;"["&amp;BI$8&amp;"]"),Data_main[Data],$A61, Data_main[Segment],$B61, Data_main[Scenario],$B$3)),SUMIFS(INDIRECT("Data_main"&amp;"["&amp;BI$8&amp;"]"),Data_main[Data],$A61, Data_main[Segment],$B61, Data_main[Scenario],$B$3)),SUMIFS(INDIRECT("Data_main"&amp;"["&amp;BI$8&amp;"]"),Data_main[Data],$A61, Data_main[Segment],$B61, Data_main[Scenario],$B$3))</f>
        <v>0</v>
      </c>
      <c r="BJ61" s="531">
        <f ca="1">IF($B$6="ON", IF(BJ58&gt;=covid_start, IF(BJ58&lt;covid_recovery,NA(),SUMIFS(INDIRECT("Data_main"&amp;"["&amp;BJ$8&amp;"]"),Data_main[Data],$A61, Data_main[Segment],$B61, Data_main[Scenario],$B$3)),SUMIFS(INDIRECT("Data_main"&amp;"["&amp;BJ$8&amp;"]"),Data_main[Data],$A61, Data_main[Segment],$B61, Data_main[Scenario],$B$3)),SUMIFS(INDIRECT("Data_main"&amp;"["&amp;BJ$8&amp;"]"),Data_main[Data],$A61, Data_main[Segment],$B61, Data_main[Scenario],$B$3))</f>
        <v>0</v>
      </c>
      <c r="BK61" s="531">
        <f ca="1">IF($B$6="ON", IF(BK58&gt;=covid_start, IF(BK58&lt;covid_recovery,NA(),SUMIFS(INDIRECT("Data_main"&amp;"["&amp;BK$8&amp;"]"),Data_main[Data],$A61, Data_main[Segment],$B61, Data_main[Scenario],$B$3)),SUMIFS(INDIRECT("Data_main"&amp;"["&amp;BK$8&amp;"]"),Data_main[Data],$A61, Data_main[Segment],$B61, Data_main[Scenario],$B$3)),SUMIFS(INDIRECT("Data_main"&amp;"["&amp;BK$8&amp;"]"),Data_main[Data],$A61, Data_main[Segment],$B61, Data_main[Scenario],$B$3))</f>
        <v>0</v>
      </c>
      <c r="BL61" s="531">
        <f ca="1">IF($B$6="ON", IF(BL58&gt;=covid_start, IF(BL58&lt;covid_recovery,NA(),SUMIFS(INDIRECT("Data_main"&amp;"["&amp;BL$8&amp;"]"),Data_main[Data],$A61, Data_main[Segment],$B61, Data_main[Scenario],$B$3)),SUMIFS(INDIRECT("Data_main"&amp;"["&amp;BL$8&amp;"]"),Data_main[Data],$A61, Data_main[Segment],$B61, Data_main[Scenario],$B$3)),SUMIFS(INDIRECT("Data_main"&amp;"["&amp;BL$8&amp;"]"),Data_main[Data],$A61, Data_main[Segment],$B61, Data_main[Scenario],$B$3))</f>
        <v>0</v>
      </c>
      <c r="BM61" s="531">
        <f ca="1">IF($B$6="ON", IF(BM58&gt;=covid_start, IF(BM58&lt;covid_recovery,NA(),SUMIFS(INDIRECT("Data_main"&amp;"["&amp;BM$8&amp;"]"),Data_main[Data],$A61, Data_main[Segment],$B61, Data_main[Scenario],$B$3)),SUMIFS(INDIRECT("Data_main"&amp;"["&amp;BM$8&amp;"]"),Data_main[Data],$A61, Data_main[Segment],$B61, Data_main[Scenario],$B$3)),SUMIFS(INDIRECT("Data_main"&amp;"["&amp;BM$8&amp;"]"),Data_main[Data],$A61, Data_main[Segment],$B61, Data_main[Scenario],$B$3))</f>
        <v>0</v>
      </c>
      <c r="BN61" s="531">
        <f ca="1">IF($B$6="ON", IF(BN58&gt;=covid_start, IF(BN58&lt;covid_recovery,NA(),SUMIFS(INDIRECT("Data_main"&amp;"["&amp;BN$8&amp;"]"),Data_main[Data],$A61, Data_main[Segment],$B61, Data_main[Scenario],$B$3)),SUMIFS(INDIRECT("Data_main"&amp;"["&amp;BN$8&amp;"]"),Data_main[Data],$A61, Data_main[Segment],$B61, Data_main[Scenario],$B$3)),SUMIFS(INDIRECT("Data_main"&amp;"["&amp;BN$8&amp;"]"),Data_main[Data],$A61, Data_main[Segment],$B61, Data_main[Scenario],$B$3))</f>
        <v>0</v>
      </c>
      <c r="BO61" s="531">
        <f ca="1">IF($B$6="ON", IF(BO58&gt;=covid_start, IF(BO58&lt;covid_recovery,NA(),SUMIFS(INDIRECT("Data_main"&amp;"["&amp;BO$8&amp;"]"),Data_main[Data],$A61, Data_main[Segment],$B61, Data_main[Scenario],$B$3)),SUMIFS(INDIRECT("Data_main"&amp;"["&amp;BO$8&amp;"]"),Data_main[Data],$A61, Data_main[Segment],$B61, Data_main[Scenario],$B$3)),SUMIFS(INDIRECT("Data_main"&amp;"["&amp;BO$8&amp;"]"),Data_main[Data],$A61, Data_main[Segment],$B61, Data_main[Scenario],$B$3))</f>
        <v>0</v>
      </c>
      <c r="BP61" s="531">
        <f ca="1">IF($B$6="ON", IF(BP58&gt;=covid_start, IF(BP58&lt;covid_recovery,NA(),SUMIFS(INDIRECT("Data_main"&amp;"["&amp;BP$8&amp;"]"),Data_main[Data],$A61, Data_main[Segment],$B61, Data_main[Scenario],$B$3)),SUMIFS(INDIRECT("Data_main"&amp;"["&amp;BP$8&amp;"]"),Data_main[Data],$A61, Data_main[Segment],$B61, Data_main[Scenario],$B$3)),SUMIFS(INDIRECT("Data_main"&amp;"["&amp;BP$8&amp;"]"),Data_main[Data],$A61, Data_main[Segment],$B61, Data_main[Scenario],$B$3))</f>
        <v>0</v>
      </c>
      <c r="BQ61" s="531">
        <f ca="1">IF($B$6="ON", IF(BQ58&gt;=covid_start, IF(BQ58&lt;covid_recovery,NA(),SUMIFS(INDIRECT("Data_main"&amp;"["&amp;BQ$8&amp;"]"),Data_main[Data],$A61, Data_main[Segment],$B61, Data_main[Scenario],$B$3)),SUMIFS(INDIRECT("Data_main"&amp;"["&amp;BQ$8&amp;"]"),Data_main[Data],$A61, Data_main[Segment],$B61, Data_main[Scenario],$B$3)),SUMIFS(INDIRECT("Data_main"&amp;"["&amp;BQ$8&amp;"]"),Data_main[Data],$A61, Data_main[Segment],$B61, Data_main[Scenario],$B$3))</f>
        <v>0</v>
      </c>
      <c r="BR61" s="531">
        <f ca="1">IF($B$6="ON", IF(BR58&gt;=covid_start, IF(BR58&lt;covid_recovery,NA(),SUMIFS(INDIRECT("Data_main"&amp;"["&amp;BR$8&amp;"]"),Data_main[Data],$A61, Data_main[Segment],$B61, Data_main[Scenario],$B$3)),SUMIFS(INDIRECT("Data_main"&amp;"["&amp;BR$8&amp;"]"),Data_main[Data],$A61, Data_main[Segment],$B61, Data_main[Scenario],$B$3)),SUMIFS(INDIRECT("Data_main"&amp;"["&amp;BR$8&amp;"]"),Data_main[Data],$A61, Data_main[Segment],$B61, Data_main[Scenario],$B$3))</f>
        <v>0</v>
      </c>
      <c r="BS61" s="531">
        <f ca="1">IF($B$6="ON", IF(BS58&gt;=covid_start, IF(BS58&lt;covid_recovery,NA(),SUMIFS(INDIRECT("Data_main"&amp;"["&amp;BS$8&amp;"]"),Data_main[Data],$A61, Data_main[Segment],$B61, Data_main[Scenario],$B$3)),SUMIFS(INDIRECT("Data_main"&amp;"["&amp;BS$8&amp;"]"),Data_main[Data],$A61, Data_main[Segment],$B61, Data_main[Scenario],$B$3)),SUMIFS(INDIRECT("Data_main"&amp;"["&amp;BS$8&amp;"]"),Data_main[Data],$A61, Data_main[Segment],$B61, Data_main[Scenario],$B$3))</f>
        <v>0</v>
      </c>
      <c r="BT61" s="531">
        <f ca="1">IF($B$6="ON", IF(BT58&gt;=covid_start, IF(BT58&lt;covid_recovery,NA(),SUMIFS(INDIRECT("Data_main"&amp;"["&amp;BT$8&amp;"]"),Data_main[Data],$A61, Data_main[Segment],$B61, Data_main[Scenario],$B$3)),SUMIFS(INDIRECT("Data_main"&amp;"["&amp;BT$8&amp;"]"),Data_main[Data],$A61, Data_main[Segment],$B61, Data_main[Scenario],$B$3)),SUMIFS(INDIRECT("Data_main"&amp;"["&amp;BT$8&amp;"]"),Data_main[Data],$A61, Data_main[Segment],$B61, Data_main[Scenario],$B$3))</f>
        <v>0</v>
      </c>
      <c r="BU61" s="531">
        <f ca="1">IF($B$6="ON", IF(BU58&gt;=covid_start, IF(BU58&lt;covid_recovery,NA(),SUMIFS(INDIRECT("Data_main"&amp;"["&amp;BU$8&amp;"]"),Data_main[Data],$A61, Data_main[Segment],$B61, Data_main[Scenario],$B$3)),SUMIFS(INDIRECT("Data_main"&amp;"["&amp;BU$8&amp;"]"),Data_main[Data],$A61, Data_main[Segment],$B61, Data_main[Scenario],$B$3)),SUMIFS(INDIRECT("Data_main"&amp;"["&amp;BU$8&amp;"]"),Data_main[Data],$A61, Data_main[Segment],$B61, Data_main[Scenario],$B$3))</f>
        <v>0</v>
      </c>
      <c r="BV61" s="531">
        <f ca="1">IF($B$6="ON", IF(BV58&gt;=covid_start, IF(BV58&lt;covid_recovery,NA(),SUMIFS(INDIRECT("Data_main"&amp;"["&amp;BV$8&amp;"]"),Data_main[Data],$A61, Data_main[Segment],$B61, Data_main[Scenario],$B$3)),SUMIFS(INDIRECT("Data_main"&amp;"["&amp;BV$8&amp;"]"),Data_main[Data],$A61, Data_main[Segment],$B61, Data_main[Scenario],$B$3)),SUMIFS(INDIRECT("Data_main"&amp;"["&amp;BV$8&amp;"]"),Data_main[Data],$A61, Data_main[Segment],$B61, Data_main[Scenario],$B$3))</f>
        <v>0</v>
      </c>
      <c r="BW61" s="531">
        <f ca="1">IF($B$6="ON", IF(BW58&gt;=covid_start, IF(BW58&lt;covid_recovery,NA(),SUMIFS(INDIRECT("Data_main"&amp;"["&amp;BW$8&amp;"]"),Data_main[Data],$A61, Data_main[Segment],$B61, Data_main[Scenario],$B$3)),SUMIFS(INDIRECT("Data_main"&amp;"["&amp;BW$8&amp;"]"),Data_main[Data],$A61, Data_main[Segment],$B61, Data_main[Scenario],$B$3)),SUMIFS(INDIRECT("Data_main"&amp;"["&amp;BW$8&amp;"]"),Data_main[Data],$A61, Data_main[Segment],$B61, Data_main[Scenario],$B$3))</f>
        <v>0</v>
      </c>
      <c r="BX61" s="531">
        <f ca="1">IF($B$6="ON", IF(BX58&gt;=covid_start, IF(BX58&lt;covid_recovery,NA(),SUMIFS(INDIRECT("Data_main"&amp;"["&amp;BX$8&amp;"]"),Data_main[Data],$A61, Data_main[Segment],$B61, Data_main[Scenario],$B$3)),SUMIFS(INDIRECT("Data_main"&amp;"["&amp;BX$8&amp;"]"),Data_main[Data],$A61, Data_main[Segment],$B61, Data_main[Scenario],$B$3)),SUMIFS(INDIRECT("Data_main"&amp;"["&amp;BX$8&amp;"]"),Data_main[Data],$A61, Data_main[Segment],$B61, Data_main[Scenario],$B$3))</f>
        <v>0</v>
      </c>
      <c r="BY61" s="531">
        <f ca="1">IF($B$6="ON", IF(BY58&gt;=covid_start, IF(BY58&lt;covid_recovery,NA(),SUMIFS(INDIRECT("Data_main"&amp;"["&amp;BY$8&amp;"]"),Data_main[Data],$A61, Data_main[Segment],$B61, Data_main[Scenario],$B$3)),SUMIFS(INDIRECT("Data_main"&amp;"["&amp;BY$8&amp;"]"),Data_main[Data],$A61, Data_main[Segment],$B61, Data_main[Scenario],$B$3)),SUMIFS(INDIRECT("Data_main"&amp;"["&amp;BY$8&amp;"]"),Data_main[Data],$A61, Data_main[Segment],$B61, Data_main[Scenario],$B$3))</f>
        <v>0</v>
      </c>
      <c r="BZ61" s="531">
        <f ca="1">IF($B$6="ON", IF(BZ58&gt;=covid_start, IF(BZ58&lt;covid_recovery,NA(),SUMIFS(INDIRECT("Data_main"&amp;"["&amp;BZ$8&amp;"]"),Data_main[Data],$A61, Data_main[Segment],$B61, Data_main[Scenario],$B$3)),SUMIFS(INDIRECT("Data_main"&amp;"["&amp;BZ$8&amp;"]"),Data_main[Data],$A61, Data_main[Segment],$B61, Data_main[Scenario],$B$3)),SUMIFS(INDIRECT("Data_main"&amp;"["&amp;BZ$8&amp;"]"),Data_main[Data],$A61, Data_main[Segment],$B61, Data_main[Scenario],$B$3))</f>
        <v>0</v>
      </c>
      <c r="CA61" s="531">
        <f ca="1">IF($B$6="ON", IF(CA58&gt;=covid_start, IF(CA58&lt;covid_recovery,NA(),SUMIFS(INDIRECT("Data_main"&amp;"["&amp;CA$8&amp;"]"),Data_main[Data],$A61, Data_main[Segment],$B61, Data_main[Scenario],$B$3)),SUMIFS(INDIRECT("Data_main"&amp;"["&amp;CA$8&amp;"]"),Data_main[Data],$A61, Data_main[Segment],$B61, Data_main[Scenario],$B$3)),SUMIFS(INDIRECT("Data_main"&amp;"["&amp;CA$8&amp;"]"),Data_main[Data],$A61, Data_main[Segment],$B61, Data_main[Scenario],$B$3))</f>
        <v>0</v>
      </c>
      <c r="CB61" s="531">
        <f ca="1">IF($B$6="ON", IF(CB58&gt;=covid_start, IF(CB58&lt;covid_recovery,NA(),SUMIFS(INDIRECT("Data_main"&amp;"["&amp;CB$8&amp;"]"),Data_main[Data],$A61, Data_main[Segment],$B61, Data_main[Scenario],$B$3)),SUMIFS(INDIRECT("Data_main"&amp;"["&amp;CB$8&amp;"]"),Data_main[Data],$A61, Data_main[Segment],$B61, Data_main[Scenario],$B$3)),SUMIFS(INDIRECT("Data_main"&amp;"["&amp;CB$8&amp;"]"),Data_main[Data],$A61, Data_main[Segment],$B61, Data_main[Scenario],$B$3))</f>
        <v>0</v>
      </c>
      <c r="CC61" s="531">
        <f ca="1">IF($B$6="ON", IF(CC58&gt;=covid_start, IF(CC58&lt;covid_recovery,NA(),SUMIFS(INDIRECT("Data_main"&amp;"["&amp;CC$8&amp;"]"),Data_main[Data],$A61, Data_main[Segment],$B61, Data_main[Scenario],$B$3)),SUMIFS(INDIRECT("Data_main"&amp;"["&amp;CC$8&amp;"]"),Data_main[Data],$A61, Data_main[Segment],$B61, Data_main[Scenario],$B$3)),SUMIFS(INDIRECT("Data_main"&amp;"["&amp;CC$8&amp;"]"),Data_main[Data],$A61, Data_main[Segment],$B61, Data_main[Scenario],$B$3))</f>
        <v>0</v>
      </c>
      <c r="CD61" s="531">
        <f ca="1">IF($B$6="ON", IF(CD58&gt;=covid_start, IF(CD58&lt;covid_recovery,NA(),SUMIFS(INDIRECT("Data_main"&amp;"["&amp;CD$8&amp;"]"),Data_main[Data],$A61, Data_main[Segment],$B61, Data_main[Scenario],$B$3)),SUMIFS(INDIRECT("Data_main"&amp;"["&amp;CD$8&amp;"]"),Data_main[Data],$A61, Data_main[Segment],$B61, Data_main[Scenario],$B$3)),SUMIFS(INDIRECT("Data_main"&amp;"["&amp;CD$8&amp;"]"),Data_main[Data],$A61, Data_main[Segment],$B61, Data_main[Scenario],$B$3))</f>
        <v>0</v>
      </c>
      <c r="CE61" s="531">
        <f ca="1">IF($B$6="ON", IF(CE58&gt;=covid_start, IF(CE58&lt;covid_recovery,NA(),SUMIFS(INDIRECT("Data_main"&amp;"["&amp;CE$8&amp;"]"),Data_main[Data],$A61, Data_main[Segment],$B61, Data_main[Scenario],$B$3)),SUMIFS(INDIRECT("Data_main"&amp;"["&amp;CE$8&amp;"]"),Data_main[Data],$A61, Data_main[Segment],$B61, Data_main[Scenario],$B$3)),SUMIFS(INDIRECT("Data_main"&amp;"["&amp;CE$8&amp;"]"),Data_main[Data],$A61, Data_main[Segment],$B61, Data_main[Scenario],$B$3))</f>
        <v>0</v>
      </c>
      <c r="CF61" s="531">
        <f ca="1">IF($B$6="ON", IF(CF58&gt;=covid_start, IF(CF58&lt;covid_recovery,NA(),SUMIFS(INDIRECT("Data_main"&amp;"["&amp;CF$8&amp;"]"),Data_main[Data],$A61, Data_main[Segment],$B61, Data_main[Scenario],$B$3)),SUMIFS(INDIRECT("Data_main"&amp;"["&amp;CF$8&amp;"]"),Data_main[Data],$A61, Data_main[Segment],$B61, Data_main[Scenario],$B$3)),SUMIFS(INDIRECT("Data_main"&amp;"["&amp;CF$8&amp;"]"),Data_main[Data],$A61, Data_main[Segment],$B61, Data_main[Scenario],$B$3))</f>
        <v>0</v>
      </c>
      <c r="CG61" s="531">
        <f ca="1">IF($B$6="ON", IF(CG58&gt;=covid_start, IF(CG58&lt;covid_recovery,NA(),SUMIFS(INDIRECT("Data_main"&amp;"["&amp;CG$8&amp;"]"),Data_main[Data],$A61, Data_main[Segment],$B61, Data_main[Scenario],$B$3)),SUMIFS(INDIRECT("Data_main"&amp;"["&amp;CG$8&amp;"]"),Data_main[Data],$A61, Data_main[Segment],$B61, Data_main[Scenario],$B$3)),SUMIFS(INDIRECT("Data_main"&amp;"["&amp;CG$8&amp;"]"),Data_main[Data],$A61, Data_main[Segment],$B61, Data_main[Scenario],$B$3))</f>
        <v>0</v>
      </c>
      <c r="CH61" s="531">
        <f ca="1">IF($B$6="ON", IF(CH58&gt;=covid_start, IF(CH58&lt;covid_recovery,NA(),SUMIFS(INDIRECT("Data_main"&amp;"["&amp;CH$8&amp;"]"),Data_main[Data],$A61, Data_main[Segment],$B61, Data_main[Scenario],$B$3)),SUMIFS(INDIRECT("Data_main"&amp;"["&amp;CH$8&amp;"]"),Data_main[Data],$A61, Data_main[Segment],$B61, Data_main[Scenario],$B$3)),SUMIFS(INDIRECT("Data_main"&amp;"["&amp;CH$8&amp;"]"),Data_main[Data],$A61, Data_main[Segment],$B61, Data_main[Scenario],$B$3))</f>
        <v>0</v>
      </c>
      <c r="CI61" s="531">
        <f ca="1">IF($B$6="ON", IF(CI58&gt;=covid_start, IF(CI58&lt;covid_recovery,NA(),SUMIFS(INDIRECT("Data_main"&amp;"["&amp;CI$8&amp;"]"),Data_main[Data],$A61, Data_main[Segment],$B61, Data_main[Scenario],$B$3)),SUMIFS(INDIRECT("Data_main"&amp;"["&amp;CI$8&amp;"]"),Data_main[Data],$A61, Data_main[Segment],$B61, Data_main[Scenario],$B$3)),SUMIFS(INDIRECT("Data_main"&amp;"["&amp;CI$8&amp;"]"),Data_main[Data],$A61, Data_main[Segment],$B61, Data_main[Scenario],$B$3))</f>
        <v>0</v>
      </c>
      <c r="CJ61" s="531">
        <f ca="1">IF($B$6="ON", IF(CJ58&gt;=covid_start, IF(CJ58&lt;covid_recovery,NA(),SUMIFS(INDIRECT("Data_main"&amp;"["&amp;CJ$8&amp;"]"),Data_main[Data],$A61, Data_main[Segment],$B61, Data_main[Scenario],$B$3)),SUMIFS(INDIRECT("Data_main"&amp;"["&amp;CJ$8&amp;"]"),Data_main[Data],$A61, Data_main[Segment],$B61, Data_main[Scenario],$B$3)),SUMIFS(INDIRECT("Data_main"&amp;"["&amp;CJ$8&amp;"]"),Data_main[Data],$A61, Data_main[Segment],$B61, Data_main[Scenario],$B$3))</f>
        <v>0</v>
      </c>
      <c r="CK61" s="531">
        <f ca="1">IF($B$6="ON", IF(CK58&gt;=covid_start, IF(CK58&lt;covid_recovery,NA(),SUMIFS(INDIRECT("Data_main"&amp;"["&amp;CK$8&amp;"]"),Data_main[Data],$A61, Data_main[Segment],$B61, Data_main[Scenario],$B$3)),SUMIFS(INDIRECT("Data_main"&amp;"["&amp;CK$8&amp;"]"),Data_main[Data],$A61, Data_main[Segment],$B61, Data_main[Scenario],$B$3)),SUMIFS(INDIRECT("Data_main"&amp;"["&amp;CK$8&amp;"]"),Data_main[Data],$A61, Data_main[Segment],$B61, Data_main[Scenario],$B$3))</f>
        <v>0</v>
      </c>
      <c r="CL61" s="531">
        <f ca="1">IF($B$6="ON", IF(CL58&gt;=covid_start, IF(CL58&lt;covid_recovery,NA(),SUMIFS(INDIRECT("Data_main"&amp;"["&amp;CL$8&amp;"]"),Data_main[Data],$A61, Data_main[Segment],$B61, Data_main[Scenario],$B$3)),SUMIFS(INDIRECT("Data_main"&amp;"["&amp;CL$8&amp;"]"),Data_main[Data],$A61, Data_main[Segment],$B61, Data_main[Scenario],$B$3)),SUMIFS(INDIRECT("Data_main"&amp;"["&amp;CL$8&amp;"]"),Data_main[Data],$A61, Data_main[Segment],$B61, Data_main[Scenario],$B$3))</f>
        <v>0</v>
      </c>
      <c r="CN61" s="613">
        <f ca="1">IFERROR((Y61/H61)^(1/17)-1,"")</f>
        <v>-3.2792689879523995E-2</v>
      </c>
      <c r="CO61" s="613">
        <f ca="1">IFERROR((AN61/Y61)^(1/15)-1,"")</f>
        <v>-3.3387995467958453E-2</v>
      </c>
      <c r="CP61" s="613">
        <f ca="1">IFERROR((AN61/H61)^(1/32)-1,"")</f>
        <v>-3.3071785010047372E-2</v>
      </c>
    </row>
    <row r="62" spans="1:94" outlineLevel="1">
      <c r="A62" s="614"/>
      <c r="B62" s="614" t="s">
        <v>26</v>
      </c>
      <c r="C62" s="614" t="s">
        <v>335</v>
      </c>
      <c r="D62" s="614" t="s">
        <v>336</v>
      </c>
      <c r="E62" s="616">
        <f t="shared" ref="E62:BP62" ca="1" si="161">(E61-INDEX($E58:$CL61,4,MATCH($B$5,$E58:$CL58,0)))/(INDEX($E58:$CL61,4,MATCH($B$4,$E58:$CL58,0))-INDEX($E58:$CL61,4,MATCH($B$5,$E58:$CL58,0)))</f>
        <v>1.1152530924171931</v>
      </c>
      <c r="F62" s="617">
        <f t="shared" ca="1" si="161"/>
        <v>1.0840058449434571</v>
      </c>
      <c r="G62" s="617">
        <f t="shared" ca="1" si="161"/>
        <v>1.0567224517794755</v>
      </c>
      <c r="H62" s="617">
        <f t="shared" ca="1" si="161"/>
        <v>1.0326936503044684</v>
      </c>
      <c r="I62" s="617">
        <f t="shared" ca="1" si="161"/>
        <v>1</v>
      </c>
      <c r="J62" s="617" t="e">
        <f t="shared" ca="1" si="161"/>
        <v>#N/A</v>
      </c>
      <c r="K62" s="617" t="e">
        <f t="shared" ca="1" si="161"/>
        <v>#N/A</v>
      </c>
      <c r="L62" s="617" t="e">
        <f t="shared" ca="1" si="161"/>
        <v>#N/A</v>
      </c>
      <c r="M62" s="617">
        <f t="shared" ca="1" si="161"/>
        <v>0.80188079754465913</v>
      </c>
      <c r="N62" s="617">
        <f t="shared" ca="1" si="161"/>
        <v>0.75927431811576096</v>
      </c>
      <c r="O62" s="617">
        <f t="shared" ca="1" si="161"/>
        <v>0.71898528102871884</v>
      </c>
      <c r="P62" s="617">
        <f t="shared" ca="1" si="161"/>
        <v>0.6808296174708387</v>
      </c>
      <c r="Q62" s="617">
        <f t="shared" ca="1" si="161"/>
        <v>0.64464224935167558</v>
      </c>
      <c r="R62" s="617">
        <f t="shared" ca="1" si="161"/>
        <v>0.61027470174987797</v>
      </c>
      <c r="S62" s="617">
        <f t="shared" ca="1" si="161"/>
        <v>0.57759306672690214</v>
      </c>
      <c r="T62" s="617">
        <f t="shared" ca="1" si="161"/>
        <v>0.54647625962436486</v>
      </c>
      <c r="U62" s="617">
        <f t="shared" ca="1" si="161"/>
        <v>0.50361831356907261</v>
      </c>
      <c r="V62" s="617">
        <f t="shared" ca="1" si="161"/>
        <v>0.46321359743323004</v>
      </c>
      <c r="W62" s="617">
        <f t="shared" ca="1" si="161"/>
        <v>0.42505733418495389</v>
      </c>
      <c r="X62" s="617">
        <f t="shared" ca="1" si="161"/>
        <v>0.38896692079824902</v>
      </c>
      <c r="Y62" s="617">
        <f t="shared" ca="1" si="161"/>
        <v>0.35477900600779821</v>
      </c>
      <c r="Z62" s="617">
        <f t="shared" ca="1" si="161"/>
        <v>0.32234701833247398</v>
      </c>
      <c r="AA62" s="617">
        <f t="shared" ca="1" si="161"/>
        <v>0.29153906545221026</v>
      </c>
      <c r="AB62" s="617">
        <f t="shared" ca="1" si="161"/>
        <v>0.26223614144354379</v>
      </c>
      <c r="AC62" s="617">
        <f t="shared" ca="1" si="161"/>
        <v>0.23433059049065544</v>
      </c>
      <c r="AD62" s="617">
        <f t="shared" ca="1" si="161"/>
        <v>0.20772478526177512</v>
      </c>
      <c r="AE62" s="617">
        <f t="shared" ca="1" si="161"/>
        <v>0.18109542113357305</v>
      </c>
      <c r="AF62" s="617">
        <f t="shared" ca="1" si="161"/>
        <v>0.15608387550730687</v>
      </c>
      <c r="AG62" s="617">
        <f t="shared" ca="1" si="161"/>
        <v>0.13254706339349598</v>
      </c>
      <c r="AH62" s="617">
        <f t="shared" ca="1" si="161"/>
        <v>0.11035828979428337</v>
      </c>
      <c r="AI62" s="617">
        <f t="shared" ca="1" si="161"/>
        <v>8.9404968251422523E-2</v>
      </c>
      <c r="AJ62" s="617">
        <f t="shared" ca="1" si="161"/>
        <v>6.9586710160229964E-2</v>
      </c>
      <c r="AK62" s="617">
        <f t="shared" ca="1" si="161"/>
        <v>5.0813716406570036E-2</v>
      </c>
      <c r="AL62" s="617">
        <f t="shared" ca="1" si="161"/>
        <v>3.3005416952355586E-2</v>
      </c>
      <c r="AM62" s="617">
        <f t="shared" ca="1" si="161"/>
        <v>1.6089314891710657E-2</v>
      </c>
      <c r="AN62" s="617">
        <f t="shared" ca="1" si="161"/>
        <v>0</v>
      </c>
      <c r="AO62" s="617">
        <f t="shared" ca="1" si="161"/>
        <v>-0.53410874232834149</v>
      </c>
      <c r="AP62" s="617">
        <f t="shared" ca="1" si="161"/>
        <v>-0.53410874232834149</v>
      </c>
      <c r="AQ62" s="617">
        <f t="shared" ca="1" si="161"/>
        <v>-0.53410874232834149</v>
      </c>
      <c r="AR62" s="617">
        <f t="shared" ca="1" si="161"/>
        <v>-0.53410874232834149</v>
      </c>
      <c r="AS62" s="617">
        <f t="shared" ca="1" si="161"/>
        <v>-0.53410874232834149</v>
      </c>
      <c r="AT62" s="617">
        <f t="shared" ca="1" si="161"/>
        <v>-0.53410874232834149</v>
      </c>
      <c r="AU62" s="617">
        <f t="shared" ca="1" si="161"/>
        <v>-0.53410874232834149</v>
      </c>
      <c r="AV62" s="617">
        <f t="shared" ca="1" si="161"/>
        <v>-0.53410874232834149</v>
      </c>
      <c r="AW62" s="617">
        <f t="shared" ca="1" si="161"/>
        <v>-0.53410874232834149</v>
      </c>
      <c r="AX62" s="617">
        <f t="shared" ca="1" si="161"/>
        <v>-0.53410874232834149</v>
      </c>
      <c r="AY62" s="617">
        <f t="shared" ca="1" si="161"/>
        <v>-0.53410874232834149</v>
      </c>
      <c r="AZ62" s="617">
        <f t="shared" ca="1" si="161"/>
        <v>-0.53410874232834149</v>
      </c>
      <c r="BA62" s="617">
        <f t="shared" ca="1" si="161"/>
        <v>-0.53410874232834149</v>
      </c>
      <c r="BB62" s="617">
        <f t="shared" ca="1" si="161"/>
        <v>-0.53410874232834149</v>
      </c>
      <c r="BC62" s="617">
        <f t="shared" ca="1" si="161"/>
        <v>-0.53410874232834149</v>
      </c>
      <c r="BD62" s="617">
        <f t="shared" ca="1" si="161"/>
        <v>-0.53410874232834149</v>
      </c>
      <c r="BE62" s="617">
        <f t="shared" ca="1" si="161"/>
        <v>-0.53410874232834149</v>
      </c>
      <c r="BF62" s="617">
        <f t="shared" ca="1" si="161"/>
        <v>-0.53410874232834149</v>
      </c>
      <c r="BG62" s="617">
        <f t="shared" ca="1" si="161"/>
        <v>-0.53410874232834149</v>
      </c>
      <c r="BH62" s="617">
        <f t="shared" ca="1" si="161"/>
        <v>-0.53410874232834149</v>
      </c>
      <c r="BI62" s="617">
        <f t="shared" ca="1" si="161"/>
        <v>-0.53410874232834149</v>
      </c>
      <c r="BJ62" s="617">
        <f t="shared" ca="1" si="161"/>
        <v>-0.53410874232834149</v>
      </c>
      <c r="BK62" s="617">
        <f t="shared" ca="1" si="161"/>
        <v>-0.53410874232834149</v>
      </c>
      <c r="BL62" s="617">
        <f t="shared" ca="1" si="161"/>
        <v>-0.53410874232834149</v>
      </c>
      <c r="BM62" s="617">
        <f t="shared" ca="1" si="161"/>
        <v>-0.53410874232834149</v>
      </c>
      <c r="BN62" s="617">
        <f t="shared" ca="1" si="161"/>
        <v>-0.53410874232834149</v>
      </c>
      <c r="BO62" s="617">
        <f t="shared" ca="1" si="161"/>
        <v>-0.53410874232834149</v>
      </c>
      <c r="BP62" s="617">
        <f t="shared" ca="1" si="161"/>
        <v>-0.53410874232834149</v>
      </c>
      <c r="BQ62" s="617">
        <f t="shared" ref="BQ62:CL62" ca="1" si="162">(BQ61-INDEX($E58:$CL61,4,MATCH($B$5,$E58:$CL58,0)))/(INDEX($E58:$CL61,4,MATCH($B$4,$E58:$CL58,0))-INDEX($E58:$CL61,4,MATCH($B$5,$E58:$CL58,0)))</f>
        <v>-0.53410874232834149</v>
      </c>
      <c r="BR62" s="617">
        <f t="shared" ca="1" si="162"/>
        <v>-0.53410874232834149</v>
      </c>
      <c r="BS62" s="617">
        <f t="shared" ca="1" si="162"/>
        <v>-0.53410874232834149</v>
      </c>
      <c r="BT62" s="617">
        <f t="shared" ca="1" si="162"/>
        <v>-0.53410874232834149</v>
      </c>
      <c r="BU62" s="617">
        <f t="shared" ca="1" si="162"/>
        <v>-0.53410874232834149</v>
      </c>
      <c r="BV62" s="617">
        <f t="shared" ca="1" si="162"/>
        <v>-0.53410874232834149</v>
      </c>
      <c r="BW62" s="617">
        <f t="shared" ca="1" si="162"/>
        <v>-0.53410874232834149</v>
      </c>
      <c r="BX62" s="617">
        <f t="shared" ca="1" si="162"/>
        <v>-0.53410874232834149</v>
      </c>
      <c r="BY62" s="617">
        <f t="shared" ca="1" si="162"/>
        <v>-0.53410874232834149</v>
      </c>
      <c r="BZ62" s="617">
        <f t="shared" ca="1" si="162"/>
        <v>-0.53410874232834149</v>
      </c>
      <c r="CA62" s="617">
        <f t="shared" ca="1" si="162"/>
        <v>-0.53410874232834149</v>
      </c>
      <c r="CB62" s="617">
        <f t="shared" ca="1" si="162"/>
        <v>-0.53410874232834149</v>
      </c>
      <c r="CC62" s="617">
        <f t="shared" ca="1" si="162"/>
        <v>-0.53410874232834149</v>
      </c>
      <c r="CD62" s="617">
        <f t="shared" ca="1" si="162"/>
        <v>-0.53410874232834149</v>
      </c>
      <c r="CE62" s="617">
        <f t="shared" ca="1" si="162"/>
        <v>-0.53410874232834149</v>
      </c>
      <c r="CF62" s="617">
        <f t="shared" ca="1" si="162"/>
        <v>-0.53410874232834149</v>
      </c>
      <c r="CG62" s="617">
        <f t="shared" ca="1" si="162"/>
        <v>-0.53410874232834149</v>
      </c>
      <c r="CH62" s="617">
        <f t="shared" ca="1" si="162"/>
        <v>-0.53410874232834149</v>
      </c>
      <c r="CI62" s="617">
        <f t="shared" ca="1" si="162"/>
        <v>-0.53410874232834149</v>
      </c>
      <c r="CJ62" s="617">
        <f t="shared" ca="1" si="162"/>
        <v>-0.53410874232834149</v>
      </c>
      <c r="CK62" s="617">
        <f t="shared" ca="1" si="162"/>
        <v>-0.53410874232834149</v>
      </c>
      <c r="CL62" s="617">
        <f t="shared" ca="1" si="162"/>
        <v>-0.53410874232834149</v>
      </c>
      <c r="CN62" s="618"/>
      <c r="CO62" s="618"/>
      <c r="CP62" s="618"/>
    </row>
    <row r="63" spans="1:94" outlineLevel="1">
      <c r="A63" s="534"/>
      <c r="B63" s="534" t="s">
        <v>28</v>
      </c>
      <c r="C63" s="534" t="s">
        <v>337</v>
      </c>
      <c r="D63" s="534" t="s">
        <v>338</v>
      </c>
      <c r="E63" s="536">
        <f t="shared" ref="E63:BP63" ca="1" si="163">INDEX($E58:$CL61,4,MATCH($B$5,$E58:$CL58,0))</f>
        <v>453.70549319816877</v>
      </c>
      <c r="F63" s="537">
        <f t="shared" ca="1" si="163"/>
        <v>453.70549319816877</v>
      </c>
      <c r="G63" s="537">
        <f t="shared" ca="1" si="163"/>
        <v>453.70549319816877</v>
      </c>
      <c r="H63" s="537">
        <f t="shared" ca="1" si="163"/>
        <v>453.70549319816877</v>
      </c>
      <c r="I63" s="537">
        <f t="shared" ca="1" si="163"/>
        <v>453.70549319816877</v>
      </c>
      <c r="J63" s="537">
        <f t="shared" ca="1" si="163"/>
        <v>453.70549319816877</v>
      </c>
      <c r="K63" s="537">
        <f t="shared" ca="1" si="163"/>
        <v>453.70549319816877</v>
      </c>
      <c r="L63" s="537">
        <f t="shared" ca="1" si="163"/>
        <v>453.70549319816877</v>
      </c>
      <c r="M63" s="537">
        <f t="shared" ca="1" si="163"/>
        <v>453.70549319816877</v>
      </c>
      <c r="N63" s="537">
        <f t="shared" ca="1" si="163"/>
        <v>453.70549319816877</v>
      </c>
      <c r="O63" s="537">
        <f t="shared" ca="1" si="163"/>
        <v>453.70549319816877</v>
      </c>
      <c r="P63" s="537">
        <f t="shared" ca="1" si="163"/>
        <v>453.70549319816877</v>
      </c>
      <c r="Q63" s="537">
        <f t="shared" ca="1" si="163"/>
        <v>453.70549319816877</v>
      </c>
      <c r="R63" s="537">
        <f t="shared" ca="1" si="163"/>
        <v>453.70549319816877</v>
      </c>
      <c r="S63" s="537">
        <f t="shared" ca="1" si="163"/>
        <v>453.70549319816877</v>
      </c>
      <c r="T63" s="537">
        <f t="shared" ca="1" si="163"/>
        <v>453.70549319816877</v>
      </c>
      <c r="U63" s="537">
        <f t="shared" ca="1" si="163"/>
        <v>453.70549319816877</v>
      </c>
      <c r="V63" s="537">
        <f t="shared" ca="1" si="163"/>
        <v>453.70549319816877</v>
      </c>
      <c r="W63" s="537">
        <f t="shared" ca="1" si="163"/>
        <v>453.70549319816877</v>
      </c>
      <c r="X63" s="537">
        <f t="shared" ca="1" si="163"/>
        <v>453.70549319816877</v>
      </c>
      <c r="Y63" s="537">
        <f t="shared" ca="1" si="163"/>
        <v>453.70549319816877</v>
      </c>
      <c r="Z63" s="537">
        <f t="shared" ca="1" si="163"/>
        <v>453.70549319816877</v>
      </c>
      <c r="AA63" s="537">
        <f t="shared" ca="1" si="163"/>
        <v>453.70549319816877</v>
      </c>
      <c r="AB63" s="537">
        <f t="shared" ca="1" si="163"/>
        <v>453.70549319816877</v>
      </c>
      <c r="AC63" s="537">
        <f t="shared" ca="1" si="163"/>
        <v>453.70549319816877</v>
      </c>
      <c r="AD63" s="537">
        <f t="shared" ca="1" si="163"/>
        <v>453.70549319816877</v>
      </c>
      <c r="AE63" s="537">
        <f t="shared" ca="1" si="163"/>
        <v>453.70549319816877</v>
      </c>
      <c r="AF63" s="537">
        <f t="shared" ca="1" si="163"/>
        <v>453.70549319816877</v>
      </c>
      <c r="AG63" s="537">
        <f t="shared" ca="1" si="163"/>
        <v>453.70549319816877</v>
      </c>
      <c r="AH63" s="537">
        <f t="shared" ca="1" si="163"/>
        <v>453.70549319816877</v>
      </c>
      <c r="AI63" s="537">
        <f t="shared" ca="1" si="163"/>
        <v>453.70549319816877</v>
      </c>
      <c r="AJ63" s="537">
        <f t="shared" ca="1" si="163"/>
        <v>453.70549319816877</v>
      </c>
      <c r="AK63" s="537">
        <f t="shared" ca="1" si="163"/>
        <v>453.70549319816877</v>
      </c>
      <c r="AL63" s="537">
        <f t="shared" ca="1" si="163"/>
        <v>453.70549319816877</v>
      </c>
      <c r="AM63" s="537">
        <f t="shared" ca="1" si="163"/>
        <v>453.70549319816877</v>
      </c>
      <c r="AN63" s="537">
        <f t="shared" ca="1" si="163"/>
        <v>453.70549319816877</v>
      </c>
      <c r="AO63" s="537">
        <f t="shared" ca="1" si="163"/>
        <v>453.70549319816877</v>
      </c>
      <c r="AP63" s="537">
        <f t="shared" ca="1" si="163"/>
        <v>453.70549319816877</v>
      </c>
      <c r="AQ63" s="537">
        <f t="shared" ca="1" si="163"/>
        <v>453.70549319816877</v>
      </c>
      <c r="AR63" s="537">
        <f t="shared" ca="1" si="163"/>
        <v>453.70549319816877</v>
      </c>
      <c r="AS63" s="537">
        <f t="shared" ca="1" si="163"/>
        <v>453.70549319816877</v>
      </c>
      <c r="AT63" s="537">
        <f t="shared" ca="1" si="163"/>
        <v>453.70549319816877</v>
      </c>
      <c r="AU63" s="537">
        <f t="shared" ca="1" si="163"/>
        <v>453.70549319816877</v>
      </c>
      <c r="AV63" s="537">
        <f t="shared" ca="1" si="163"/>
        <v>453.70549319816877</v>
      </c>
      <c r="AW63" s="537">
        <f t="shared" ca="1" si="163"/>
        <v>453.70549319816877</v>
      </c>
      <c r="AX63" s="537">
        <f t="shared" ca="1" si="163"/>
        <v>453.70549319816877</v>
      </c>
      <c r="AY63" s="537">
        <f t="shared" ca="1" si="163"/>
        <v>453.70549319816877</v>
      </c>
      <c r="AZ63" s="537">
        <f t="shared" ca="1" si="163"/>
        <v>453.70549319816877</v>
      </c>
      <c r="BA63" s="537">
        <f t="shared" ca="1" si="163"/>
        <v>453.70549319816877</v>
      </c>
      <c r="BB63" s="537">
        <f t="shared" ca="1" si="163"/>
        <v>453.70549319816877</v>
      </c>
      <c r="BC63" s="537">
        <f t="shared" ca="1" si="163"/>
        <v>453.70549319816877</v>
      </c>
      <c r="BD63" s="537">
        <f t="shared" ca="1" si="163"/>
        <v>453.70549319816877</v>
      </c>
      <c r="BE63" s="537">
        <f t="shared" ca="1" si="163"/>
        <v>453.70549319816877</v>
      </c>
      <c r="BF63" s="537">
        <f t="shared" ca="1" si="163"/>
        <v>453.70549319816877</v>
      </c>
      <c r="BG63" s="537">
        <f t="shared" ca="1" si="163"/>
        <v>453.70549319816877</v>
      </c>
      <c r="BH63" s="537">
        <f t="shared" ca="1" si="163"/>
        <v>453.70549319816877</v>
      </c>
      <c r="BI63" s="537">
        <f t="shared" ca="1" si="163"/>
        <v>453.70549319816877</v>
      </c>
      <c r="BJ63" s="537">
        <f t="shared" ca="1" si="163"/>
        <v>453.70549319816877</v>
      </c>
      <c r="BK63" s="537">
        <f t="shared" ca="1" si="163"/>
        <v>453.70549319816877</v>
      </c>
      <c r="BL63" s="537">
        <f t="shared" ca="1" si="163"/>
        <v>453.70549319816877</v>
      </c>
      <c r="BM63" s="537">
        <f t="shared" ca="1" si="163"/>
        <v>453.70549319816877</v>
      </c>
      <c r="BN63" s="537">
        <f t="shared" ca="1" si="163"/>
        <v>453.70549319816877</v>
      </c>
      <c r="BO63" s="537">
        <f t="shared" ca="1" si="163"/>
        <v>453.70549319816877</v>
      </c>
      <c r="BP63" s="537">
        <f t="shared" ca="1" si="163"/>
        <v>453.70549319816877</v>
      </c>
      <c r="BQ63" s="537">
        <f t="shared" ref="BQ63:CL63" ca="1" si="164">INDEX($E58:$CL61,4,MATCH($B$5,$E58:$CL58,0))</f>
        <v>453.70549319816877</v>
      </c>
      <c r="BR63" s="537">
        <f t="shared" ca="1" si="164"/>
        <v>453.70549319816877</v>
      </c>
      <c r="BS63" s="537">
        <f t="shared" ca="1" si="164"/>
        <v>453.70549319816877</v>
      </c>
      <c r="BT63" s="537">
        <f t="shared" ca="1" si="164"/>
        <v>453.70549319816877</v>
      </c>
      <c r="BU63" s="537">
        <f t="shared" ca="1" si="164"/>
        <v>453.70549319816877</v>
      </c>
      <c r="BV63" s="537">
        <f t="shared" ca="1" si="164"/>
        <v>453.70549319816877</v>
      </c>
      <c r="BW63" s="537">
        <f t="shared" ca="1" si="164"/>
        <v>453.70549319816877</v>
      </c>
      <c r="BX63" s="537">
        <f t="shared" ca="1" si="164"/>
        <v>453.70549319816877</v>
      </c>
      <c r="BY63" s="537">
        <f t="shared" ca="1" si="164"/>
        <v>453.70549319816877</v>
      </c>
      <c r="BZ63" s="537">
        <f t="shared" ca="1" si="164"/>
        <v>453.70549319816877</v>
      </c>
      <c r="CA63" s="537">
        <f t="shared" ca="1" si="164"/>
        <v>453.70549319816877</v>
      </c>
      <c r="CB63" s="537">
        <f t="shared" ca="1" si="164"/>
        <v>453.70549319816877</v>
      </c>
      <c r="CC63" s="537">
        <f t="shared" ca="1" si="164"/>
        <v>453.70549319816877</v>
      </c>
      <c r="CD63" s="537">
        <f t="shared" ca="1" si="164"/>
        <v>453.70549319816877</v>
      </c>
      <c r="CE63" s="537">
        <f t="shared" ca="1" si="164"/>
        <v>453.70549319816877</v>
      </c>
      <c r="CF63" s="537">
        <f t="shared" ca="1" si="164"/>
        <v>453.70549319816877</v>
      </c>
      <c r="CG63" s="537">
        <f t="shared" ca="1" si="164"/>
        <v>453.70549319816877</v>
      </c>
      <c r="CH63" s="537">
        <f t="shared" ca="1" si="164"/>
        <v>453.70549319816877</v>
      </c>
      <c r="CI63" s="537">
        <f t="shared" ca="1" si="164"/>
        <v>453.70549319816877</v>
      </c>
      <c r="CJ63" s="537">
        <f t="shared" ca="1" si="164"/>
        <v>453.70549319816877</v>
      </c>
      <c r="CK63" s="537">
        <f t="shared" ca="1" si="164"/>
        <v>453.70549319816877</v>
      </c>
      <c r="CL63" s="537">
        <f t="shared" ca="1" si="164"/>
        <v>453.70549319816877</v>
      </c>
      <c r="CN63" s="618"/>
      <c r="CO63" s="618"/>
      <c r="CP63" s="618"/>
    </row>
    <row r="64" spans="1:94" outlineLevel="1">
      <c r="A64" s="538" t="s">
        <v>255</v>
      </c>
      <c r="B64" s="538" t="s">
        <v>260</v>
      </c>
      <c r="C64" s="538" t="s">
        <v>339</v>
      </c>
      <c r="D64" s="538"/>
      <c r="E64" s="539" t="str">
        <f t="shared" ref="E64:BP64" si="165">IF(E58=base,pse,"")</f>
        <v/>
      </c>
      <c r="F64" s="540" t="str">
        <f t="shared" si="165"/>
        <v/>
      </c>
      <c r="G64" s="540" t="str">
        <f t="shared" si="165"/>
        <v/>
      </c>
      <c r="H64" s="540" t="str">
        <f t="shared" si="165"/>
        <v/>
      </c>
      <c r="I64" s="540" t="e">
        <f t="shared" si="165"/>
        <v>#DIV/0!</v>
      </c>
      <c r="J64" s="540" t="str">
        <f t="shared" si="165"/>
        <v/>
      </c>
      <c r="K64" s="540" t="str">
        <f t="shared" si="165"/>
        <v/>
      </c>
      <c r="L64" s="540" t="str">
        <f t="shared" si="165"/>
        <v/>
      </c>
      <c r="M64" s="540" t="str">
        <f t="shared" si="165"/>
        <v/>
      </c>
      <c r="N64" s="540" t="str">
        <f t="shared" si="165"/>
        <v/>
      </c>
      <c r="O64" s="540" t="str">
        <f t="shared" si="165"/>
        <v/>
      </c>
      <c r="P64" s="540" t="str">
        <f t="shared" si="165"/>
        <v/>
      </c>
      <c r="Q64" s="540" t="str">
        <f t="shared" si="165"/>
        <v/>
      </c>
      <c r="R64" s="540" t="str">
        <f t="shared" si="165"/>
        <v/>
      </c>
      <c r="S64" s="540" t="str">
        <f t="shared" si="165"/>
        <v/>
      </c>
      <c r="T64" s="540" t="str">
        <f t="shared" si="165"/>
        <v/>
      </c>
      <c r="U64" s="540" t="str">
        <f t="shared" si="165"/>
        <v/>
      </c>
      <c r="V64" s="540" t="str">
        <f t="shared" si="165"/>
        <v/>
      </c>
      <c r="W64" s="540" t="str">
        <f t="shared" si="165"/>
        <v/>
      </c>
      <c r="X64" s="540" t="str">
        <f t="shared" si="165"/>
        <v/>
      </c>
      <c r="Y64" s="540" t="str">
        <f t="shared" si="165"/>
        <v/>
      </c>
      <c r="Z64" s="540" t="str">
        <f t="shared" si="165"/>
        <v/>
      </c>
      <c r="AA64" s="540" t="str">
        <f t="shared" si="165"/>
        <v/>
      </c>
      <c r="AB64" s="540" t="str">
        <f t="shared" si="165"/>
        <v/>
      </c>
      <c r="AC64" s="540" t="str">
        <f t="shared" si="165"/>
        <v/>
      </c>
      <c r="AD64" s="540" t="str">
        <f t="shared" si="165"/>
        <v/>
      </c>
      <c r="AE64" s="540" t="str">
        <f t="shared" si="165"/>
        <v/>
      </c>
      <c r="AF64" s="540" t="str">
        <f t="shared" si="165"/>
        <v/>
      </c>
      <c r="AG64" s="540" t="str">
        <f t="shared" si="165"/>
        <v/>
      </c>
      <c r="AH64" s="540" t="str">
        <f t="shared" si="165"/>
        <v/>
      </c>
      <c r="AI64" s="540" t="str">
        <f t="shared" si="165"/>
        <v/>
      </c>
      <c r="AJ64" s="540" t="str">
        <f t="shared" si="165"/>
        <v/>
      </c>
      <c r="AK64" s="540" t="str">
        <f t="shared" si="165"/>
        <v/>
      </c>
      <c r="AL64" s="540" t="str">
        <f t="shared" si="165"/>
        <v/>
      </c>
      <c r="AM64" s="540" t="str">
        <f t="shared" si="165"/>
        <v/>
      </c>
      <c r="AN64" s="540" t="str">
        <f t="shared" si="165"/>
        <v/>
      </c>
      <c r="AO64" s="540" t="str">
        <f t="shared" si="165"/>
        <v/>
      </c>
      <c r="AP64" s="540" t="str">
        <f t="shared" si="165"/>
        <v/>
      </c>
      <c r="AQ64" s="540" t="str">
        <f t="shared" si="165"/>
        <v/>
      </c>
      <c r="AR64" s="540" t="str">
        <f t="shared" si="165"/>
        <v/>
      </c>
      <c r="AS64" s="540" t="str">
        <f t="shared" si="165"/>
        <v/>
      </c>
      <c r="AT64" s="540" t="str">
        <f t="shared" si="165"/>
        <v/>
      </c>
      <c r="AU64" s="540" t="str">
        <f t="shared" si="165"/>
        <v/>
      </c>
      <c r="AV64" s="540" t="str">
        <f t="shared" si="165"/>
        <v/>
      </c>
      <c r="AW64" s="540" t="str">
        <f t="shared" si="165"/>
        <v/>
      </c>
      <c r="AX64" s="540" t="str">
        <f t="shared" si="165"/>
        <v/>
      </c>
      <c r="AY64" s="540" t="str">
        <f t="shared" si="165"/>
        <v/>
      </c>
      <c r="AZ64" s="540" t="str">
        <f t="shared" si="165"/>
        <v/>
      </c>
      <c r="BA64" s="540" t="str">
        <f t="shared" si="165"/>
        <v/>
      </c>
      <c r="BB64" s="540" t="str">
        <f t="shared" si="165"/>
        <v/>
      </c>
      <c r="BC64" s="540" t="str">
        <f t="shared" si="165"/>
        <v/>
      </c>
      <c r="BD64" s="540" t="str">
        <f t="shared" si="165"/>
        <v/>
      </c>
      <c r="BE64" s="540" t="str">
        <f t="shared" si="165"/>
        <v/>
      </c>
      <c r="BF64" s="540" t="str">
        <f t="shared" si="165"/>
        <v/>
      </c>
      <c r="BG64" s="540" t="str">
        <f t="shared" si="165"/>
        <v/>
      </c>
      <c r="BH64" s="540" t="str">
        <f t="shared" si="165"/>
        <v/>
      </c>
      <c r="BI64" s="540" t="str">
        <f t="shared" si="165"/>
        <v/>
      </c>
      <c r="BJ64" s="540" t="str">
        <f t="shared" si="165"/>
        <v/>
      </c>
      <c r="BK64" s="540" t="str">
        <f t="shared" si="165"/>
        <v/>
      </c>
      <c r="BL64" s="540" t="str">
        <f t="shared" si="165"/>
        <v/>
      </c>
      <c r="BM64" s="540" t="str">
        <f t="shared" si="165"/>
        <v/>
      </c>
      <c r="BN64" s="540" t="str">
        <f t="shared" si="165"/>
        <v/>
      </c>
      <c r="BO64" s="540" t="str">
        <f t="shared" si="165"/>
        <v/>
      </c>
      <c r="BP64" s="540" t="str">
        <f t="shared" si="165"/>
        <v/>
      </c>
      <c r="BQ64" s="540" t="str">
        <f t="shared" ref="BQ64:CL64" si="166">IF(BQ58=base,pse,"")</f>
        <v/>
      </c>
      <c r="BR64" s="540" t="str">
        <f t="shared" si="166"/>
        <v/>
      </c>
      <c r="BS64" s="540" t="str">
        <f t="shared" si="166"/>
        <v/>
      </c>
      <c r="BT64" s="540" t="str">
        <f t="shared" si="166"/>
        <v/>
      </c>
      <c r="BU64" s="540" t="str">
        <f t="shared" si="166"/>
        <v/>
      </c>
      <c r="BV64" s="540" t="str">
        <f t="shared" si="166"/>
        <v/>
      </c>
      <c r="BW64" s="540" t="str">
        <f t="shared" si="166"/>
        <v/>
      </c>
      <c r="BX64" s="540" t="str">
        <f t="shared" si="166"/>
        <v/>
      </c>
      <c r="BY64" s="540" t="str">
        <f t="shared" si="166"/>
        <v/>
      </c>
      <c r="BZ64" s="540" t="str">
        <f t="shared" si="166"/>
        <v/>
      </c>
      <c r="CA64" s="540" t="str">
        <f t="shared" si="166"/>
        <v/>
      </c>
      <c r="CB64" s="540" t="str">
        <f t="shared" si="166"/>
        <v/>
      </c>
      <c r="CC64" s="540" t="str">
        <f t="shared" si="166"/>
        <v/>
      </c>
      <c r="CD64" s="540" t="str">
        <f t="shared" si="166"/>
        <v/>
      </c>
      <c r="CE64" s="540" t="str">
        <f t="shared" si="166"/>
        <v/>
      </c>
      <c r="CF64" s="540" t="str">
        <f t="shared" si="166"/>
        <v/>
      </c>
      <c r="CG64" s="540" t="str">
        <f t="shared" si="166"/>
        <v/>
      </c>
      <c r="CH64" s="540" t="str">
        <f t="shared" si="166"/>
        <v/>
      </c>
      <c r="CI64" s="540" t="str">
        <f t="shared" si="166"/>
        <v/>
      </c>
      <c r="CJ64" s="540" t="str">
        <f t="shared" si="166"/>
        <v/>
      </c>
      <c r="CK64" s="540" t="str">
        <f t="shared" si="166"/>
        <v/>
      </c>
      <c r="CL64" s="540" t="str">
        <f t="shared" si="166"/>
        <v/>
      </c>
      <c r="CN64" s="619" t="str">
        <f t="shared" ref="CN64:CN73" si="167">IFERROR((Y64/H64)^(1/17)-1,"")</f>
        <v/>
      </c>
      <c r="CO64" s="619" t="str">
        <f t="shared" ref="CO64:CO73" si="168">IFERROR((AN64/Y64)^(1/15)-1,"")</f>
        <v/>
      </c>
      <c r="CP64" s="619" t="str">
        <f t="shared" ref="CP64:CP73" si="169">IFERROR((AN64/H64)^(1/32)-1,"")</f>
        <v/>
      </c>
    </row>
    <row r="65" spans="1:94" outlineLevel="1">
      <c r="A65" s="535" t="s">
        <v>255</v>
      </c>
      <c r="B65" s="535" t="s">
        <v>259</v>
      </c>
      <c r="C65" s="535" t="s">
        <v>340</v>
      </c>
      <c r="D65" s="535"/>
      <c r="E65" s="546" t="e">
        <f t="shared" ref="E65:AJ65" si="170">IF(E8&lt;sector_base,NA(),IFERROR(IF(activity_approach="Input Activity Data Manually",IF(E8=base,psa,IF(E8=target,psf,D65+((psf-psa)/(target-base)))),psa*(1+f_CAGR)^(E8-base)),""))</f>
        <v>#N/A</v>
      </c>
      <c r="F65" s="541" t="e">
        <f t="shared" si="170"/>
        <v>#N/A</v>
      </c>
      <c r="G65" s="541" t="e">
        <f t="shared" si="170"/>
        <v>#N/A</v>
      </c>
      <c r="H65" s="541" t="e">
        <f t="shared" si="170"/>
        <v>#N/A</v>
      </c>
      <c r="I65" s="541">
        <f t="shared" si="170"/>
        <v>0</v>
      </c>
      <c r="J65" s="541">
        <f t="shared" si="170"/>
        <v>0</v>
      </c>
      <c r="K65" s="541">
        <f t="shared" si="170"/>
        <v>0</v>
      </c>
      <c r="L65" s="541">
        <f t="shared" si="170"/>
        <v>0</v>
      </c>
      <c r="M65" s="541">
        <f t="shared" si="170"/>
        <v>0</v>
      </c>
      <c r="N65" s="541">
        <f t="shared" si="170"/>
        <v>0</v>
      </c>
      <c r="O65" s="541">
        <f t="shared" si="170"/>
        <v>0</v>
      </c>
      <c r="P65" s="541">
        <f t="shared" si="170"/>
        <v>0</v>
      </c>
      <c r="Q65" s="541">
        <f t="shared" si="170"/>
        <v>0</v>
      </c>
      <c r="R65" s="541">
        <f t="shared" si="170"/>
        <v>0</v>
      </c>
      <c r="S65" s="541">
        <f t="shared" si="170"/>
        <v>0</v>
      </c>
      <c r="T65" s="541">
        <f t="shared" si="170"/>
        <v>0</v>
      </c>
      <c r="U65" s="541">
        <f t="shared" si="170"/>
        <v>0</v>
      </c>
      <c r="V65" s="541">
        <f t="shared" si="170"/>
        <v>0</v>
      </c>
      <c r="W65" s="541">
        <f t="shared" si="170"/>
        <v>0</v>
      </c>
      <c r="X65" s="541">
        <f t="shared" si="170"/>
        <v>0</v>
      </c>
      <c r="Y65" s="541">
        <f t="shared" si="170"/>
        <v>0</v>
      </c>
      <c r="Z65" s="541">
        <f t="shared" si="170"/>
        <v>0</v>
      </c>
      <c r="AA65" s="541">
        <f t="shared" si="170"/>
        <v>0</v>
      </c>
      <c r="AB65" s="541">
        <f t="shared" si="170"/>
        <v>0</v>
      </c>
      <c r="AC65" s="541">
        <f t="shared" si="170"/>
        <v>0</v>
      </c>
      <c r="AD65" s="541">
        <f t="shared" si="170"/>
        <v>0</v>
      </c>
      <c r="AE65" s="541">
        <f t="shared" si="170"/>
        <v>0</v>
      </c>
      <c r="AF65" s="541">
        <f t="shared" si="170"/>
        <v>0</v>
      </c>
      <c r="AG65" s="541">
        <f t="shared" si="170"/>
        <v>0</v>
      </c>
      <c r="AH65" s="541">
        <f t="shared" si="170"/>
        <v>0</v>
      </c>
      <c r="AI65" s="541">
        <f t="shared" si="170"/>
        <v>0</v>
      </c>
      <c r="AJ65" s="541">
        <f t="shared" si="170"/>
        <v>0</v>
      </c>
      <c r="AK65" s="541">
        <f t="shared" ref="AK65:BP65" si="171">IF(AK8&lt;sector_base,NA(),IFERROR(IF(activity_approach="Input Activity Data Manually",IF(AK8=base,psa,IF(AK8=target,psf,AJ65+((psf-psa)/(target-base)))),psa*(1+f_CAGR)^(AK8-base)),""))</f>
        <v>0</v>
      </c>
      <c r="AL65" s="541">
        <f t="shared" si="171"/>
        <v>0</v>
      </c>
      <c r="AM65" s="541">
        <f t="shared" si="171"/>
        <v>0</v>
      </c>
      <c r="AN65" s="541">
        <f t="shared" si="171"/>
        <v>0</v>
      </c>
      <c r="AO65" s="541">
        <f t="shared" si="171"/>
        <v>0</v>
      </c>
      <c r="AP65" s="541">
        <f t="shared" si="171"/>
        <v>0</v>
      </c>
      <c r="AQ65" s="541">
        <f t="shared" si="171"/>
        <v>0</v>
      </c>
      <c r="AR65" s="541">
        <f t="shared" si="171"/>
        <v>0</v>
      </c>
      <c r="AS65" s="541">
        <f t="shared" si="171"/>
        <v>0</v>
      </c>
      <c r="AT65" s="541">
        <f t="shared" si="171"/>
        <v>0</v>
      </c>
      <c r="AU65" s="541">
        <f t="shared" si="171"/>
        <v>0</v>
      </c>
      <c r="AV65" s="541">
        <f t="shared" si="171"/>
        <v>0</v>
      </c>
      <c r="AW65" s="541">
        <f t="shared" si="171"/>
        <v>0</v>
      </c>
      <c r="AX65" s="541">
        <f t="shared" si="171"/>
        <v>0</v>
      </c>
      <c r="AY65" s="541">
        <f t="shared" si="171"/>
        <v>0</v>
      </c>
      <c r="AZ65" s="541">
        <f t="shared" si="171"/>
        <v>0</v>
      </c>
      <c r="BA65" s="541">
        <f t="shared" si="171"/>
        <v>0</v>
      </c>
      <c r="BB65" s="541">
        <f t="shared" si="171"/>
        <v>0</v>
      </c>
      <c r="BC65" s="541">
        <f t="shared" si="171"/>
        <v>0</v>
      </c>
      <c r="BD65" s="541">
        <f t="shared" si="171"/>
        <v>0</v>
      </c>
      <c r="BE65" s="541">
        <f t="shared" si="171"/>
        <v>0</v>
      </c>
      <c r="BF65" s="541">
        <f t="shared" si="171"/>
        <v>0</v>
      </c>
      <c r="BG65" s="541">
        <f t="shared" si="171"/>
        <v>0</v>
      </c>
      <c r="BH65" s="541">
        <f t="shared" si="171"/>
        <v>0</v>
      </c>
      <c r="BI65" s="541">
        <f t="shared" si="171"/>
        <v>0</v>
      </c>
      <c r="BJ65" s="541">
        <f t="shared" si="171"/>
        <v>0</v>
      </c>
      <c r="BK65" s="541">
        <f t="shared" si="171"/>
        <v>0</v>
      </c>
      <c r="BL65" s="541">
        <f t="shared" si="171"/>
        <v>0</v>
      </c>
      <c r="BM65" s="541">
        <f t="shared" si="171"/>
        <v>0</v>
      </c>
      <c r="BN65" s="541">
        <f t="shared" si="171"/>
        <v>0</v>
      </c>
      <c r="BO65" s="541">
        <f t="shared" si="171"/>
        <v>0</v>
      </c>
      <c r="BP65" s="541">
        <f t="shared" si="171"/>
        <v>0</v>
      </c>
      <c r="BQ65" s="541">
        <f t="shared" ref="BQ65:CL65" si="172">IF(BQ8&lt;sector_base,NA(),IFERROR(IF(activity_approach="Input Activity Data Manually",IF(BQ8=base,psa,IF(BQ8=target,psf,BP65+((psf-psa)/(target-base)))),psa*(1+f_CAGR)^(BQ8-base)),""))</f>
        <v>0</v>
      </c>
      <c r="BR65" s="541">
        <f t="shared" si="172"/>
        <v>0</v>
      </c>
      <c r="BS65" s="541">
        <f t="shared" si="172"/>
        <v>0</v>
      </c>
      <c r="BT65" s="541">
        <f t="shared" si="172"/>
        <v>0</v>
      </c>
      <c r="BU65" s="541">
        <f t="shared" si="172"/>
        <v>0</v>
      </c>
      <c r="BV65" s="541">
        <f t="shared" si="172"/>
        <v>0</v>
      </c>
      <c r="BW65" s="541">
        <f t="shared" si="172"/>
        <v>0</v>
      </c>
      <c r="BX65" s="541">
        <f t="shared" si="172"/>
        <v>0</v>
      </c>
      <c r="BY65" s="541">
        <f t="shared" si="172"/>
        <v>0</v>
      </c>
      <c r="BZ65" s="541">
        <f t="shared" si="172"/>
        <v>0</v>
      </c>
      <c r="CA65" s="541">
        <f t="shared" si="172"/>
        <v>0</v>
      </c>
      <c r="CB65" s="541">
        <f t="shared" si="172"/>
        <v>0</v>
      </c>
      <c r="CC65" s="541">
        <f t="shared" si="172"/>
        <v>0</v>
      </c>
      <c r="CD65" s="541">
        <f t="shared" si="172"/>
        <v>0</v>
      </c>
      <c r="CE65" s="541">
        <f t="shared" si="172"/>
        <v>0</v>
      </c>
      <c r="CF65" s="541">
        <f t="shared" si="172"/>
        <v>0</v>
      </c>
      <c r="CG65" s="541">
        <f t="shared" si="172"/>
        <v>0</v>
      </c>
      <c r="CH65" s="541">
        <f t="shared" si="172"/>
        <v>0</v>
      </c>
      <c r="CI65" s="541">
        <f t="shared" si="172"/>
        <v>0</v>
      </c>
      <c r="CJ65" s="541">
        <f t="shared" si="172"/>
        <v>0</v>
      </c>
      <c r="CK65" s="541">
        <f t="shared" si="172"/>
        <v>0</v>
      </c>
      <c r="CL65" s="541">
        <f t="shared" si="172"/>
        <v>0</v>
      </c>
      <c r="CN65" s="620" t="str">
        <f t="shared" si="167"/>
        <v/>
      </c>
      <c r="CO65" s="620" t="str">
        <f t="shared" si="168"/>
        <v/>
      </c>
      <c r="CP65" s="620" t="str">
        <f t="shared" si="169"/>
        <v/>
      </c>
    </row>
    <row r="66" spans="1:94" outlineLevel="1">
      <c r="A66" s="535" t="s">
        <v>255</v>
      </c>
      <c r="B66" s="535" t="s">
        <v>258</v>
      </c>
      <c r="C66" s="535" t="s">
        <v>341</v>
      </c>
      <c r="D66" s="535" t="s">
        <v>342</v>
      </c>
      <c r="E66" s="542" t="str">
        <f>IFERROR((E64/E65)*1000,"")</f>
        <v/>
      </c>
      <c r="F66" s="531" t="str">
        <f t="shared" ref="F66:BQ66" si="173">IFERROR((F64/F65)*1000,"")</f>
        <v/>
      </c>
      <c r="G66" s="531" t="str">
        <f t="shared" si="173"/>
        <v/>
      </c>
      <c r="H66" s="531" t="str">
        <f t="shared" si="173"/>
        <v/>
      </c>
      <c r="I66" s="531" t="str">
        <f t="shared" si="173"/>
        <v/>
      </c>
      <c r="J66" s="531" t="str">
        <f t="shared" si="173"/>
        <v/>
      </c>
      <c r="K66" s="531" t="str">
        <f t="shared" si="173"/>
        <v/>
      </c>
      <c r="L66" s="531" t="str">
        <f t="shared" si="173"/>
        <v/>
      </c>
      <c r="M66" s="531" t="str">
        <f t="shared" si="173"/>
        <v/>
      </c>
      <c r="N66" s="531" t="str">
        <f t="shared" si="173"/>
        <v/>
      </c>
      <c r="O66" s="531" t="str">
        <f t="shared" si="173"/>
        <v/>
      </c>
      <c r="P66" s="531" t="str">
        <f t="shared" si="173"/>
        <v/>
      </c>
      <c r="Q66" s="531" t="str">
        <f t="shared" si="173"/>
        <v/>
      </c>
      <c r="R66" s="531" t="str">
        <f t="shared" si="173"/>
        <v/>
      </c>
      <c r="S66" s="531" t="str">
        <f t="shared" si="173"/>
        <v/>
      </c>
      <c r="T66" s="531" t="str">
        <f t="shared" si="173"/>
        <v/>
      </c>
      <c r="U66" s="531" t="str">
        <f t="shared" si="173"/>
        <v/>
      </c>
      <c r="V66" s="531" t="str">
        <f t="shared" si="173"/>
        <v/>
      </c>
      <c r="W66" s="531" t="str">
        <f t="shared" si="173"/>
        <v/>
      </c>
      <c r="X66" s="531" t="str">
        <f t="shared" si="173"/>
        <v/>
      </c>
      <c r="Y66" s="531" t="str">
        <f t="shared" si="173"/>
        <v/>
      </c>
      <c r="Z66" s="531" t="str">
        <f t="shared" si="173"/>
        <v/>
      </c>
      <c r="AA66" s="531" t="str">
        <f t="shared" si="173"/>
        <v/>
      </c>
      <c r="AB66" s="531" t="str">
        <f t="shared" si="173"/>
        <v/>
      </c>
      <c r="AC66" s="531" t="str">
        <f t="shared" si="173"/>
        <v/>
      </c>
      <c r="AD66" s="531" t="str">
        <f t="shared" si="173"/>
        <v/>
      </c>
      <c r="AE66" s="531" t="str">
        <f t="shared" si="173"/>
        <v/>
      </c>
      <c r="AF66" s="531" t="str">
        <f t="shared" si="173"/>
        <v/>
      </c>
      <c r="AG66" s="531" t="str">
        <f t="shared" si="173"/>
        <v/>
      </c>
      <c r="AH66" s="531" t="str">
        <f t="shared" si="173"/>
        <v/>
      </c>
      <c r="AI66" s="531" t="str">
        <f t="shared" si="173"/>
        <v/>
      </c>
      <c r="AJ66" s="531" t="str">
        <f t="shared" si="173"/>
        <v/>
      </c>
      <c r="AK66" s="531" t="str">
        <f t="shared" si="173"/>
        <v/>
      </c>
      <c r="AL66" s="531" t="str">
        <f t="shared" si="173"/>
        <v/>
      </c>
      <c r="AM66" s="531" t="str">
        <f t="shared" si="173"/>
        <v/>
      </c>
      <c r="AN66" s="531" t="str">
        <f t="shared" si="173"/>
        <v/>
      </c>
      <c r="AO66" s="531" t="str">
        <f t="shared" si="173"/>
        <v/>
      </c>
      <c r="AP66" s="531" t="str">
        <f t="shared" si="173"/>
        <v/>
      </c>
      <c r="AQ66" s="531" t="str">
        <f t="shared" si="173"/>
        <v/>
      </c>
      <c r="AR66" s="531" t="str">
        <f t="shared" si="173"/>
        <v/>
      </c>
      <c r="AS66" s="531" t="str">
        <f t="shared" si="173"/>
        <v/>
      </c>
      <c r="AT66" s="531" t="str">
        <f t="shared" si="173"/>
        <v/>
      </c>
      <c r="AU66" s="531" t="str">
        <f t="shared" si="173"/>
        <v/>
      </c>
      <c r="AV66" s="531" t="str">
        <f t="shared" si="173"/>
        <v/>
      </c>
      <c r="AW66" s="531" t="str">
        <f t="shared" si="173"/>
        <v/>
      </c>
      <c r="AX66" s="531" t="str">
        <f t="shared" si="173"/>
        <v/>
      </c>
      <c r="AY66" s="531" t="str">
        <f t="shared" si="173"/>
        <v/>
      </c>
      <c r="AZ66" s="531" t="str">
        <f t="shared" si="173"/>
        <v/>
      </c>
      <c r="BA66" s="531" t="str">
        <f t="shared" si="173"/>
        <v/>
      </c>
      <c r="BB66" s="531" t="str">
        <f t="shared" si="173"/>
        <v/>
      </c>
      <c r="BC66" s="531" t="str">
        <f t="shared" si="173"/>
        <v/>
      </c>
      <c r="BD66" s="531" t="str">
        <f t="shared" si="173"/>
        <v/>
      </c>
      <c r="BE66" s="531" t="str">
        <f t="shared" si="173"/>
        <v/>
      </c>
      <c r="BF66" s="531" t="str">
        <f t="shared" si="173"/>
        <v/>
      </c>
      <c r="BG66" s="531" t="str">
        <f t="shared" si="173"/>
        <v/>
      </c>
      <c r="BH66" s="531" t="str">
        <f t="shared" si="173"/>
        <v/>
      </c>
      <c r="BI66" s="531" t="str">
        <f t="shared" si="173"/>
        <v/>
      </c>
      <c r="BJ66" s="531" t="str">
        <f t="shared" si="173"/>
        <v/>
      </c>
      <c r="BK66" s="531" t="str">
        <f t="shared" si="173"/>
        <v/>
      </c>
      <c r="BL66" s="531" t="str">
        <f t="shared" si="173"/>
        <v/>
      </c>
      <c r="BM66" s="531" t="str">
        <f t="shared" si="173"/>
        <v/>
      </c>
      <c r="BN66" s="531" t="str">
        <f t="shared" si="173"/>
        <v/>
      </c>
      <c r="BO66" s="531" t="str">
        <f t="shared" si="173"/>
        <v/>
      </c>
      <c r="BP66" s="531" t="str">
        <f t="shared" si="173"/>
        <v/>
      </c>
      <c r="BQ66" s="531" t="str">
        <f t="shared" si="173"/>
        <v/>
      </c>
      <c r="BR66" s="531" t="str">
        <f t="shared" ref="BR66:CL66" si="174">IFERROR((BR64/BR65)*1000,"")</f>
        <v/>
      </c>
      <c r="BS66" s="531" t="str">
        <f t="shared" si="174"/>
        <v/>
      </c>
      <c r="BT66" s="531" t="str">
        <f t="shared" si="174"/>
        <v/>
      </c>
      <c r="BU66" s="531" t="str">
        <f t="shared" si="174"/>
        <v/>
      </c>
      <c r="BV66" s="531" t="str">
        <f t="shared" si="174"/>
        <v/>
      </c>
      <c r="BW66" s="531" t="str">
        <f t="shared" si="174"/>
        <v/>
      </c>
      <c r="BX66" s="531" t="str">
        <f t="shared" si="174"/>
        <v/>
      </c>
      <c r="BY66" s="531" t="str">
        <f t="shared" si="174"/>
        <v/>
      </c>
      <c r="BZ66" s="531" t="str">
        <f t="shared" si="174"/>
        <v/>
      </c>
      <c r="CA66" s="531" t="str">
        <f t="shared" si="174"/>
        <v/>
      </c>
      <c r="CB66" s="531" t="str">
        <f t="shared" si="174"/>
        <v/>
      </c>
      <c r="CC66" s="531" t="str">
        <f t="shared" si="174"/>
        <v/>
      </c>
      <c r="CD66" s="531" t="str">
        <f t="shared" si="174"/>
        <v/>
      </c>
      <c r="CE66" s="531" t="str">
        <f t="shared" si="174"/>
        <v/>
      </c>
      <c r="CF66" s="531" t="str">
        <f t="shared" si="174"/>
        <v/>
      </c>
      <c r="CG66" s="531" t="str">
        <f t="shared" si="174"/>
        <v/>
      </c>
      <c r="CH66" s="531" t="str">
        <f t="shared" si="174"/>
        <v/>
      </c>
      <c r="CI66" s="531" t="str">
        <f t="shared" si="174"/>
        <v/>
      </c>
      <c r="CJ66" s="531" t="str">
        <f t="shared" si="174"/>
        <v/>
      </c>
      <c r="CK66" s="531" t="str">
        <f t="shared" si="174"/>
        <v/>
      </c>
      <c r="CL66" s="531" t="str">
        <f t="shared" si="174"/>
        <v/>
      </c>
      <c r="CN66" s="613" t="str">
        <f t="shared" si="167"/>
        <v/>
      </c>
      <c r="CO66" s="613" t="str">
        <f t="shared" si="168"/>
        <v/>
      </c>
      <c r="CP66" s="613" t="str">
        <f t="shared" si="169"/>
        <v/>
      </c>
    </row>
    <row r="67" spans="1:94" outlineLevel="1">
      <c r="A67" s="622"/>
      <c r="B67" s="622" t="s">
        <v>124</v>
      </c>
      <c r="C67" s="543" t="s">
        <v>343</v>
      </c>
      <c r="D67" s="543" t="s">
        <v>344</v>
      </c>
      <c r="E67" s="544" t="str">
        <f t="shared" ref="E67:AJ67" ca="1" si="175">IFERROR(IF((INDEX($E58:$CL65,8,MATCH(base,$E58:$CL58,0))/INDEX($E58:$CL65,3,MATCH(sector_base,$E58:$CL58,0))/(E65/E60))&gt;=1,1,(INDEX($E58:$CL65,8,MATCH(base,$E58:$CL58,0))/INDEX($E58:$CL65,3,MATCH(base,$E58:$CL58,0))/(E65/E60))),"")</f>
        <v/>
      </c>
      <c r="F67" s="545" t="str">
        <f t="shared" ca="1" si="175"/>
        <v/>
      </c>
      <c r="G67" s="545" t="str">
        <f t="shared" ca="1" si="175"/>
        <v/>
      </c>
      <c r="H67" s="545" t="str">
        <f t="shared" ca="1" si="175"/>
        <v/>
      </c>
      <c r="I67" s="545" t="str">
        <f t="shared" ca="1" si="175"/>
        <v/>
      </c>
      <c r="J67" s="545" t="str">
        <f t="shared" ca="1" si="175"/>
        <v/>
      </c>
      <c r="K67" s="545" t="str">
        <f t="shared" ca="1" si="175"/>
        <v/>
      </c>
      <c r="L67" s="545" t="str">
        <f t="shared" ca="1" si="175"/>
        <v/>
      </c>
      <c r="M67" s="545" t="str">
        <f t="shared" ca="1" si="175"/>
        <v/>
      </c>
      <c r="N67" s="545" t="str">
        <f t="shared" ca="1" si="175"/>
        <v/>
      </c>
      <c r="O67" s="545" t="str">
        <f t="shared" ca="1" si="175"/>
        <v/>
      </c>
      <c r="P67" s="545" t="str">
        <f t="shared" ca="1" si="175"/>
        <v/>
      </c>
      <c r="Q67" s="545" t="str">
        <f t="shared" ca="1" si="175"/>
        <v/>
      </c>
      <c r="R67" s="545" t="str">
        <f t="shared" ca="1" si="175"/>
        <v/>
      </c>
      <c r="S67" s="545" t="str">
        <f t="shared" ca="1" si="175"/>
        <v/>
      </c>
      <c r="T67" s="545" t="str">
        <f t="shared" ca="1" si="175"/>
        <v/>
      </c>
      <c r="U67" s="545" t="str">
        <f t="shared" ca="1" si="175"/>
        <v/>
      </c>
      <c r="V67" s="545" t="str">
        <f t="shared" ca="1" si="175"/>
        <v/>
      </c>
      <c r="W67" s="545" t="str">
        <f t="shared" ca="1" si="175"/>
        <v/>
      </c>
      <c r="X67" s="545" t="str">
        <f t="shared" ca="1" si="175"/>
        <v/>
      </c>
      <c r="Y67" s="545" t="str">
        <f t="shared" ca="1" si="175"/>
        <v/>
      </c>
      <c r="Z67" s="545" t="str">
        <f t="shared" ca="1" si="175"/>
        <v/>
      </c>
      <c r="AA67" s="545" t="str">
        <f t="shared" ca="1" si="175"/>
        <v/>
      </c>
      <c r="AB67" s="545" t="str">
        <f t="shared" ca="1" si="175"/>
        <v/>
      </c>
      <c r="AC67" s="545" t="str">
        <f t="shared" ca="1" si="175"/>
        <v/>
      </c>
      <c r="AD67" s="545" t="str">
        <f t="shared" ca="1" si="175"/>
        <v/>
      </c>
      <c r="AE67" s="545" t="str">
        <f t="shared" ca="1" si="175"/>
        <v/>
      </c>
      <c r="AF67" s="545" t="str">
        <f t="shared" ca="1" si="175"/>
        <v/>
      </c>
      <c r="AG67" s="545" t="str">
        <f t="shared" ca="1" si="175"/>
        <v/>
      </c>
      <c r="AH67" s="545" t="str">
        <f t="shared" ca="1" si="175"/>
        <v/>
      </c>
      <c r="AI67" s="545" t="str">
        <f t="shared" ca="1" si="175"/>
        <v/>
      </c>
      <c r="AJ67" s="545" t="str">
        <f t="shared" ca="1" si="175"/>
        <v/>
      </c>
      <c r="AK67" s="545" t="str">
        <f t="shared" ref="AK67:BP67" ca="1" si="176">IFERROR(IF((INDEX($E58:$CL65,8,MATCH(base,$E58:$CL58,0))/INDEX($E58:$CL65,3,MATCH(sector_base,$E58:$CL58,0))/(AK65/AK60))&gt;=1,1,(INDEX($E58:$CL65,8,MATCH(base,$E58:$CL58,0))/INDEX($E58:$CL65,3,MATCH(base,$E58:$CL58,0))/(AK65/AK60))),"")</f>
        <v/>
      </c>
      <c r="AL67" s="545" t="str">
        <f t="shared" ca="1" si="176"/>
        <v/>
      </c>
      <c r="AM67" s="545" t="str">
        <f t="shared" ca="1" si="176"/>
        <v/>
      </c>
      <c r="AN67" s="545" t="str">
        <f t="shared" ca="1" si="176"/>
        <v/>
      </c>
      <c r="AO67" s="545" t="str">
        <f t="shared" ca="1" si="176"/>
        <v/>
      </c>
      <c r="AP67" s="545" t="str">
        <f t="shared" ca="1" si="176"/>
        <v/>
      </c>
      <c r="AQ67" s="545" t="str">
        <f t="shared" ca="1" si="176"/>
        <v/>
      </c>
      <c r="AR67" s="545" t="str">
        <f t="shared" ca="1" si="176"/>
        <v/>
      </c>
      <c r="AS67" s="545" t="str">
        <f t="shared" ca="1" si="176"/>
        <v/>
      </c>
      <c r="AT67" s="545" t="str">
        <f t="shared" ca="1" si="176"/>
        <v/>
      </c>
      <c r="AU67" s="545" t="str">
        <f t="shared" ca="1" si="176"/>
        <v/>
      </c>
      <c r="AV67" s="545" t="str">
        <f t="shared" ca="1" si="176"/>
        <v/>
      </c>
      <c r="AW67" s="545" t="str">
        <f t="shared" ca="1" si="176"/>
        <v/>
      </c>
      <c r="AX67" s="545" t="str">
        <f t="shared" ca="1" si="176"/>
        <v/>
      </c>
      <c r="AY67" s="545" t="str">
        <f t="shared" ca="1" si="176"/>
        <v/>
      </c>
      <c r="AZ67" s="545" t="str">
        <f t="shared" ca="1" si="176"/>
        <v/>
      </c>
      <c r="BA67" s="545" t="str">
        <f t="shared" ca="1" si="176"/>
        <v/>
      </c>
      <c r="BB67" s="545" t="str">
        <f t="shared" ca="1" si="176"/>
        <v/>
      </c>
      <c r="BC67" s="545" t="str">
        <f t="shared" ca="1" si="176"/>
        <v/>
      </c>
      <c r="BD67" s="545" t="str">
        <f t="shared" ca="1" si="176"/>
        <v/>
      </c>
      <c r="BE67" s="545" t="str">
        <f t="shared" ca="1" si="176"/>
        <v/>
      </c>
      <c r="BF67" s="545" t="str">
        <f t="shared" ca="1" si="176"/>
        <v/>
      </c>
      <c r="BG67" s="545" t="str">
        <f t="shared" ca="1" si="176"/>
        <v/>
      </c>
      <c r="BH67" s="545" t="str">
        <f t="shared" ca="1" si="176"/>
        <v/>
      </c>
      <c r="BI67" s="545" t="str">
        <f t="shared" ca="1" si="176"/>
        <v/>
      </c>
      <c r="BJ67" s="545" t="str">
        <f t="shared" ca="1" si="176"/>
        <v/>
      </c>
      <c r="BK67" s="545" t="str">
        <f t="shared" ca="1" si="176"/>
        <v/>
      </c>
      <c r="BL67" s="545" t="str">
        <f t="shared" ca="1" si="176"/>
        <v/>
      </c>
      <c r="BM67" s="545" t="str">
        <f t="shared" ca="1" si="176"/>
        <v/>
      </c>
      <c r="BN67" s="545" t="str">
        <f t="shared" ca="1" si="176"/>
        <v/>
      </c>
      <c r="BO67" s="545" t="str">
        <f t="shared" ca="1" si="176"/>
        <v/>
      </c>
      <c r="BP67" s="545" t="str">
        <f t="shared" ca="1" si="176"/>
        <v/>
      </c>
      <c r="BQ67" s="545" t="str">
        <f t="shared" ref="BQ67:CL67" ca="1" si="177">IFERROR(IF((INDEX($E58:$CL65,8,MATCH(base,$E58:$CL58,0))/INDEX($E58:$CL65,3,MATCH(sector_base,$E58:$CL58,0))/(BQ65/BQ60))&gt;=1,1,(INDEX($E58:$CL65,8,MATCH(base,$E58:$CL58,0))/INDEX($E58:$CL65,3,MATCH(base,$E58:$CL58,0))/(BQ65/BQ60))),"")</f>
        <v/>
      </c>
      <c r="BR67" s="545" t="str">
        <f t="shared" ca="1" si="177"/>
        <v/>
      </c>
      <c r="BS67" s="545" t="str">
        <f t="shared" ca="1" si="177"/>
        <v/>
      </c>
      <c r="BT67" s="545" t="str">
        <f t="shared" ca="1" si="177"/>
        <v/>
      </c>
      <c r="BU67" s="545" t="str">
        <f t="shared" ca="1" si="177"/>
        <v/>
      </c>
      <c r="BV67" s="545" t="str">
        <f t="shared" ca="1" si="177"/>
        <v/>
      </c>
      <c r="BW67" s="545" t="str">
        <f t="shared" ca="1" si="177"/>
        <v/>
      </c>
      <c r="BX67" s="545" t="str">
        <f t="shared" ca="1" si="177"/>
        <v/>
      </c>
      <c r="BY67" s="545" t="str">
        <f t="shared" ca="1" si="177"/>
        <v/>
      </c>
      <c r="BZ67" s="545" t="str">
        <f t="shared" ca="1" si="177"/>
        <v/>
      </c>
      <c r="CA67" s="545" t="str">
        <f t="shared" ca="1" si="177"/>
        <v/>
      </c>
      <c r="CB67" s="545" t="str">
        <f t="shared" ca="1" si="177"/>
        <v/>
      </c>
      <c r="CC67" s="545" t="str">
        <f t="shared" ca="1" si="177"/>
        <v/>
      </c>
      <c r="CD67" s="545" t="str">
        <f t="shared" ca="1" si="177"/>
        <v/>
      </c>
      <c r="CE67" s="545" t="str">
        <f t="shared" ca="1" si="177"/>
        <v/>
      </c>
      <c r="CF67" s="545" t="str">
        <f t="shared" ca="1" si="177"/>
        <v/>
      </c>
      <c r="CG67" s="545" t="str">
        <f t="shared" ca="1" si="177"/>
        <v/>
      </c>
      <c r="CH67" s="545" t="str">
        <f t="shared" ca="1" si="177"/>
        <v/>
      </c>
      <c r="CI67" s="545" t="str">
        <f t="shared" ca="1" si="177"/>
        <v/>
      </c>
      <c r="CJ67" s="545" t="str">
        <f t="shared" ca="1" si="177"/>
        <v/>
      </c>
      <c r="CK67" s="545" t="str">
        <f t="shared" ca="1" si="177"/>
        <v/>
      </c>
      <c r="CL67" s="545" t="str">
        <f t="shared" ca="1" si="177"/>
        <v/>
      </c>
      <c r="CN67" s="619" t="str">
        <f ca="1">IFERROR((Y67/H67)^(1/17)-1,"")</f>
        <v/>
      </c>
      <c r="CO67" s="619" t="str">
        <f ca="1">IFERROR((AN67/Y67)^(1/15)-1,"")</f>
        <v/>
      </c>
      <c r="CP67" s="619" t="str">
        <f ca="1">IFERROR((AN67/H67)^(1/32)-1,"")</f>
        <v/>
      </c>
    </row>
    <row r="68" spans="1:94" outlineLevel="1">
      <c r="A68" s="534"/>
      <c r="B68" s="534" t="s">
        <v>27</v>
      </c>
      <c r="C68" s="534" t="s">
        <v>345</v>
      </c>
      <c r="D68" s="534" t="s">
        <v>346</v>
      </c>
      <c r="E68" s="536" t="str">
        <f t="shared" ref="E68:BP68" ca="1" si="178">IFERROR(IF(INDEX($E58:$CL67,9,MATCH(base,$E58:$CL58,0))-E63&lt;0,"N/A",INDEX($E58:$CL67,9,MATCH(base,$E58:$CL58,0))-E63),"")</f>
        <v/>
      </c>
      <c r="F68" s="537" t="str">
        <f t="shared" ca="1" si="178"/>
        <v/>
      </c>
      <c r="G68" s="537" t="str">
        <f t="shared" ca="1" si="178"/>
        <v/>
      </c>
      <c r="H68" s="537" t="str">
        <f t="shared" ca="1" si="178"/>
        <v/>
      </c>
      <c r="I68" s="537" t="str">
        <f t="shared" ca="1" si="178"/>
        <v/>
      </c>
      <c r="J68" s="537" t="str">
        <f t="shared" ca="1" si="178"/>
        <v/>
      </c>
      <c r="K68" s="537" t="str">
        <f t="shared" ca="1" si="178"/>
        <v/>
      </c>
      <c r="L68" s="537" t="str">
        <f t="shared" ca="1" si="178"/>
        <v/>
      </c>
      <c r="M68" s="537" t="str">
        <f t="shared" ca="1" si="178"/>
        <v/>
      </c>
      <c r="N68" s="537" t="str">
        <f t="shared" ca="1" si="178"/>
        <v/>
      </c>
      <c r="O68" s="537" t="str">
        <f t="shared" ca="1" si="178"/>
        <v/>
      </c>
      <c r="P68" s="537" t="str">
        <f t="shared" ca="1" si="178"/>
        <v/>
      </c>
      <c r="Q68" s="537" t="str">
        <f t="shared" ca="1" si="178"/>
        <v/>
      </c>
      <c r="R68" s="537" t="str">
        <f t="shared" ca="1" si="178"/>
        <v/>
      </c>
      <c r="S68" s="537" t="str">
        <f t="shared" ca="1" si="178"/>
        <v/>
      </c>
      <c r="T68" s="537" t="str">
        <f t="shared" ca="1" si="178"/>
        <v/>
      </c>
      <c r="U68" s="537" t="str">
        <f t="shared" ca="1" si="178"/>
        <v/>
      </c>
      <c r="V68" s="537" t="str">
        <f t="shared" ca="1" si="178"/>
        <v/>
      </c>
      <c r="W68" s="537" t="str">
        <f t="shared" ca="1" si="178"/>
        <v/>
      </c>
      <c r="X68" s="537" t="str">
        <f t="shared" ca="1" si="178"/>
        <v/>
      </c>
      <c r="Y68" s="537" t="str">
        <f t="shared" ca="1" si="178"/>
        <v/>
      </c>
      <c r="Z68" s="537" t="str">
        <f t="shared" ca="1" si="178"/>
        <v/>
      </c>
      <c r="AA68" s="537" t="str">
        <f t="shared" ca="1" si="178"/>
        <v/>
      </c>
      <c r="AB68" s="537" t="str">
        <f t="shared" ca="1" si="178"/>
        <v/>
      </c>
      <c r="AC68" s="537" t="str">
        <f t="shared" ca="1" si="178"/>
        <v/>
      </c>
      <c r="AD68" s="537" t="str">
        <f t="shared" ca="1" si="178"/>
        <v/>
      </c>
      <c r="AE68" s="537" t="str">
        <f t="shared" ca="1" si="178"/>
        <v/>
      </c>
      <c r="AF68" s="537" t="str">
        <f t="shared" ca="1" si="178"/>
        <v/>
      </c>
      <c r="AG68" s="537" t="str">
        <f t="shared" ca="1" si="178"/>
        <v/>
      </c>
      <c r="AH68" s="537" t="str">
        <f t="shared" ca="1" si="178"/>
        <v/>
      </c>
      <c r="AI68" s="537" t="str">
        <f t="shared" ca="1" si="178"/>
        <v/>
      </c>
      <c r="AJ68" s="537" t="str">
        <f t="shared" ca="1" si="178"/>
        <v/>
      </c>
      <c r="AK68" s="537" t="str">
        <f t="shared" ca="1" si="178"/>
        <v/>
      </c>
      <c r="AL68" s="537" t="str">
        <f t="shared" ca="1" si="178"/>
        <v/>
      </c>
      <c r="AM68" s="537" t="str">
        <f t="shared" ca="1" si="178"/>
        <v/>
      </c>
      <c r="AN68" s="537" t="str">
        <f t="shared" ca="1" si="178"/>
        <v/>
      </c>
      <c r="AO68" s="537" t="str">
        <f t="shared" ca="1" si="178"/>
        <v/>
      </c>
      <c r="AP68" s="537" t="str">
        <f t="shared" ca="1" si="178"/>
        <v/>
      </c>
      <c r="AQ68" s="537" t="str">
        <f t="shared" ca="1" si="178"/>
        <v/>
      </c>
      <c r="AR68" s="537" t="str">
        <f t="shared" ca="1" si="178"/>
        <v/>
      </c>
      <c r="AS68" s="537" t="str">
        <f t="shared" ca="1" si="178"/>
        <v/>
      </c>
      <c r="AT68" s="537" t="str">
        <f t="shared" ca="1" si="178"/>
        <v/>
      </c>
      <c r="AU68" s="537" t="str">
        <f t="shared" ca="1" si="178"/>
        <v/>
      </c>
      <c r="AV68" s="537" t="str">
        <f t="shared" ca="1" si="178"/>
        <v/>
      </c>
      <c r="AW68" s="537" t="str">
        <f t="shared" ca="1" si="178"/>
        <v/>
      </c>
      <c r="AX68" s="537" t="str">
        <f t="shared" ca="1" si="178"/>
        <v/>
      </c>
      <c r="AY68" s="537" t="str">
        <f t="shared" ca="1" si="178"/>
        <v/>
      </c>
      <c r="AZ68" s="537" t="str">
        <f t="shared" ca="1" si="178"/>
        <v/>
      </c>
      <c r="BA68" s="537" t="str">
        <f t="shared" ca="1" si="178"/>
        <v/>
      </c>
      <c r="BB68" s="537" t="str">
        <f t="shared" ca="1" si="178"/>
        <v/>
      </c>
      <c r="BC68" s="537" t="str">
        <f t="shared" ca="1" si="178"/>
        <v/>
      </c>
      <c r="BD68" s="537" t="str">
        <f t="shared" ca="1" si="178"/>
        <v/>
      </c>
      <c r="BE68" s="537" t="str">
        <f t="shared" ca="1" si="178"/>
        <v/>
      </c>
      <c r="BF68" s="537" t="str">
        <f t="shared" ca="1" si="178"/>
        <v/>
      </c>
      <c r="BG68" s="537" t="str">
        <f t="shared" ca="1" si="178"/>
        <v/>
      </c>
      <c r="BH68" s="537" t="str">
        <f t="shared" ca="1" si="178"/>
        <v/>
      </c>
      <c r="BI68" s="537" t="str">
        <f t="shared" ca="1" si="178"/>
        <v/>
      </c>
      <c r="BJ68" s="537" t="str">
        <f t="shared" ca="1" si="178"/>
        <v/>
      </c>
      <c r="BK68" s="537" t="str">
        <f t="shared" ca="1" si="178"/>
        <v/>
      </c>
      <c r="BL68" s="537" t="str">
        <f t="shared" ca="1" si="178"/>
        <v/>
      </c>
      <c r="BM68" s="537" t="str">
        <f t="shared" ca="1" si="178"/>
        <v/>
      </c>
      <c r="BN68" s="537" t="str">
        <f t="shared" ca="1" si="178"/>
        <v/>
      </c>
      <c r="BO68" s="537" t="str">
        <f t="shared" ca="1" si="178"/>
        <v/>
      </c>
      <c r="BP68" s="537" t="str">
        <f t="shared" ca="1" si="178"/>
        <v/>
      </c>
      <c r="BQ68" s="537" t="str">
        <f t="shared" ref="BQ68:CL68" ca="1" si="179">IFERROR(IF(INDEX($E58:$CL67,9,MATCH(base,$E58:$CL58,0))-BQ63&lt;0,"N/A",INDEX($E58:$CL67,9,MATCH(base,$E58:$CL58,0))-BQ63),"")</f>
        <v/>
      </c>
      <c r="BR68" s="537" t="str">
        <f t="shared" ca="1" si="179"/>
        <v/>
      </c>
      <c r="BS68" s="537" t="str">
        <f t="shared" ca="1" si="179"/>
        <v/>
      </c>
      <c r="BT68" s="537" t="str">
        <f t="shared" ca="1" si="179"/>
        <v/>
      </c>
      <c r="BU68" s="537" t="str">
        <f t="shared" ca="1" si="179"/>
        <v/>
      </c>
      <c r="BV68" s="537" t="str">
        <f t="shared" ca="1" si="179"/>
        <v/>
      </c>
      <c r="BW68" s="537" t="str">
        <f t="shared" ca="1" si="179"/>
        <v/>
      </c>
      <c r="BX68" s="537" t="str">
        <f t="shared" ca="1" si="179"/>
        <v/>
      </c>
      <c r="BY68" s="537" t="str">
        <f t="shared" ca="1" si="179"/>
        <v/>
      </c>
      <c r="BZ68" s="537" t="str">
        <f t="shared" ca="1" si="179"/>
        <v/>
      </c>
      <c r="CA68" s="537" t="str">
        <f t="shared" ca="1" si="179"/>
        <v/>
      </c>
      <c r="CB68" s="537" t="str">
        <f t="shared" ca="1" si="179"/>
        <v/>
      </c>
      <c r="CC68" s="537" t="str">
        <f t="shared" ca="1" si="179"/>
        <v/>
      </c>
      <c r="CD68" s="537" t="str">
        <f t="shared" ca="1" si="179"/>
        <v/>
      </c>
      <c r="CE68" s="537" t="str">
        <f t="shared" ca="1" si="179"/>
        <v/>
      </c>
      <c r="CF68" s="537" t="str">
        <f t="shared" ca="1" si="179"/>
        <v/>
      </c>
      <c r="CG68" s="537" t="str">
        <f t="shared" ca="1" si="179"/>
        <v/>
      </c>
      <c r="CH68" s="537" t="str">
        <f t="shared" ca="1" si="179"/>
        <v/>
      </c>
      <c r="CI68" s="537" t="str">
        <f t="shared" ca="1" si="179"/>
        <v/>
      </c>
      <c r="CJ68" s="537" t="str">
        <f t="shared" ca="1" si="179"/>
        <v/>
      </c>
      <c r="CK68" s="537" t="str">
        <f t="shared" ca="1" si="179"/>
        <v/>
      </c>
      <c r="CL68" s="537" t="str">
        <f t="shared" ca="1" si="179"/>
        <v/>
      </c>
      <c r="CN68" s="618" t="str">
        <f ca="1">IFERROR((Y68/H68)^(1/17)-1,"")</f>
        <v/>
      </c>
      <c r="CO68" s="618" t="str">
        <f ca="1">IFERROR((AN68/Y68)^(1/15)-1,"")</f>
        <v/>
      </c>
      <c r="CP68" s="618" t="str">
        <f ca="1">IFERROR((AN68/H68)^(1/32)-1,"")</f>
        <v/>
      </c>
    </row>
    <row r="69" spans="1:94" outlineLevel="1">
      <c r="A69" s="538" t="s">
        <v>255</v>
      </c>
      <c r="B69" s="538" t="s">
        <v>256</v>
      </c>
      <c r="C69" s="538" t="s">
        <v>347</v>
      </c>
      <c r="D69" s="538" t="s">
        <v>348</v>
      </c>
      <c r="E69" s="540" t="e">
        <f t="shared" ref="E69:N69" si="180">IF(E8&lt;sector_base,NA(),IF($B$6="ON", IF(E8&gt;=covid_start, IF(E8&lt;covid_recovery,NA(),IFERROR(E63+(E62*E68*E67),0)),IFERROR(E63+(E62*E68*E67),0)),IFERROR(E63+(E62*E68*E67),0)))</f>
        <v>#N/A</v>
      </c>
      <c r="F69" s="540" t="e">
        <f t="shared" si="180"/>
        <v>#N/A</v>
      </c>
      <c r="G69" s="540" t="e">
        <f t="shared" si="180"/>
        <v>#N/A</v>
      </c>
      <c r="H69" s="540" t="e">
        <f>IF(H8&lt;sector_base,NA(),IF($B$6="ON", IF(H8&gt;=covid_start, IF(H8&lt;covid_recovery,NA(),IFERROR(H63+(H62*H68*H67),0)),IFERROR(H63+(H62*H68*H67),0)),IFERROR(H63+(H62*H68*H67),0)))</f>
        <v>#N/A</v>
      </c>
      <c r="I69" s="540">
        <f ca="1">IF(I8&lt;sector_base,NA(),IF($B$6="ON", IF(I8&gt;=covid_start, IF(I8&lt;covid_recovery,NA(),IFERROR(I63+(I62*I68*I67),0)),IFERROR(I63+(I62*I68*I67),0)),IFERROR(I63+(I62*I68*I67),0)))</f>
        <v>0</v>
      </c>
      <c r="J69" s="540" t="e">
        <f t="shared" si="180"/>
        <v>#N/A</v>
      </c>
      <c r="K69" s="540" t="e">
        <f t="shared" si="180"/>
        <v>#N/A</v>
      </c>
      <c r="L69" s="540" t="e">
        <f t="shared" si="180"/>
        <v>#N/A</v>
      </c>
      <c r="M69" s="540">
        <f t="shared" ca="1" si="180"/>
        <v>0</v>
      </c>
      <c r="N69" s="540">
        <f t="shared" ca="1" si="180"/>
        <v>0</v>
      </c>
      <c r="O69" s="540">
        <f t="shared" ref="O69:AT69" ca="1" si="181">IF(O8&lt;sector_base,NA(),IF($B$6="ON", IF(O8&gt;=covid_start, IF(O8&lt;covid_recovery,NA(),IFERROR(O63+(O62*O68*O67),0)),IFERROR(O63+(O62*O68*O67),0)),IFERROR(O63+(O62*O68*O67),0)))</f>
        <v>0</v>
      </c>
      <c r="P69" s="540">
        <f t="shared" ca="1" si="181"/>
        <v>0</v>
      </c>
      <c r="Q69" s="540">
        <f t="shared" ca="1" si="181"/>
        <v>0</v>
      </c>
      <c r="R69" s="540">
        <f t="shared" ca="1" si="181"/>
        <v>0</v>
      </c>
      <c r="S69" s="540">
        <f t="shared" ca="1" si="181"/>
        <v>0</v>
      </c>
      <c r="T69" s="540">
        <f t="shared" ca="1" si="181"/>
        <v>0</v>
      </c>
      <c r="U69" s="540">
        <f t="shared" ca="1" si="181"/>
        <v>0</v>
      </c>
      <c r="V69" s="540">
        <f t="shared" ca="1" si="181"/>
        <v>0</v>
      </c>
      <c r="W69" s="540">
        <f t="shared" ca="1" si="181"/>
        <v>0</v>
      </c>
      <c r="X69" s="540">
        <f t="shared" ca="1" si="181"/>
        <v>0</v>
      </c>
      <c r="Y69" s="540">
        <f t="shared" ca="1" si="181"/>
        <v>0</v>
      </c>
      <c r="Z69" s="540">
        <f t="shared" ca="1" si="181"/>
        <v>0</v>
      </c>
      <c r="AA69" s="540">
        <f t="shared" ca="1" si="181"/>
        <v>0</v>
      </c>
      <c r="AB69" s="540">
        <f t="shared" ca="1" si="181"/>
        <v>0</v>
      </c>
      <c r="AC69" s="540">
        <f t="shared" ca="1" si="181"/>
        <v>0</v>
      </c>
      <c r="AD69" s="540">
        <f t="shared" ca="1" si="181"/>
        <v>0</v>
      </c>
      <c r="AE69" s="540">
        <f t="shared" ca="1" si="181"/>
        <v>0</v>
      </c>
      <c r="AF69" s="540">
        <f t="shared" ca="1" si="181"/>
        <v>0</v>
      </c>
      <c r="AG69" s="540">
        <f t="shared" ca="1" si="181"/>
        <v>0</v>
      </c>
      <c r="AH69" s="540">
        <f t="shared" ca="1" si="181"/>
        <v>0</v>
      </c>
      <c r="AI69" s="540">
        <f t="shared" ca="1" si="181"/>
        <v>0</v>
      </c>
      <c r="AJ69" s="540">
        <f t="shared" ca="1" si="181"/>
        <v>0</v>
      </c>
      <c r="AK69" s="540">
        <f t="shared" ca="1" si="181"/>
        <v>0</v>
      </c>
      <c r="AL69" s="540">
        <f t="shared" ca="1" si="181"/>
        <v>0</v>
      </c>
      <c r="AM69" s="540">
        <f t="shared" ca="1" si="181"/>
        <v>0</v>
      </c>
      <c r="AN69" s="540">
        <f t="shared" ca="1" si="181"/>
        <v>0</v>
      </c>
      <c r="AO69" s="540">
        <f t="shared" ca="1" si="181"/>
        <v>0</v>
      </c>
      <c r="AP69" s="540">
        <f t="shared" ca="1" si="181"/>
        <v>0</v>
      </c>
      <c r="AQ69" s="540">
        <f t="shared" ca="1" si="181"/>
        <v>0</v>
      </c>
      <c r="AR69" s="540">
        <f t="shared" ca="1" si="181"/>
        <v>0</v>
      </c>
      <c r="AS69" s="540">
        <f t="shared" ca="1" si="181"/>
        <v>0</v>
      </c>
      <c r="AT69" s="540">
        <f t="shared" ca="1" si="181"/>
        <v>0</v>
      </c>
      <c r="AU69" s="540">
        <f t="shared" ref="AU69:BZ69" ca="1" si="182">IF(AU8&lt;sector_base,NA(),IF($B$6="ON", IF(AU8&gt;=covid_start, IF(AU8&lt;covid_recovery,NA(),IFERROR(AU63+(AU62*AU68*AU67),0)),IFERROR(AU63+(AU62*AU68*AU67),0)),IFERROR(AU63+(AU62*AU68*AU67),0)))</f>
        <v>0</v>
      </c>
      <c r="AV69" s="540">
        <f t="shared" ca="1" si="182"/>
        <v>0</v>
      </c>
      <c r="AW69" s="540">
        <f t="shared" ca="1" si="182"/>
        <v>0</v>
      </c>
      <c r="AX69" s="540">
        <f t="shared" ca="1" si="182"/>
        <v>0</v>
      </c>
      <c r="AY69" s="540">
        <f t="shared" ca="1" si="182"/>
        <v>0</v>
      </c>
      <c r="AZ69" s="540">
        <f t="shared" ca="1" si="182"/>
        <v>0</v>
      </c>
      <c r="BA69" s="540">
        <f t="shared" ca="1" si="182"/>
        <v>0</v>
      </c>
      <c r="BB69" s="540">
        <f t="shared" ca="1" si="182"/>
        <v>0</v>
      </c>
      <c r="BC69" s="540">
        <f t="shared" ca="1" si="182"/>
        <v>0</v>
      </c>
      <c r="BD69" s="540">
        <f t="shared" ca="1" si="182"/>
        <v>0</v>
      </c>
      <c r="BE69" s="540">
        <f t="shared" ca="1" si="182"/>
        <v>0</v>
      </c>
      <c r="BF69" s="540">
        <f t="shared" ca="1" si="182"/>
        <v>0</v>
      </c>
      <c r="BG69" s="540">
        <f t="shared" ca="1" si="182"/>
        <v>0</v>
      </c>
      <c r="BH69" s="540">
        <f t="shared" ca="1" si="182"/>
        <v>0</v>
      </c>
      <c r="BI69" s="540">
        <f t="shared" ca="1" si="182"/>
        <v>0</v>
      </c>
      <c r="BJ69" s="540">
        <f t="shared" ca="1" si="182"/>
        <v>0</v>
      </c>
      <c r="BK69" s="540">
        <f t="shared" ca="1" si="182"/>
        <v>0</v>
      </c>
      <c r="BL69" s="540">
        <f t="shared" ca="1" si="182"/>
        <v>0</v>
      </c>
      <c r="BM69" s="540">
        <f t="shared" ca="1" si="182"/>
        <v>0</v>
      </c>
      <c r="BN69" s="540">
        <f t="shared" ca="1" si="182"/>
        <v>0</v>
      </c>
      <c r="BO69" s="540">
        <f t="shared" ca="1" si="182"/>
        <v>0</v>
      </c>
      <c r="BP69" s="540">
        <f t="shared" ca="1" si="182"/>
        <v>0</v>
      </c>
      <c r="BQ69" s="540">
        <f t="shared" ca="1" si="182"/>
        <v>0</v>
      </c>
      <c r="BR69" s="540">
        <f t="shared" ca="1" si="182"/>
        <v>0</v>
      </c>
      <c r="BS69" s="540">
        <f t="shared" ca="1" si="182"/>
        <v>0</v>
      </c>
      <c r="BT69" s="540">
        <f t="shared" ca="1" si="182"/>
        <v>0</v>
      </c>
      <c r="BU69" s="540">
        <f t="shared" ca="1" si="182"/>
        <v>0</v>
      </c>
      <c r="BV69" s="540">
        <f t="shared" ca="1" si="182"/>
        <v>0</v>
      </c>
      <c r="BW69" s="540">
        <f t="shared" ca="1" si="182"/>
        <v>0</v>
      </c>
      <c r="BX69" s="540">
        <f t="shared" ca="1" si="182"/>
        <v>0</v>
      </c>
      <c r="BY69" s="540">
        <f t="shared" ca="1" si="182"/>
        <v>0</v>
      </c>
      <c r="BZ69" s="540">
        <f t="shared" ca="1" si="182"/>
        <v>0</v>
      </c>
      <c r="CA69" s="540">
        <f t="shared" ref="CA69:CL69" ca="1" si="183">IF(CA8&lt;sector_base,NA(),IF($B$6="ON", IF(CA8&gt;=covid_start, IF(CA8&lt;covid_recovery,NA(),IFERROR(CA63+(CA62*CA68*CA67),0)),IFERROR(CA63+(CA62*CA68*CA67),0)),IFERROR(CA63+(CA62*CA68*CA67),0)))</f>
        <v>0</v>
      </c>
      <c r="CB69" s="540">
        <f t="shared" ca="1" si="183"/>
        <v>0</v>
      </c>
      <c r="CC69" s="540">
        <f t="shared" ca="1" si="183"/>
        <v>0</v>
      </c>
      <c r="CD69" s="540">
        <f t="shared" ca="1" si="183"/>
        <v>0</v>
      </c>
      <c r="CE69" s="540">
        <f t="shared" ca="1" si="183"/>
        <v>0</v>
      </c>
      <c r="CF69" s="540">
        <f t="shared" ca="1" si="183"/>
        <v>0</v>
      </c>
      <c r="CG69" s="540">
        <f t="shared" ca="1" si="183"/>
        <v>0</v>
      </c>
      <c r="CH69" s="540">
        <f t="shared" ca="1" si="183"/>
        <v>0</v>
      </c>
      <c r="CI69" s="540">
        <f t="shared" ca="1" si="183"/>
        <v>0</v>
      </c>
      <c r="CJ69" s="540">
        <f t="shared" ca="1" si="183"/>
        <v>0</v>
      </c>
      <c r="CK69" s="540">
        <f t="shared" ca="1" si="183"/>
        <v>0</v>
      </c>
      <c r="CL69" s="540">
        <f t="shared" ca="1" si="183"/>
        <v>0</v>
      </c>
      <c r="CN69" s="619" t="str">
        <f ca="1">IFERROR((Y69/H69)^(1/17)-1,"")</f>
        <v/>
      </c>
      <c r="CO69" s="619" t="str">
        <f ca="1">IFERROR((AN69/Y69)^(1/15)-1,"")</f>
        <v/>
      </c>
      <c r="CP69" s="619" t="str">
        <f ca="1">IFERROR((AN69/H69)^(1/32)-1,"")</f>
        <v/>
      </c>
    </row>
    <row r="70" spans="1:94" outlineLevel="1">
      <c r="A70" s="535" t="s">
        <v>255</v>
      </c>
      <c r="B70" s="535" t="s">
        <v>129</v>
      </c>
      <c r="C70" s="535" t="s">
        <v>349</v>
      </c>
      <c r="D70" s="535"/>
      <c r="E70" s="546" t="e">
        <f>IF(E58=base,E69, IF(E58=target,E69,#N/A))</f>
        <v>#N/A</v>
      </c>
      <c r="F70" s="541" t="e">
        <f t="shared" ref="F70:G70" si="184">IF(F66=base,F69, IF(F66=target,F69,#N/A))</f>
        <v>#N/A</v>
      </c>
      <c r="G70" s="541" t="e">
        <f t="shared" si="184"/>
        <v>#N/A</v>
      </c>
      <c r="H70" s="541" t="e">
        <f>IF(H58=base,H69, IF(H58=target,H69,#N/A))</f>
        <v>#N/A</v>
      </c>
      <c r="I70" s="541">
        <f t="shared" ref="I70:AN70" ca="1" si="185">IF(I58=base,I69, IF(I58=target,I69,#N/A))</f>
        <v>0</v>
      </c>
      <c r="J70" s="541" t="e">
        <f t="shared" si="185"/>
        <v>#N/A</v>
      </c>
      <c r="K70" s="541" t="e">
        <f t="shared" si="185"/>
        <v>#N/A</v>
      </c>
      <c r="L70" s="541" t="e">
        <f t="shared" si="185"/>
        <v>#N/A</v>
      </c>
      <c r="M70" s="541" t="e">
        <f t="shared" si="185"/>
        <v>#N/A</v>
      </c>
      <c r="N70" s="541" t="e">
        <f t="shared" si="185"/>
        <v>#N/A</v>
      </c>
      <c r="O70" s="541" t="e">
        <f t="shared" si="185"/>
        <v>#N/A</v>
      </c>
      <c r="P70" s="541" t="e">
        <f t="shared" si="185"/>
        <v>#N/A</v>
      </c>
      <c r="Q70" s="541" t="e">
        <f t="shared" si="185"/>
        <v>#N/A</v>
      </c>
      <c r="R70" s="541" t="e">
        <f t="shared" si="185"/>
        <v>#N/A</v>
      </c>
      <c r="S70" s="541" t="e">
        <f t="shared" si="185"/>
        <v>#N/A</v>
      </c>
      <c r="T70" s="541" t="e">
        <f t="shared" si="185"/>
        <v>#N/A</v>
      </c>
      <c r="U70" s="541" t="e">
        <f t="shared" si="185"/>
        <v>#N/A</v>
      </c>
      <c r="V70" s="541" t="e">
        <f t="shared" si="185"/>
        <v>#N/A</v>
      </c>
      <c r="W70" s="541" t="e">
        <f t="shared" si="185"/>
        <v>#N/A</v>
      </c>
      <c r="X70" s="541" t="e">
        <f t="shared" si="185"/>
        <v>#N/A</v>
      </c>
      <c r="Y70" s="541" t="e">
        <f>IF(Y58=base,Y69, IF(Y58=target,Y69,#N/A))</f>
        <v>#N/A</v>
      </c>
      <c r="Z70" s="541" t="e">
        <f t="shared" si="185"/>
        <v>#N/A</v>
      </c>
      <c r="AA70" s="541" t="e">
        <f t="shared" si="185"/>
        <v>#N/A</v>
      </c>
      <c r="AB70" s="541" t="e">
        <f t="shared" si="185"/>
        <v>#N/A</v>
      </c>
      <c r="AC70" s="541" t="e">
        <f t="shared" si="185"/>
        <v>#N/A</v>
      </c>
      <c r="AD70" s="541" t="e">
        <f t="shared" si="185"/>
        <v>#N/A</v>
      </c>
      <c r="AE70" s="541" t="e">
        <f t="shared" si="185"/>
        <v>#N/A</v>
      </c>
      <c r="AF70" s="541" t="e">
        <f t="shared" si="185"/>
        <v>#N/A</v>
      </c>
      <c r="AG70" s="541" t="e">
        <f t="shared" si="185"/>
        <v>#N/A</v>
      </c>
      <c r="AH70" s="541" t="e">
        <f t="shared" si="185"/>
        <v>#N/A</v>
      </c>
      <c r="AI70" s="541" t="e">
        <f t="shared" si="185"/>
        <v>#N/A</v>
      </c>
      <c r="AJ70" s="541" t="e">
        <f t="shared" si="185"/>
        <v>#N/A</v>
      </c>
      <c r="AK70" s="541" t="e">
        <f t="shared" si="185"/>
        <v>#N/A</v>
      </c>
      <c r="AL70" s="541" t="e">
        <f t="shared" si="185"/>
        <v>#N/A</v>
      </c>
      <c r="AM70" s="541" t="e">
        <f t="shared" si="185"/>
        <v>#N/A</v>
      </c>
      <c r="AN70" s="541" t="e">
        <f t="shared" si="185"/>
        <v>#N/A</v>
      </c>
      <c r="AO70" s="541">
        <f t="shared" ref="AO70:CL70" ca="1" si="186">IF(AO66=base,AO69, IF(AO66=target,AO69,#N/A))</f>
        <v>0</v>
      </c>
      <c r="AP70" s="541">
        <f t="shared" ca="1" si="186"/>
        <v>0</v>
      </c>
      <c r="AQ70" s="541">
        <f t="shared" ca="1" si="186"/>
        <v>0</v>
      </c>
      <c r="AR70" s="541">
        <f t="shared" ca="1" si="186"/>
        <v>0</v>
      </c>
      <c r="AS70" s="541">
        <f t="shared" ca="1" si="186"/>
        <v>0</v>
      </c>
      <c r="AT70" s="541">
        <f t="shared" ca="1" si="186"/>
        <v>0</v>
      </c>
      <c r="AU70" s="541">
        <f t="shared" ca="1" si="186"/>
        <v>0</v>
      </c>
      <c r="AV70" s="541">
        <f t="shared" ca="1" si="186"/>
        <v>0</v>
      </c>
      <c r="AW70" s="541">
        <f t="shared" ca="1" si="186"/>
        <v>0</v>
      </c>
      <c r="AX70" s="541">
        <f t="shared" ca="1" si="186"/>
        <v>0</v>
      </c>
      <c r="AY70" s="541">
        <f t="shared" ca="1" si="186"/>
        <v>0</v>
      </c>
      <c r="AZ70" s="541">
        <f t="shared" ca="1" si="186"/>
        <v>0</v>
      </c>
      <c r="BA70" s="541">
        <f t="shared" ca="1" si="186"/>
        <v>0</v>
      </c>
      <c r="BB70" s="541">
        <f t="shared" ca="1" si="186"/>
        <v>0</v>
      </c>
      <c r="BC70" s="541">
        <f t="shared" ca="1" si="186"/>
        <v>0</v>
      </c>
      <c r="BD70" s="541">
        <f t="shared" ca="1" si="186"/>
        <v>0</v>
      </c>
      <c r="BE70" s="541">
        <f t="shared" ca="1" si="186"/>
        <v>0</v>
      </c>
      <c r="BF70" s="541">
        <f t="shared" ca="1" si="186"/>
        <v>0</v>
      </c>
      <c r="BG70" s="541">
        <f t="shared" ca="1" si="186"/>
        <v>0</v>
      </c>
      <c r="BH70" s="541">
        <f t="shared" ca="1" si="186"/>
        <v>0</v>
      </c>
      <c r="BI70" s="541">
        <f t="shared" ca="1" si="186"/>
        <v>0</v>
      </c>
      <c r="BJ70" s="541">
        <f t="shared" ca="1" si="186"/>
        <v>0</v>
      </c>
      <c r="BK70" s="541">
        <f t="shared" ca="1" si="186"/>
        <v>0</v>
      </c>
      <c r="BL70" s="541">
        <f t="shared" ca="1" si="186"/>
        <v>0</v>
      </c>
      <c r="BM70" s="541">
        <f t="shared" ca="1" si="186"/>
        <v>0</v>
      </c>
      <c r="BN70" s="541">
        <f t="shared" ca="1" si="186"/>
        <v>0</v>
      </c>
      <c r="BO70" s="541">
        <f t="shared" ca="1" si="186"/>
        <v>0</v>
      </c>
      <c r="BP70" s="541">
        <f t="shared" ca="1" si="186"/>
        <v>0</v>
      </c>
      <c r="BQ70" s="541">
        <f t="shared" ca="1" si="186"/>
        <v>0</v>
      </c>
      <c r="BR70" s="541">
        <f t="shared" ca="1" si="186"/>
        <v>0</v>
      </c>
      <c r="BS70" s="541">
        <f t="shared" ca="1" si="186"/>
        <v>0</v>
      </c>
      <c r="BT70" s="541">
        <f t="shared" ca="1" si="186"/>
        <v>0</v>
      </c>
      <c r="BU70" s="541">
        <f t="shared" ca="1" si="186"/>
        <v>0</v>
      </c>
      <c r="BV70" s="541">
        <f t="shared" ca="1" si="186"/>
        <v>0</v>
      </c>
      <c r="BW70" s="541">
        <f t="shared" ca="1" si="186"/>
        <v>0</v>
      </c>
      <c r="BX70" s="541">
        <f t="shared" ca="1" si="186"/>
        <v>0</v>
      </c>
      <c r="BY70" s="541">
        <f t="shared" ca="1" si="186"/>
        <v>0</v>
      </c>
      <c r="BZ70" s="541">
        <f t="shared" ca="1" si="186"/>
        <v>0</v>
      </c>
      <c r="CA70" s="541">
        <f t="shared" ca="1" si="186"/>
        <v>0</v>
      </c>
      <c r="CB70" s="541">
        <f t="shared" ca="1" si="186"/>
        <v>0</v>
      </c>
      <c r="CC70" s="541">
        <f t="shared" ca="1" si="186"/>
        <v>0</v>
      </c>
      <c r="CD70" s="541">
        <f t="shared" ca="1" si="186"/>
        <v>0</v>
      </c>
      <c r="CE70" s="541">
        <f t="shared" ca="1" si="186"/>
        <v>0</v>
      </c>
      <c r="CF70" s="541">
        <f t="shared" ca="1" si="186"/>
        <v>0</v>
      </c>
      <c r="CG70" s="541">
        <f t="shared" ca="1" si="186"/>
        <v>0</v>
      </c>
      <c r="CH70" s="541">
        <f t="shared" ca="1" si="186"/>
        <v>0</v>
      </c>
      <c r="CI70" s="541">
        <f t="shared" ca="1" si="186"/>
        <v>0</v>
      </c>
      <c r="CJ70" s="541">
        <f t="shared" ca="1" si="186"/>
        <v>0</v>
      </c>
      <c r="CK70" s="541">
        <f t="shared" ca="1" si="186"/>
        <v>0</v>
      </c>
      <c r="CL70" s="541">
        <f t="shared" ca="1" si="186"/>
        <v>0</v>
      </c>
      <c r="CN70" s="620" t="str">
        <f>IFERROR((Y70/H70)^(1/17)-1,"")</f>
        <v/>
      </c>
      <c r="CO70" s="620" t="str">
        <f>IFERROR((AN70/Y70)^(1/15)-1,"")</f>
        <v/>
      </c>
      <c r="CP70" s="620" t="str">
        <f>IFERROR((AN70/H70)^(1/32)-1,"")</f>
        <v/>
      </c>
    </row>
    <row r="71" spans="1:94" outlineLevel="1">
      <c r="A71" s="538" t="s">
        <v>255</v>
      </c>
      <c r="B71" s="538" t="s">
        <v>257</v>
      </c>
      <c r="C71" s="538" t="s">
        <v>350</v>
      </c>
      <c r="D71" s="538" t="s">
        <v>351</v>
      </c>
      <c r="E71" s="539">
        <f>IFERROR((E69*E65)/1000,0)</f>
        <v>0</v>
      </c>
      <c r="F71" s="540">
        <f t="shared" ref="F71:G71" si="187">IFERROR((F69*F65)/1000,0)</f>
        <v>0</v>
      </c>
      <c r="G71" s="540">
        <f t="shared" si="187"/>
        <v>0</v>
      </c>
      <c r="H71" s="540">
        <f>IFERROR((H69*H65)/1000,0)</f>
        <v>0</v>
      </c>
      <c r="I71" s="540">
        <f ca="1">IFERROR((I69*I65)/1000,0)</f>
        <v>0</v>
      </c>
      <c r="J71" s="540">
        <f t="shared" ref="J71:BU71" si="188">IFERROR((J69*J65)/1000,0)</f>
        <v>0</v>
      </c>
      <c r="K71" s="540">
        <f t="shared" si="188"/>
        <v>0</v>
      </c>
      <c r="L71" s="540">
        <f t="shared" si="188"/>
        <v>0</v>
      </c>
      <c r="M71" s="540">
        <f t="shared" ca="1" si="188"/>
        <v>0</v>
      </c>
      <c r="N71" s="540">
        <f t="shared" ca="1" si="188"/>
        <v>0</v>
      </c>
      <c r="O71" s="540">
        <f t="shared" ca="1" si="188"/>
        <v>0</v>
      </c>
      <c r="P71" s="540">
        <f t="shared" ca="1" si="188"/>
        <v>0</v>
      </c>
      <c r="Q71" s="540">
        <f t="shared" ca="1" si="188"/>
        <v>0</v>
      </c>
      <c r="R71" s="540">
        <f t="shared" ca="1" si="188"/>
        <v>0</v>
      </c>
      <c r="S71" s="549">
        <f t="shared" ca="1" si="188"/>
        <v>0</v>
      </c>
      <c r="T71" s="549">
        <f t="shared" ca="1" si="188"/>
        <v>0</v>
      </c>
      <c r="U71" s="549">
        <f t="shared" ca="1" si="188"/>
        <v>0</v>
      </c>
      <c r="V71" s="540">
        <f t="shared" ca="1" si="188"/>
        <v>0</v>
      </c>
      <c r="W71" s="540">
        <f t="shared" ca="1" si="188"/>
        <v>0</v>
      </c>
      <c r="X71" s="540">
        <f t="shared" ca="1" si="188"/>
        <v>0</v>
      </c>
      <c r="Y71" s="540">
        <f t="shared" ca="1" si="188"/>
        <v>0</v>
      </c>
      <c r="Z71" s="540">
        <f t="shared" ca="1" si="188"/>
        <v>0</v>
      </c>
      <c r="AA71" s="540">
        <f t="shared" ca="1" si="188"/>
        <v>0</v>
      </c>
      <c r="AB71" s="540">
        <f t="shared" ca="1" si="188"/>
        <v>0</v>
      </c>
      <c r="AC71" s="540">
        <f t="shared" ca="1" si="188"/>
        <v>0</v>
      </c>
      <c r="AD71" s="540">
        <f t="shared" ca="1" si="188"/>
        <v>0</v>
      </c>
      <c r="AE71" s="540">
        <f t="shared" ca="1" si="188"/>
        <v>0</v>
      </c>
      <c r="AF71" s="540">
        <f t="shared" ca="1" si="188"/>
        <v>0</v>
      </c>
      <c r="AG71" s="540">
        <f t="shared" ca="1" si="188"/>
        <v>0</v>
      </c>
      <c r="AH71" s="540">
        <f t="shared" ca="1" si="188"/>
        <v>0</v>
      </c>
      <c r="AI71" s="540">
        <f t="shared" ca="1" si="188"/>
        <v>0</v>
      </c>
      <c r="AJ71" s="540">
        <f t="shared" ca="1" si="188"/>
        <v>0</v>
      </c>
      <c r="AK71" s="540">
        <f t="shared" ca="1" si="188"/>
        <v>0</v>
      </c>
      <c r="AL71" s="540">
        <f t="shared" ca="1" si="188"/>
        <v>0</v>
      </c>
      <c r="AM71" s="540">
        <f t="shared" ca="1" si="188"/>
        <v>0</v>
      </c>
      <c r="AN71" s="540">
        <f t="shared" ca="1" si="188"/>
        <v>0</v>
      </c>
      <c r="AO71" s="540">
        <f t="shared" ca="1" si="188"/>
        <v>0</v>
      </c>
      <c r="AP71" s="540">
        <f t="shared" ca="1" si="188"/>
        <v>0</v>
      </c>
      <c r="AQ71" s="540">
        <f t="shared" ca="1" si="188"/>
        <v>0</v>
      </c>
      <c r="AR71" s="540">
        <f t="shared" ca="1" si="188"/>
        <v>0</v>
      </c>
      <c r="AS71" s="540">
        <f t="shared" ca="1" si="188"/>
        <v>0</v>
      </c>
      <c r="AT71" s="540">
        <f t="shared" ca="1" si="188"/>
        <v>0</v>
      </c>
      <c r="AU71" s="540">
        <f t="shared" ca="1" si="188"/>
        <v>0</v>
      </c>
      <c r="AV71" s="540">
        <f t="shared" ca="1" si="188"/>
        <v>0</v>
      </c>
      <c r="AW71" s="540">
        <f t="shared" ca="1" si="188"/>
        <v>0</v>
      </c>
      <c r="AX71" s="540">
        <f t="shared" ca="1" si="188"/>
        <v>0</v>
      </c>
      <c r="AY71" s="540">
        <f t="shared" ca="1" si="188"/>
        <v>0</v>
      </c>
      <c r="AZ71" s="540">
        <f t="shared" ca="1" si="188"/>
        <v>0</v>
      </c>
      <c r="BA71" s="540">
        <f t="shared" ca="1" si="188"/>
        <v>0</v>
      </c>
      <c r="BB71" s="540">
        <f t="shared" ca="1" si="188"/>
        <v>0</v>
      </c>
      <c r="BC71" s="540">
        <f t="shared" ca="1" si="188"/>
        <v>0</v>
      </c>
      <c r="BD71" s="540">
        <f t="shared" ca="1" si="188"/>
        <v>0</v>
      </c>
      <c r="BE71" s="540">
        <f t="shared" ca="1" si="188"/>
        <v>0</v>
      </c>
      <c r="BF71" s="540">
        <f t="shared" ca="1" si="188"/>
        <v>0</v>
      </c>
      <c r="BG71" s="540">
        <f t="shared" ca="1" si="188"/>
        <v>0</v>
      </c>
      <c r="BH71" s="540">
        <f t="shared" ca="1" si="188"/>
        <v>0</v>
      </c>
      <c r="BI71" s="540">
        <f t="shared" ca="1" si="188"/>
        <v>0</v>
      </c>
      <c r="BJ71" s="540">
        <f t="shared" ca="1" si="188"/>
        <v>0</v>
      </c>
      <c r="BK71" s="540">
        <f t="shared" ca="1" si="188"/>
        <v>0</v>
      </c>
      <c r="BL71" s="540">
        <f t="shared" ca="1" si="188"/>
        <v>0</v>
      </c>
      <c r="BM71" s="540">
        <f t="shared" ca="1" si="188"/>
        <v>0</v>
      </c>
      <c r="BN71" s="540">
        <f t="shared" ca="1" si="188"/>
        <v>0</v>
      </c>
      <c r="BO71" s="540">
        <f t="shared" ca="1" si="188"/>
        <v>0</v>
      </c>
      <c r="BP71" s="540">
        <f t="shared" ca="1" si="188"/>
        <v>0</v>
      </c>
      <c r="BQ71" s="540">
        <f t="shared" ca="1" si="188"/>
        <v>0</v>
      </c>
      <c r="BR71" s="540">
        <f t="shared" ca="1" si="188"/>
        <v>0</v>
      </c>
      <c r="BS71" s="540">
        <f t="shared" ca="1" si="188"/>
        <v>0</v>
      </c>
      <c r="BT71" s="540">
        <f t="shared" ca="1" si="188"/>
        <v>0</v>
      </c>
      <c r="BU71" s="540">
        <f t="shared" ca="1" si="188"/>
        <v>0</v>
      </c>
      <c r="BV71" s="540">
        <f t="shared" ref="BV71:CL71" ca="1" si="189">IFERROR((BV69*BV65)/1000,0)</f>
        <v>0</v>
      </c>
      <c r="BW71" s="540">
        <f t="shared" ca="1" si="189"/>
        <v>0</v>
      </c>
      <c r="BX71" s="540">
        <f t="shared" ca="1" si="189"/>
        <v>0</v>
      </c>
      <c r="BY71" s="540">
        <f t="shared" ca="1" si="189"/>
        <v>0</v>
      </c>
      <c r="BZ71" s="540">
        <f t="shared" ca="1" si="189"/>
        <v>0</v>
      </c>
      <c r="CA71" s="540">
        <f t="shared" ca="1" si="189"/>
        <v>0</v>
      </c>
      <c r="CB71" s="540">
        <f t="shared" ca="1" si="189"/>
        <v>0</v>
      </c>
      <c r="CC71" s="540">
        <f t="shared" ca="1" si="189"/>
        <v>0</v>
      </c>
      <c r="CD71" s="540">
        <f t="shared" ca="1" si="189"/>
        <v>0</v>
      </c>
      <c r="CE71" s="540">
        <f t="shared" ca="1" si="189"/>
        <v>0</v>
      </c>
      <c r="CF71" s="540">
        <f t="shared" ca="1" si="189"/>
        <v>0</v>
      </c>
      <c r="CG71" s="540">
        <f t="shared" ca="1" si="189"/>
        <v>0</v>
      </c>
      <c r="CH71" s="540">
        <f t="shared" ca="1" si="189"/>
        <v>0</v>
      </c>
      <c r="CI71" s="540">
        <f t="shared" ca="1" si="189"/>
        <v>0</v>
      </c>
      <c r="CJ71" s="540">
        <f t="shared" ca="1" si="189"/>
        <v>0</v>
      </c>
      <c r="CK71" s="540">
        <f t="shared" ca="1" si="189"/>
        <v>0</v>
      </c>
      <c r="CL71" s="540">
        <f t="shared" ca="1" si="189"/>
        <v>0</v>
      </c>
      <c r="CN71" s="619" t="str">
        <f ca="1">IFERROR((Y71/H71)^(1/17)-1,"")</f>
        <v/>
      </c>
      <c r="CO71" s="619" t="str">
        <f ca="1">IFERROR((AN71/Y71)^(1/15)-1,"")</f>
        <v/>
      </c>
      <c r="CP71" s="619" t="str">
        <f ca="1">IFERROR((AN71/H71)^(1/32)-1,"")</f>
        <v/>
      </c>
    </row>
    <row r="72" spans="1:94" outlineLevel="1">
      <c r="A72" s="547" t="s">
        <v>382</v>
      </c>
      <c r="B72" s="547" t="s">
        <v>384</v>
      </c>
      <c r="C72" s="547"/>
      <c r="D72" s="547"/>
      <c r="E72" s="548" t="e">
        <f t="shared" ref="E72:AN72" si="190">IF($B$6="ON",IF(E58=covid_start-1,E61,IF(E58=covid_recovery,E61,IF(E58&gt;=covid_start,IF(E58&lt;covid_recovery,D72-(INDEX($E58:$CH71,4,MATCH(covid_start-1,$E58:$CL58,0))-INDEX($E58:$CL71,4,MATCH(covid_recovery,$E58:$CL58,0)))/(covid_recovery-covid_start+1),NA()),NA()))),NA())</f>
        <v>#N/A</v>
      </c>
      <c r="F72" s="548" t="e">
        <f t="shared" si="190"/>
        <v>#N/A</v>
      </c>
      <c r="G72" s="548" t="e">
        <f t="shared" si="190"/>
        <v>#N/A</v>
      </c>
      <c r="H72" s="548" t="e">
        <f t="shared" si="190"/>
        <v>#N/A</v>
      </c>
      <c r="I72" s="548">
        <f t="shared" ca="1" si="190"/>
        <v>1303.1682659292971</v>
      </c>
      <c r="J72" s="548">
        <f t="shared" ca="1" si="190"/>
        <v>1261.0945441670488</v>
      </c>
      <c r="K72" s="548">
        <f t="shared" ca="1" si="190"/>
        <v>1219.0208224048004</v>
      </c>
      <c r="L72" s="548">
        <f t="shared" ca="1" si="190"/>
        <v>1176.947100642552</v>
      </c>
      <c r="M72" s="548">
        <f t="shared" ca="1" si="190"/>
        <v>1134.8733788803036</v>
      </c>
      <c r="N72" s="548" t="e">
        <f t="shared" si="190"/>
        <v>#N/A</v>
      </c>
      <c r="O72" s="548" t="e">
        <f t="shared" si="190"/>
        <v>#N/A</v>
      </c>
      <c r="P72" s="548" t="e">
        <f t="shared" si="190"/>
        <v>#N/A</v>
      </c>
      <c r="Q72" s="548" t="e">
        <f t="shared" si="190"/>
        <v>#N/A</v>
      </c>
      <c r="R72" s="548" t="e">
        <f t="shared" si="190"/>
        <v>#N/A</v>
      </c>
      <c r="S72" s="548" t="e">
        <f t="shared" si="190"/>
        <v>#N/A</v>
      </c>
      <c r="T72" s="548" t="e">
        <f t="shared" si="190"/>
        <v>#N/A</v>
      </c>
      <c r="U72" s="548" t="e">
        <f t="shared" si="190"/>
        <v>#N/A</v>
      </c>
      <c r="V72" s="548" t="e">
        <f t="shared" si="190"/>
        <v>#N/A</v>
      </c>
      <c r="W72" s="548" t="e">
        <f t="shared" si="190"/>
        <v>#N/A</v>
      </c>
      <c r="X72" s="548" t="e">
        <f t="shared" si="190"/>
        <v>#N/A</v>
      </c>
      <c r="Y72" s="548" t="e">
        <f t="shared" si="190"/>
        <v>#N/A</v>
      </c>
      <c r="Z72" s="548" t="e">
        <f t="shared" si="190"/>
        <v>#N/A</v>
      </c>
      <c r="AA72" s="548" t="e">
        <f t="shared" si="190"/>
        <v>#N/A</v>
      </c>
      <c r="AB72" s="548" t="e">
        <f t="shared" si="190"/>
        <v>#N/A</v>
      </c>
      <c r="AC72" s="548" t="e">
        <f t="shared" si="190"/>
        <v>#N/A</v>
      </c>
      <c r="AD72" s="548" t="e">
        <f t="shared" si="190"/>
        <v>#N/A</v>
      </c>
      <c r="AE72" s="548" t="e">
        <f t="shared" si="190"/>
        <v>#N/A</v>
      </c>
      <c r="AF72" s="548" t="e">
        <f t="shared" si="190"/>
        <v>#N/A</v>
      </c>
      <c r="AG72" s="548" t="e">
        <f t="shared" si="190"/>
        <v>#N/A</v>
      </c>
      <c r="AH72" s="548" t="e">
        <f t="shared" si="190"/>
        <v>#N/A</v>
      </c>
      <c r="AI72" s="548" t="e">
        <f t="shared" si="190"/>
        <v>#N/A</v>
      </c>
      <c r="AJ72" s="548" t="e">
        <f t="shared" si="190"/>
        <v>#N/A</v>
      </c>
      <c r="AK72" s="548" t="e">
        <f t="shared" si="190"/>
        <v>#N/A</v>
      </c>
      <c r="AL72" s="548" t="e">
        <f t="shared" si="190"/>
        <v>#N/A</v>
      </c>
      <c r="AM72" s="548" t="e">
        <f t="shared" si="190"/>
        <v>#N/A</v>
      </c>
      <c r="AN72" s="548" t="e">
        <f t="shared" si="190"/>
        <v>#N/A</v>
      </c>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1"/>
      <c r="BU72" s="541"/>
      <c r="BV72" s="541"/>
      <c r="BW72" s="541"/>
      <c r="BX72" s="541"/>
      <c r="BY72" s="541"/>
      <c r="BZ72" s="541"/>
      <c r="CA72" s="541"/>
      <c r="CB72" s="541"/>
      <c r="CC72" s="541"/>
      <c r="CD72" s="541"/>
      <c r="CE72" s="541"/>
      <c r="CF72" s="541"/>
      <c r="CG72" s="541"/>
      <c r="CH72" s="541"/>
      <c r="CI72" s="541"/>
      <c r="CJ72" s="541"/>
      <c r="CK72" s="541"/>
      <c r="CL72" s="541"/>
      <c r="CN72" s="621" t="str">
        <f t="shared" si="167"/>
        <v/>
      </c>
      <c r="CO72" s="621" t="str">
        <f t="shared" si="168"/>
        <v/>
      </c>
      <c r="CP72" s="621" t="str">
        <f t="shared" si="169"/>
        <v/>
      </c>
    </row>
    <row r="73" spans="1:94" outlineLevel="1">
      <c r="A73" s="535" t="s">
        <v>383</v>
      </c>
      <c r="B73" s="535" t="s">
        <v>384</v>
      </c>
      <c r="C73" s="535"/>
      <c r="D73" s="535"/>
      <c r="E73" s="541" t="e">
        <f t="shared" ref="E73:AN73" si="191">IF($B$6="ON",IF(E58=covid_start-1,E69,IF(E58=covid_recovery,E69,IF(E58&gt;=covid_start,IF(E58&lt;covid_recovery,D73-(INDEX($E58:$CH71,12,MATCH(covid_start-1,$E58:$CL58,0))-INDEX($E58:$CL71,12,MATCH(covid_recovery,$E58:$CL58,0)))/(covid_recovery-covid_start+1),NA()),NA()))),NA())</f>
        <v>#N/A</v>
      </c>
      <c r="F73" s="541" t="e">
        <f t="shared" si="191"/>
        <v>#N/A</v>
      </c>
      <c r="G73" s="541" t="e">
        <f t="shared" si="191"/>
        <v>#N/A</v>
      </c>
      <c r="H73" s="541" t="e">
        <f t="shared" si="191"/>
        <v>#N/A</v>
      </c>
      <c r="I73" s="541">
        <f t="shared" ca="1" si="191"/>
        <v>0</v>
      </c>
      <c r="J73" s="541">
        <f t="shared" ca="1" si="191"/>
        <v>0</v>
      </c>
      <c r="K73" s="541">
        <f t="shared" ca="1" si="191"/>
        <v>0</v>
      </c>
      <c r="L73" s="541">
        <f t="shared" ca="1" si="191"/>
        <v>0</v>
      </c>
      <c r="M73" s="541">
        <f t="shared" ca="1" si="191"/>
        <v>0</v>
      </c>
      <c r="N73" s="541" t="e">
        <f t="shared" si="191"/>
        <v>#N/A</v>
      </c>
      <c r="O73" s="541" t="e">
        <f t="shared" si="191"/>
        <v>#N/A</v>
      </c>
      <c r="P73" s="541" t="e">
        <f t="shared" si="191"/>
        <v>#N/A</v>
      </c>
      <c r="Q73" s="541" t="e">
        <f t="shared" si="191"/>
        <v>#N/A</v>
      </c>
      <c r="R73" s="541" t="e">
        <f t="shared" si="191"/>
        <v>#N/A</v>
      </c>
      <c r="S73" s="541" t="e">
        <f t="shared" si="191"/>
        <v>#N/A</v>
      </c>
      <c r="T73" s="541" t="e">
        <f t="shared" si="191"/>
        <v>#N/A</v>
      </c>
      <c r="U73" s="541" t="e">
        <f t="shared" si="191"/>
        <v>#N/A</v>
      </c>
      <c r="V73" s="541" t="e">
        <f t="shared" si="191"/>
        <v>#N/A</v>
      </c>
      <c r="W73" s="541" t="e">
        <f t="shared" si="191"/>
        <v>#N/A</v>
      </c>
      <c r="X73" s="541" t="e">
        <f t="shared" si="191"/>
        <v>#N/A</v>
      </c>
      <c r="Y73" s="541" t="e">
        <f t="shared" si="191"/>
        <v>#N/A</v>
      </c>
      <c r="Z73" s="541" t="e">
        <f t="shared" si="191"/>
        <v>#N/A</v>
      </c>
      <c r="AA73" s="541" t="e">
        <f t="shared" si="191"/>
        <v>#N/A</v>
      </c>
      <c r="AB73" s="541" t="e">
        <f t="shared" si="191"/>
        <v>#N/A</v>
      </c>
      <c r="AC73" s="541" t="e">
        <f t="shared" si="191"/>
        <v>#N/A</v>
      </c>
      <c r="AD73" s="541" t="e">
        <f t="shared" si="191"/>
        <v>#N/A</v>
      </c>
      <c r="AE73" s="541" t="e">
        <f t="shared" si="191"/>
        <v>#N/A</v>
      </c>
      <c r="AF73" s="541" t="e">
        <f t="shared" si="191"/>
        <v>#N/A</v>
      </c>
      <c r="AG73" s="541" t="e">
        <f t="shared" si="191"/>
        <v>#N/A</v>
      </c>
      <c r="AH73" s="541" t="e">
        <f t="shared" si="191"/>
        <v>#N/A</v>
      </c>
      <c r="AI73" s="541" t="e">
        <f t="shared" si="191"/>
        <v>#N/A</v>
      </c>
      <c r="AJ73" s="541" t="e">
        <f t="shared" si="191"/>
        <v>#N/A</v>
      </c>
      <c r="AK73" s="541" t="e">
        <f t="shared" si="191"/>
        <v>#N/A</v>
      </c>
      <c r="AL73" s="541" t="e">
        <f t="shared" si="191"/>
        <v>#N/A</v>
      </c>
      <c r="AM73" s="541" t="e">
        <f t="shared" si="191"/>
        <v>#N/A</v>
      </c>
      <c r="AN73" s="541" t="e">
        <f t="shared" si="191"/>
        <v>#N/A</v>
      </c>
      <c r="AO73" s="541"/>
      <c r="AP73" s="541"/>
      <c r="AQ73" s="541"/>
      <c r="AR73" s="541"/>
      <c r="AS73" s="541"/>
      <c r="AT73" s="541"/>
      <c r="AU73" s="541"/>
      <c r="AV73" s="541"/>
      <c r="AW73" s="541"/>
      <c r="AX73" s="541"/>
      <c r="AY73" s="541"/>
      <c r="AZ73" s="541"/>
      <c r="BA73" s="541"/>
      <c r="BB73" s="541"/>
      <c r="BC73" s="541"/>
      <c r="BD73" s="541"/>
      <c r="BE73" s="541"/>
      <c r="BF73" s="541"/>
      <c r="BG73" s="541"/>
      <c r="BH73" s="541"/>
      <c r="BI73" s="541"/>
      <c r="BJ73" s="541"/>
      <c r="BK73" s="541"/>
      <c r="BL73" s="541"/>
      <c r="BM73" s="541"/>
      <c r="BN73" s="541"/>
      <c r="BO73" s="541"/>
      <c r="BP73" s="541"/>
      <c r="BQ73" s="541"/>
      <c r="BR73" s="541"/>
      <c r="BS73" s="541"/>
      <c r="BT73" s="541"/>
      <c r="BU73" s="541"/>
      <c r="BV73" s="541"/>
      <c r="BW73" s="541"/>
      <c r="BX73" s="541"/>
      <c r="BY73" s="541"/>
      <c r="BZ73" s="541"/>
      <c r="CA73" s="541"/>
      <c r="CB73" s="541"/>
      <c r="CC73" s="541"/>
      <c r="CD73" s="541"/>
      <c r="CE73" s="541"/>
      <c r="CF73" s="541"/>
      <c r="CG73" s="541"/>
      <c r="CH73" s="541"/>
      <c r="CI73" s="541"/>
      <c r="CJ73" s="541"/>
      <c r="CK73" s="541"/>
      <c r="CL73" s="541"/>
      <c r="CN73" s="620" t="str">
        <f t="shared" si="167"/>
        <v/>
      </c>
      <c r="CO73" s="620" t="str">
        <f t="shared" si="168"/>
        <v/>
      </c>
      <c r="CP73" s="620" t="str">
        <f t="shared" si="169"/>
        <v/>
      </c>
    </row>
    <row r="74" spans="1:94" ht="16.5" thickBot="1">
      <c r="A74" s="525" t="s">
        <v>156</v>
      </c>
      <c r="B74" s="525"/>
      <c r="C74" s="525"/>
      <c r="D74" s="525"/>
      <c r="E74" s="527">
        <v>2015</v>
      </c>
      <c r="F74" s="528">
        <f>E74+1</f>
        <v>2016</v>
      </c>
      <c r="G74" s="528">
        <f t="shared" ref="G74:I74" si="192">F74+1</f>
        <v>2017</v>
      </c>
      <c r="H74" s="528">
        <f t="shared" si="192"/>
        <v>2018</v>
      </c>
      <c r="I74" s="528">
        <f t="shared" si="192"/>
        <v>2019</v>
      </c>
      <c r="J74" s="528">
        <f>E74+5</f>
        <v>2020</v>
      </c>
      <c r="K74" s="528">
        <f>J74+1</f>
        <v>2021</v>
      </c>
      <c r="L74" s="528">
        <f t="shared" ref="L74:N74" si="193">K74+1</f>
        <v>2022</v>
      </c>
      <c r="M74" s="528">
        <f t="shared" si="193"/>
        <v>2023</v>
      </c>
      <c r="N74" s="528">
        <f t="shared" si="193"/>
        <v>2024</v>
      </c>
      <c r="O74" s="528">
        <f>J74+5</f>
        <v>2025</v>
      </c>
      <c r="P74" s="528">
        <f>O74+1</f>
        <v>2026</v>
      </c>
      <c r="Q74" s="528">
        <f t="shared" ref="Q74:S74" si="194">P74+1</f>
        <v>2027</v>
      </c>
      <c r="R74" s="528">
        <f t="shared" si="194"/>
        <v>2028</v>
      </c>
      <c r="S74" s="528">
        <f t="shared" si="194"/>
        <v>2029</v>
      </c>
      <c r="T74" s="528">
        <f>O74+5</f>
        <v>2030</v>
      </c>
      <c r="U74" s="528">
        <f>T74+1</f>
        <v>2031</v>
      </c>
      <c r="V74" s="528">
        <f t="shared" ref="V74:X74" si="195">U74+1</f>
        <v>2032</v>
      </c>
      <c r="W74" s="528">
        <f t="shared" si="195"/>
        <v>2033</v>
      </c>
      <c r="X74" s="528">
        <f t="shared" si="195"/>
        <v>2034</v>
      </c>
      <c r="Y74" s="528">
        <f>T74+5</f>
        <v>2035</v>
      </c>
      <c r="Z74" s="528">
        <f>Y74+1</f>
        <v>2036</v>
      </c>
      <c r="AA74" s="528">
        <f t="shared" ref="AA74:AC74" si="196">Z74+1</f>
        <v>2037</v>
      </c>
      <c r="AB74" s="528">
        <f t="shared" si="196"/>
        <v>2038</v>
      </c>
      <c r="AC74" s="528">
        <f t="shared" si="196"/>
        <v>2039</v>
      </c>
      <c r="AD74" s="528">
        <f>Y74+5</f>
        <v>2040</v>
      </c>
      <c r="AE74" s="528">
        <f>AD74+1</f>
        <v>2041</v>
      </c>
      <c r="AF74" s="528">
        <f t="shared" ref="AF74:AH74" si="197">AE74+1</f>
        <v>2042</v>
      </c>
      <c r="AG74" s="528">
        <f t="shared" si="197"/>
        <v>2043</v>
      </c>
      <c r="AH74" s="528">
        <f t="shared" si="197"/>
        <v>2044</v>
      </c>
      <c r="AI74" s="528">
        <f>AD74+5</f>
        <v>2045</v>
      </c>
      <c r="AJ74" s="528">
        <f>AI74+1</f>
        <v>2046</v>
      </c>
      <c r="AK74" s="528">
        <f t="shared" ref="AK74:AM74" si="198">AJ74+1</f>
        <v>2047</v>
      </c>
      <c r="AL74" s="528">
        <f t="shared" si="198"/>
        <v>2048</v>
      </c>
      <c r="AM74" s="528">
        <f t="shared" si="198"/>
        <v>2049</v>
      </c>
      <c r="AN74" s="528">
        <f>AI74+5</f>
        <v>2050</v>
      </c>
      <c r="AO74" s="528">
        <f>AN74+1</f>
        <v>2051</v>
      </c>
      <c r="AP74" s="528">
        <f t="shared" ref="AP74:AR74" si="199">AO74+1</f>
        <v>2052</v>
      </c>
      <c r="AQ74" s="528">
        <f t="shared" si="199"/>
        <v>2053</v>
      </c>
      <c r="AR74" s="528">
        <f t="shared" si="199"/>
        <v>2054</v>
      </c>
      <c r="AS74" s="528">
        <f>AN74+5</f>
        <v>2055</v>
      </c>
      <c r="AT74" s="528">
        <f>AS74+1</f>
        <v>2056</v>
      </c>
      <c r="AU74" s="528">
        <f t="shared" ref="AU74:AW74" si="200">AT74+1</f>
        <v>2057</v>
      </c>
      <c r="AV74" s="528">
        <f t="shared" si="200"/>
        <v>2058</v>
      </c>
      <c r="AW74" s="528">
        <f t="shared" si="200"/>
        <v>2059</v>
      </c>
      <c r="AX74" s="528">
        <f>AS74+5</f>
        <v>2060</v>
      </c>
      <c r="AY74" s="528">
        <f>AX74+1</f>
        <v>2061</v>
      </c>
      <c r="AZ74" s="528">
        <f t="shared" ref="AZ74:BB74" si="201">AY74+1</f>
        <v>2062</v>
      </c>
      <c r="BA74" s="528">
        <f t="shared" si="201"/>
        <v>2063</v>
      </c>
      <c r="BB74" s="528">
        <f t="shared" si="201"/>
        <v>2064</v>
      </c>
      <c r="BC74" s="528">
        <f>AX74+5</f>
        <v>2065</v>
      </c>
      <c r="BD74" s="528">
        <f>BC74+1</f>
        <v>2066</v>
      </c>
      <c r="BE74" s="528">
        <f t="shared" ref="BE74:BG74" si="202">BD74+1</f>
        <v>2067</v>
      </c>
      <c r="BF74" s="528">
        <f t="shared" si="202"/>
        <v>2068</v>
      </c>
      <c r="BG74" s="528">
        <f t="shared" si="202"/>
        <v>2069</v>
      </c>
      <c r="BH74" s="528">
        <f>BC74+5</f>
        <v>2070</v>
      </c>
      <c r="BI74" s="528">
        <f>BH74+1</f>
        <v>2071</v>
      </c>
      <c r="BJ74" s="528">
        <f t="shared" ref="BJ74:BL74" si="203">BI74+1</f>
        <v>2072</v>
      </c>
      <c r="BK74" s="528">
        <f t="shared" si="203"/>
        <v>2073</v>
      </c>
      <c r="BL74" s="528">
        <f t="shared" si="203"/>
        <v>2074</v>
      </c>
      <c r="BM74" s="528">
        <f>BH74+5</f>
        <v>2075</v>
      </c>
      <c r="BN74" s="528">
        <f>BM74+1</f>
        <v>2076</v>
      </c>
      <c r="BO74" s="528">
        <f t="shared" ref="BO74:BQ74" si="204">BN74+1</f>
        <v>2077</v>
      </c>
      <c r="BP74" s="528">
        <f t="shared" si="204"/>
        <v>2078</v>
      </c>
      <c r="BQ74" s="528">
        <f t="shared" si="204"/>
        <v>2079</v>
      </c>
      <c r="BR74" s="528">
        <f>BM74+5</f>
        <v>2080</v>
      </c>
      <c r="BS74" s="528">
        <f>BR74+1</f>
        <v>2081</v>
      </c>
      <c r="BT74" s="528">
        <f t="shared" ref="BT74:BV74" si="205">BS74+1</f>
        <v>2082</v>
      </c>
      <c r="BU74" s="528">
        <f t="shared" si="205"/>
        <v>2083</v>
      </c>
      <c r="BV74" s="528">
        <f t="shared" si="205"/>
        <v>2084</v>
      </c>
      <c r="BW74" s="528">
        <f>BR74+5</f>
        <v>2085</v>
      </c>
      <c r="BX74" s="528">
        <f>BW74+1</f>
        <v>2086</v>
      </c>
      <c r="BY74" s="528">
        <f t="shared" ref="BY74:CA74" si="206">BX74+1</f>
        <v>2087</v>
      </c>
      <c r="BZ74" s="528">
        <f t="shared" si="206"/>
        <v>2088</v>
      </c>
      <c r="CA74" s="528">
        <f t="shared" si="206"/>
        <v>2089</v>
      </c>
      <c r="CB74" s="528">
        <f>BW74+5</f>
        <v>2090</v>
      </c>
      <c r="CC74" s="528">
        <f>CB74+1</f>
        <v>2091</v>
      </c>
      <c r="CD74" s="528">
        <f t="shared" ref="CD74:CF74" si="207">CC74+1</f>
        <v>2092</v>
      </c>
      <c r="CE74" s="528">
        <f t="shared" si="207"/>
        <v>2093</v>
      </c>
      <c r="CF74" s="528">
        <f t="shared" si="207"/>
        <v>2094</v>
      </c>
      <c r="CG74" s="528">
        <f>CB74+5</f>
        <v>2095</v>
      </c>
      <c r="CH74" s="528">
        <f>CG74+1</f>
        <v>2096</v>
      </c>
      <c r="CI74" s="528">
        <f t="shared" ref="CI74:CK74" si="208">CH74+1</f>
        <v>2097</v>
      </c>
      <c r="CJ74" s="528">
        <f t="shared" si="208"/>
        <v>2098</v>
      </c>
      <c r="CK74" s="528">
        <f t="shared" si="208"/>
        <v>2099</v>
      </c>
      <c r="CL74" s="528">
        <f>CG74+5</f>
        <v>2100</v>
      </c>
      <c r="CN74" s="612" t="s">
        <v>409</v>
      </c>
      <c r="CO74" s="612" t="s">
        <v>411</v>
      </c>
      <c r="CP74" s="612" t="s">
        <v>410</v>
      </c>
    </row>
    <row r="75" spans="1:94" ht="16.5" outlineLevel="1" thickTop="1">
      <c r="A75" s="529" t="s">
        <v>152</v>
      </c>
      <c r="B75" s="529" t="str">
        <f>$A$74</f>
        <v>Pax-long</v>
      </c>
      <c r="C75" s="530" t="s">
        <v>352</v>
      </c>
      <c r="D75" s="530"/>
      <c r="E75" s="531">
        <f ca="1">IF($B$6="ON", IF(E74&gt;=covid_start, IF(E74&lt;covid_recovery,NA(),SUMIFS(INDIRECT("Data_main"&amp;"["&amp;E$8&amp;"]"),Data_main[Data],$A75, Data_main[Segment],$B75, Data_main[Scenario],$B$3)),SUMIFS(INDIRECT("Data_main"&amp;"["&amp;E$8&amp;"]"),Data_main[Data],$A75, Data_main[Segment],$B75, Data_main[Scenario],$B$3)),SUMIFS(INDIRECT("Data_main"&amp;"["&amp;E$8&amp;"]"),Data_main[Data],$A75, Data_main[Segment],$B75, Data_main[Scenario],$B$3))</f>
        <v>542.4993111722265</v>
      </c>
      <c r="F75" s="531">
        <f ca="1">IF($B$6="ON", IF(F74&gt;=covid_start, IF(F74&lt;covid_recovery,NA(),SUMIFS(INDIRECT("Data_main"&amp;"["&amp;F$8&amp;"]"),Data_main[Data],$A75, Data_main[Segment],$B75, Data_main[Scenario],$B$3)),SUMIFS(INDIRECT("Data_main"&amp;"["&amp;F$8&amp;"]"),Data_main[Data],$A75, Data_main[Segment],$B75, Data_main[Scenario],$B$3)),SUMIFS(INDIRECT("Data_main"&amp;"["&amp;F$8&amp;"]"),Data_main[Data],$A75, Data_main[Segment],$B75, Data_main[Scenario],$B$3))</f>
        <v>570.88341156544902</v>
      </c>
      <c r="G75" s="531">
        <f ca="1">IF($B$6="ON", IF(G74&gt;=covid_start, IF(G74&lt;covid_recovery,NA(),SUMIFS(INDIRECT("Data_main"&amp;"["&amp;G$8&amp;"]"),Data_main[Data],$A75, Data_main[Segment],$B75, Data_main[Scenario],$B$3)),SUMIFS(INDIRECT("Data_main"&amp;"["&amp;G$8&amp;"]"),Data_main[Data],$A75, Data_main[Segment],$B75, Data_main[Scenario],$B$3)),SUMIFS(INDIRECT("Data_main"&amp;"["&amp;G$8&amp;"]"),Data_main[Data],$A75, Data_main[Segment],$B75, Data_main[Scenario],$B$3))</f>
        <v>599.26751195867155</v>
      </c>
      <c r="H75" s="531">
        <f ca="1">IF($B$6="ON", IF(H74&gt;=covid_start, IF(H74&lt;covid_recovery,NA(),SUMIFS(INDIRECT("Data_main"&amp;"["&amp;H$8&amp;"]"),Data_main[Data],$A75, Data_main[Segment],$B75, Data_main[Scenario],$B$3)),SUMIFS(INDIRECT("Data_main"&amp;"["&amp;H$8&amp;"]"),Data_main[Data],$A75, Data_main[Segment],$B75, Data_main[Scenario],$B$3)),SUMIFS(INDIRECT("Data_main"&amp;"["&amp;H$8&amp;"]"),Data_main[Data],$A75, Data_main[Segment],$B75, Data_main[Scenario],$B$3))</f>
        <v>627.65161235189419</v>
      </c>
      <c r="I75" s="531">
        <f ca="1">IF($B$6="ON", IF(I74&gt;=covid_start, IF(I74&lt;covid_recovery,NA(),SUMIFS(INDIRECT("Data_main"&amp;"["&amp;I$8&amp;"]"),Data_main[Data],$A75, Data_main[Segment],$B75, Data_main[Scenario],$B$3)),SUMIFS(INDIRECT("Data_main"&amp;"["&amp;I$8&amp;"]"),Data_main[Data],$A75, Data_main[Segment],$B75, Data_main[Scenario],$B$3)),SUMIFS(INDIRECT("Data_main"&amp;"["&amp;I$8&amp;"]"),Data_main[Data],$A75, Data_main[Segment],$B75, Data_main[Scenario],$B$3))</f>
        <v>642.89365131656564</v>
      </c>
      <c r="J75" s="531" t="e">
        <f ca="1">IF($B$6="ON", IF(J74&gt;=covid_start, IF(J74&lt;covid_recovery,NA(),SUMIFS(INDIRECT("Data_main"&amp;"["&amp;J$8&amp;"]"),Data_main[Data],$A75, Data_main[Segment],$B75, Data_main[Scenario],$B$3)),SUMIFS(INDIRECT("Data_main"&amp;"["&amp;J$8&amp;"]"),Data_main[Data],$A75, Data_main[Segment],$B75, Data_main[Scenario],$B$3)),SUMIFS(INDIRECT("Data_main"&amp;"["&amp;J$8&amp;"]"),Data_main[Data],$A75, Data_main[Segment],$B75, Data_main[Scenario],$B$3))</f>
        <v>#N/A</v>
      </c>
      <c r="K75" s="531" t="e">
        <f ca="1">IF($B$6="ON", IF(K74&gt;=covid_start, IF(K74&lt;covid_recovery,NA(),SUMIFS(INDIRECT("Data_main"&amp;"["&amp;K$8&amp;"]"),Data_main[Data],$A75, Data_main[Segment],$B75, Data_main[Scenario],$B$3)),SUMIFS(INDIRECT("Data_main"&amp;"["&amp;K$8&amp;"]"),Data_main[Data],$A75, Data_main[Segment],$B75, Data_main[Scenario],$B$3)),SUMIFS(INDIRECT("Data_main"&amp;"["&amp;K$8&amp;"]"),Data_main[Data],$A75, Data_main[Segment],$B75, Data_main[Scenario],$B$3))</f>
        <v>#N/A</v>
      </c>
      <c r="L75" s="531" t="e">
        <f ca="1">IF($B$6="ON", IF(L74&gt;=covid_start, IF(L74&lt;covid_recovery,NA(),SUMIFS(INDIRECT("Data_main"&amp;"["&amp;L$8&amp;"]"),Data_main[Data],$A75, Data_main[Segment],$B75, Data_main[Scenario],$B$3)),SUMIFS(INDIRECT("Data_main"&amp;"["&amp;L$8&amp;"]"),Data_main[Data],$A75, Data_main[Segment],$B75, Data_main[Scenario],$B$3)),SUMIFS(INDIRECT("Data_main"&amp;"["&amp;L$8&amp;"]"),Data_main[Data],$A75, Data_main[Segment],$B75, Data_main[Scenario],$B$3))</f>
        <v>#N/A</v>
      </c>
      <c r="M75" s="531">
        <f ca="1">IF($B$6="ON", IF(M74&gt;=covid_start, IF(M74&lt;covid_recovery,NA(),SUMIFS(INDIRECT("Data_main"&amp;"["&amp;M$8&amp;"]"),Data_main[Data],$A75, Data_main[Segment],$B75, Data_main[Scenario],$B$3)),SUMIFS(INDIRECT("Data_main"&amp;"["&amp;M$8&amp;"]"),Data_main[Data],$A75, Data_main[Segment],$B75, Data_main[Scenario],$B$3)),SUMIFS(INDIRECT("Data_main"&amp;"["&amp;M$8&amp;"]"),Data_main[Data],$A75, Data_main[Segment],$B75, Data_main[Scenario],$B$3))</f>
        <v>632.64899336255462</v>
      </c>
      <c r="N75" s="531">
        <f ca="1">IF($B$6="ON", IF(N74&gt;=covid_start, IF(N74&lt;covid_recovery,NA(),SUMIFS(INDIRECT("Data_main"&amp;"["&amp;N$8&amp;"]"),Data_main[Data],$A75, Data_main[Segment],$B75, Data_main[Scenario],$B$3)),SUMIFS(INDIRECT("Data_main"&amp;"["&amp;N$8&amp;"]"),Data_main[Data],$A75, Data_main[Segment],$B75, Data_main[Scenario],$B$3)),SUMIFS(INDIRECT("Data_main"&amp;"["&amp;N$8&amp;"]"),Data_main[Data],$A75, Data_main[Segment],$B75, Data_main[Scenario],$B$3))</f>
        <v>630.08782887405209</v>
      </c>
      <c r="O75" s="531">
        <f ca="1">IF($B$6="ON", IF(O74&gt;=covid_start, IF(O74&lt;covid_recovery,NA(),SUMIFS(INDIRECT("Data_main"&amp;"["&amp;O$8&amp;"]"),Data_main[Data],$A75, Data_main[Segment],$B75, Data_main[Scenario],$B$3)),SUMIFS(INDIRECT("Data_main"&amp;"["&amp;O$8&amp;"]"),Data_main[Data],$A75, Data_main[Segment],$B75, Data_main[Scenario],$B$3)),SUMIFS(INDIRECT("Data_main"&amp;"["&amp;O$8&amp;"]"),Data_main[Data],$A75, Data_main[Segment],$B75, Data_main[Scenario],$B$3))</f>
        <v>627.52666438554934</v>
      </c>
      <c r="P75" s="531">
        <f ca="1">IF($B$6="ON", IF(P74&gt;=covid_start, IF(P74&lt;covid_recovery,NA(),SUMIFS(INDIRECT("Data_main"&amp;"["&amp;P$8&amp;"]"),Data_main[Data],$A75, Data_main[Segment],$B75, Data_main[Scenario],$B$3)),SUMIFS(INDIRECT("Data_main"&amp;"["&amp;P$8&amp;"]"),Data_main[Data],$A75, Data_main[Segment],$B75, Data_main[Scenario],$B$3)),SUMIFS(INDIRECT("Data_main"&amp;"["&amp;P$8&amp;"]"),Data_main[Data],$A75, Data_main[Segment],$B75, Data_main[Scenario],$B$3))</f>
        <v>624.9654998970467</v>
      </c>
      <c r="Q75" s="531">
        <f ca="1">IF($B$6="ON", IF(Q74&gt;=covid_start, IF(Q74&lt;covid_recovery,NA(),SUMIFS(INDIRECT("Data_main"&amp;"["&amp;Q$8&amp;"]"),Data_main[Data],$A75, Data_main[Segment],$B75, Data_main[Scenario],$B$3)),SUMIFS(INDIRECT("Data_main"&amp;"["&amp;Q$8&amp;"]"),Data_main[Data],$A75, Data_main[Segment],$B75, Data_main[Scenario],$B$3)),SUMIFS(INDIRECT("Data_main"&amp;"["&amp;Q$8&amp;"]"),Data_main[Data],$A75, Data_main[Segment],$B75, Data_main[Scenario],$B$3))</f>
        <v>622.40433540854383</v>
      </c>
      <c r="R75" s="531">
        <f ca="1">IF($B$6="ON", IF(R74&gt;=covid_start, IF(R74&lt;covid_recovery,NA(),SUMIFS(INDIRECT("Data_main"&amp;"["&amp;R$8&amp;"]"),Data_main[Data],$A75, Data_main[Segment],$B75, Data_main[Scenario],$B$3)),SUMIFS(INDIRECT("Data_main"&amp;"["&amp;R$8&amp;"]"),Data_main[Data],$A75, Data_main[Segment],$B75, Data_main[Scenario],$B$3)),SUMIFS(INDIRECT("Data_main"&amp;"["&amp;R$8&amp;"]"),Data_main[Data],$A75, Data_main[Segment],$B75, Data_main[Scenario],$B$3))</f>
        <v>619.84317092004108</v>
      </c>
      <c r="S75" s="531">
        <f ca="1">IF($B$6="ON", IF(S74&gt;=covid_start, IF(S74&lt;covid_recovery,NA(),SUMIFS(INDIRECT("Data_main"&amp;"["&amp;S$8&amp;"]"),Data_main[Data],$A75, Data_main[Segment],$B75, Data_main[Scenario],$B$3)),SUMIFS(INDIRECT("Data_main"&amp;"["&amp;S$8&amp;"]"),Data_main[Data],$A75, Data_main[Segment],$B75, Data_main[Scenario],$B$3)),SUMIFS(INDIRECT("Data_main"&amp;"["&amp;S$8&amp;"]"),Data_main[Data],$A75, Data_main[Segment],$B75, Data_main[Scenario],$B$3))</f>
        <v>617.28200643153832</v>
      </c>
      <c r="T75" s="531">
        <f ca="1">IF($B$6="ON", IF(T74&gt;=covid_start, IF(T74&lt;covid_recovery,NA(),SUMIFS(INDIRECT("Data_main"&amp;"["&amp;T$8&amp;"]"),Data_main[Data],$A75, Data_main[Segment],$B75, Data_main[Scenario],$B$3)),SUMIFS(INDIRECT("Data_main"&amp;"["&amp;T$8&amp;"]"),Data_main[Data],$A75, Data_main[Segment],$B75, Data_main[Scenario],$B$3)),SUMIFS(INDIRECT("Data_main"&amp;"["&amp;T$8&amp;"]"),Data_main[Data],$A75, Data_main[Segment],$B75, Data_main[Scenario],$B$3))</f>
        <v>614.72084194303511</v>
      </c>
      <c r="U75" s="531">
        <f ca="1">IF($B$6="ON", IF(U74&gt;=covid_start, IF(U74&lt;covid_recovery,NA(),SUMIFS(INDIRECT("Data_main"&amp;"["&amp;U$8&amp;"]"),Data_main[Data],$A75, Data_main[Segment],$B75, Data_main[Scenario],$B$3)),SUMIFS(INDIRECT("Data_main"&amp;"["&amp;U$8&amp;"]"),Data_main[Data],$A75, Data_main[Segment],$B75, Data_main[Scenario],$B$3)),SUMIFS(INDIRECT("Data_main"&amp;"["&amp;U$8&amp;"]"),Data_main[Data],$A75, Data_main[Segment],$B75, Data_main[Scenario],$B$3))</f>
        <v>608.26157131479715</v>
      </c>
      <c r="V75" s="531">
        <f ca="1">IF($B$6="ON", IF(V74&gt;=covid_start, IF(V74&lt;covid_recovery,NA(),SUMIFS(INDIRECT("Data_main"&amp;"["&amp;V$8&amp;"]"),Data_main[Data],$A75, Data_main[Segment],$B75, Data_main[Scenario],$B$3)),SUMIFS(INDIRECT("Data_main"&amp;"["&amp;V$8&amp;"]"),Data_main[Data],$A75, Data_main[Segment],$B75, Data_main[Scenario],$B$3)),SUMIFS(INDIRECT("Data_main"&amp;"["&amp;V$8&amp;"]"),Data_main[Data],$A75, Data_main[Segment],$B75, Data_main[Scenario],$B$3))</f>
        <v>601.80230068655897</v>
      </c>
      <c r="W75" s="531">
        <f ca="1">IF($B$6="ON", IF(W74&gt;=covid_start, IF(W74&lt;covid_recovery,NA(),SUMIFS(INDIRECT("Data_main"&amp;"["&amp;W$8&amp;"]"),Data_main[Data],$A75, Data_main[Segment],$B75, Data_main[Scenario],$B$3)),SUMIFS(INDIRECT("Data_main"&amp;"["&amp;W$8&amp;"]"),Data_main[Data],$A75, Data_main[Segment],$B75, Data_main[Scenario],$B$3)),SUMIFS(INDIRECT("Data_main"&amp;"["&amp;W$8&amp;"]"),Data_main[Data],$A75, Data_main[Segment],$B75, Data_main[Scenario],$B$3))</f>
        <v>595.34303005832089</v>
      </c>
      <c r="X75" s="531">
        <f ca="1">IF($B$6="ON", IF(X74&gt;=covid_start, IF(X74&lt;covid_recovery,NA(),SUMIFS(INDIRECT("Data_main"&amp;"["&amp;X$8&amp;"]"),Data_main[Data],$A75, Data_main[Segment],$B75, Data_main[Scenario],$B$3)),SUMIFS(INDIRECT("Data_main"&amp;"["&amp;X$8&amp;"]"),Data_main[Data],$A75, Data_main[Segment],$B75, Data_main[Scenario],$B$3)),SUMIFS(INDIRECT("Data_main"&amp;"["&amp;X$8&amp;"]"),Data_main[Data],$A75, Data_main[Segment],$B75, Data_main[Scenario],$B$3))</f>
        <v>588.8837594300827</v>
      </c>
      <c r="Y75" s="531">
        <f ca="1">IF($B$6="ON", IF(Y74&gt;=covid_start, IF(Y74&lt;covid_recovery,NA(),SUMIFS(INDIRECT("Data_main"&amp;"["&amp;Y$8&amp;"]"),Data_main[Data],$A75, Data_main[Segment],$B75, Data_main[Scenario],$B$3)),SUMIFS(INDIRECT("Data_main"&amp;"["&amp;Y$8&amp;"]"),Data_main[Data],$A75, Data_main[Segment],$B75, Data_main[Scenario],$B$3)),SUMIFS(INDIRECT("Data_main"&amp;"["&amp;Y$8&amp;"]"),Data_main[Data],$A75, Data_main[Segment],$B75, Data_main[Scenario],$B$3))</f>
        <v>582.42448880184463</v>
      </c>
      <c r="Z75" s="531">
        <f ca="1">IF($B$6="ON", IF(Z74&gt;=covid_start, IF(Z74&lt;covid_recovery,NA(),SUMIFS(INDIRECT("Data_main"&amp;"["&amp;Z$8&amp;"]"),Data_main[Data],$A75, Data_main[Segment],$B75, Data_main[Scenario],$B$3)),SUMIFS(INDIRECT("Data_main"&amp;"["&amp;Z$8&amp;"]"),Data_main[Data],$A75, Data_main[Segment],$B75, Data_main[Scenario],$B$3)),SUMIFS(INDIRECT("Data_main"&amp;"["&amp;Z$8&amp;"]"),Data_main[Data],$A75, Data_main[Segment],$B75, Data_main[Scenario],$B$3))</f>
        <v>575.96521817360667</v>
      </c>
      <c r="AA75" s="531">
        <f ca="1">IF($B$6="ON", IF(AA74&gt;=covid_start, IF(AA74&lt;covid_recovery,NA(),SUMIFS(INDIRECT("Data_main"&amp;"["&amp;AA$8&amp;"]"),Data_main[Data],$A75, Data_main[Segment],$B75, Data_main[Scenario],$B$3)),SUMIFS(INDIRECT("Data_main"&amp;"["&amp;AA$8&amp;"]"),Data_main[Data],$A75, Data_main[Segment],$B75, Data_main[Scenario],$B$3)),SUMIFS(INDIRECT("Data_main"&amp;"["&amp;AA$8&amp;"]"),Data_main[Data],$A75, Data_main[Segment],$B75, Data_main[Scenario],$B$3))</f>
        <v>569.50594754536837</v>
      </c>
      <c r="AB75" s="531">
        <f ca="1">IF($B$6="ON", IF(AB74&gt;=covid_start, IF(AB74&lt;covid_recovery,NA(),SUMIFS(INDIRECT("Data_main"&amp;"["&amp;AB$8&amp;"]"),Data_main[Data],$A75, Data_main[Segment],$B75, Data_main[Scenario],$B$3)),SUMIFS(INDIRECT("Data_main"&amp;"["&amp;AB$8&amp;"]"),Data_main[Data],$A75, Data_main[Segment],$B75, Data_main[Scenario],$B$3)),SUMIFS(INDIRECT("Data_main"&amp;"["&amp;AB$8&amp;"]"),Data_main[Data],$A75, Data_main[Segment],$B75, Data_main[Scenario],$B$3))</f>
        <v>563.04667691713041</v>
      </c>
      <c r="AC75" s="531">
        <f ca="1">IF($B$6="ON", IF(AC74&gt;=covid_start, IF(AC74&lt;covid_recovery,NA(),SUMIFS(INDIRECT("Data_main"&amp;"["&amp;AC$8&amp;"]"),Data_main[Data],$A75, Data_main[Segment],$B75, Data_main[Scenario],$B$3)),SUMIFS(INDIRECT("Data_main"&amp;"["&amp;AC$8&amp;"]"),Data_main[Data],$A75, Data_main[Segment],$B75, Data_main[Scenario],$B$3)),SUMIFS(INDIRECT("Data_main"&amp;"["&amp;AC$8&amp;"]"),Data_main[Data],$A75, Data_main[Segment],$B75, Data_main[Scenario],$B$3))</f>
        <v>556.58740628889234</v>
      </c>
      <c r="AD75" s="531">
        <f ca="1">IF($B$6="ON", IF(AD74&gt;=covid_start, IF(AD74&lt;covid_recovery,NA(),SUMIFS(INDIRECT("Data_main"&amp;"["&amp;AD$8&amp;"]"),Data_main[Data],$A75, Data_main[Segment],$B75, Data_main[Scenario],$B$3)),SUMIFS(INDIRECT("Data_main"&amp;"["&amp;AD$8&amp;"]"),Data_main[Data],$A75, Data_main[Segment],$B75, Data_main[Scenario],$B$3)),SUMIFS(INDIRECT("Data_main"&amp;"["&amp;AD$8&amp;"]"),Data_main[Data],$A75, Data_main[Segment],$B75, Data_main[Scenario],$B$3))</f>
        <v>550.12813566065415</v>
      </c>
      <c r="AE75" s="531">
        <f ca="1">IF($B$6="ON", IF(AE74&gt;=covid_start, IF(AE74&lt;covid_recovery,NA(),SUMIFS(INDIRECT("Data_main"&amp;"["&amp;AE$8&amp;"]"),Data_main[Data],$A75, Data_main[Segment],$B75, Data_main[Scenario],$B$3)),SUMIFS(INDIRECT("Data_main"&amp;"["&amp;AE$8&amp;"]"),Data_main[Data],$A75, Data_main[Segment],$B75, Data_main[Scenario],$B$3)),SUMIFS(INDIRECT("Data_main"&amp;"["&amp;AE$8&amp;"]"),Data_main[Data],$A75, Data_main[Segment],$B75, Data_main[Scenario],$B$3))</f>
        <v>547.53362088086442</v>
      </c>
      <c r="AF75" s="531">
        <f ca="1">IF($B$6="ON", IF(AF74&gt;=covid_start, IF(AF74&lt;covid_recovery,NA(),SUMIFS(INDIRECT("Data_main"&amp;"["&amp;AF$8&amp;"]"),Data_main[Data],$A75, Data_main[Segment],$B75, Data_main[Scenario],$B$3)),SUMIFS(INDIRECT("Data_main"&amp;"["&amp;AF$8&amp;"]"),Data_main[Data],$A75, Data_main[Segment],$B75, Data_main[Scenario],$B$3)),SUMIFS(INDIRECT("Data_main"&amp;"["&amp;AF$8&amp;"]"),Data_main[Data],$A75, Data_main[Segment],$B75, Data_main[Scenario],$B$3))</f>
        <v>544.93910610107457</v>
      </c>
      <c r="AG75" s="531">
        <f ca="1">IF($B$6="ON", IF(AG74&gt;=covid_start, IF(AG74&lt;covid_recovery,NA(),SUMIFS(INDIRECT("Data_main"&amp;"["&amp;AG$8&amp;"]"),Data_main[Data],$A75, Data_main[Segment],$B75, Data_main[Scenario],$B$3)),SUMIFS(INDIRECT("Data_main"&amp;"["&amp;AG$8&amp;"]"),Data_main[Data],$A75, Data_main[Segment],$B75, Data_main[Scenario],$B$3)),SUMIFS(INDIRECT("Data_main"&amp;"["&amp;AG$8&amp;"]"),Data_main[Data],$A75, Data_main[Segment],$B75, Data_main[Scenario],$B$3))</f>
        <v>542.34459132128472</v>
      </c>
      <c r="AH75" s="531">
        <f ca="1">IF($B$6="ON", IF(AH74&gt;=covid_start, IF(AH74&lt;covid_recovery,NA(),SUMIFS(INDIRECT("Data_main"&amp;"["&amp;AH$8&amp;"]"),Data_main[Data],$A75, Data_main[Segment],$B75, Data_main[Scenario],$B$3)),SUMIFS(INDIRECT("Data_main"&amp;"["&amp;AH$8&amp;"]"),Data_main[Data],$A75, Data_main[Segment],$B75, Data_main[Scenario],$B$3)),SUMIFS(INDIRECT("Data_main"&amp;"["&amp;AH$8&amp;"]"),Data_main[Data],$A75, Data_main[Segment],$B75, Data_main[Scenario],$B$3))</f>
        <v>539.75007654149488</v>
      </c>
      <c r="AI75" s="531">
        <f ca="1">IF($B$6="ON", IF(AI74&gt;=covid_start, IF(AI74&lt;covid_recovery,NA(),SUMIFS(INDIRECT("Data_main"&amp;"["&amp;AI$8&amp;"]"),Data_main[Data],$A75, Data_main[Segment],$B75, Data_main[Scenario],$B$3)),SUMIFS(INDIRECT("Data_main"&amp;"["&amp;AI$8&amp;"]"),Data_main[Data],$A75, Data_main[Segment],$B75, Data_main[Scenario],$B$3)),SUMIFS(INDIRECT("Data_main"&amp;"["&amp;AI$8&amp;"]"),Data_main[Data],$A75, Data_main[Segment],$B75, Data_main[Scenario],$B$3))</f>
        <v>537.15556176170503</v>
      </c>
      <c r="AJ75" s="531">
        <f ca="1">IF($B$6="ON", IF(AJ74&gt;=covid_start, IF(AJ74&lt;covid_recovery,NA(),SUMIFS(INDIRECT("Data_main"&amp;"["&amp;AJ$8&amp;"]"),Data_main[Data],$A75, Data_main[Segment],$B75, Data_main[Scenario],$B$3)),SUMIFS(INDIRECT("Data_main"&amp;"["&amp;AJ$8&amp;"]"),Data_main[Data],$A75, Data_main[Segment],$B75, Data_main[Scenario],$B$3)),SUMIFS(INDIRECT("Data_main"&amp;"["&amp;AJ$8&amp;"]"),Data_main[Data],$A75, Data_main[Segment],$B75, Data_main[Scenario],$B$3))</f>
        <v>534.5610469819153</v>
      </c>
      <c r="AK75" s="531">
        <f ca="1">IF($B$6="ON", IF(AK74&gt;=covid_start, IF(AK74&lt;covid_recovery,NA(),SUMIFS(INDIRECT("Data_main"&amp;"["&amp;AK$8&amp;"]"),Data_main[Data],$A75, Data_main[Segment],$B75, Data_main[Scenario],$B$3)),SUMIFS(INDIRECT("Data_main"&amp;"["&amp;AK$8&amp;"]"),Data_main[Data],$A75, Data_main[Segment],$B75, Data_main[Scenario],$B$3)),SUMIFS(INDIRECT("Data_main"&amp;"["&amp;AK$8&amp;"]"),Data_main[Data],$A75, Data_main[Segment],$B75, Data_main[Scenario],$B$3))</f>
        <v>531.96653220212534</v>
      </c>
      <c r="AL75" s="531">
        <f ca="1">IF($B$6="ON", IF(AL74&gt;=covid_start, IF(AL74&lt;covid_recovery,NA(),SUMIFS(INDIRECT("Data_main"&amp;"["&amp;AL$8&amp;"]"),Data_main[Data],$A75, Data_main[Segment],$B75, Data_main[Scenario],$B$3)),SUMIFS(INDIRECT("Data_main"&amp;"["&amp;AL$8&amp;"]"),Data_main[Data],$A75, Data_main[Segment],$B75, Data_main[Scenario],$B$3)),SUMIFS(INDIRECT("Data_main"&amp;"["&amp;AL$8&amp;"]"),Data_main[Data],$A75, Data_main[Segment],$B75, Data_main[Scenario],$B$3))</f>
        <v>529.37201742233572</v>
      </c>
      <c r="AM75" s="531">
        <f ca="1">IF($B$6="ON", IF(AM74&gt;=covid_start, IF(AM74&lt;covid_recovery,NA(),SUMIFS(INDIRECT("Data_main"&amp;"["&amp;AM$8&amp;"]"),Data_main[Data],$A75, Data_main[Segment],$B75, Data_main[Scenario],$B$3)),SUMIFS(INDIRECT("Data_main"&amp;"["&amp;AM$8&amp;"]"),Data_main[Data],$A75, Data_main[Segment],$B75, Data_main[Scenario],$B$3)),SUMIFS(INDIRECT("Data_main"&amp;"["&amp;AM$8&amp;"]"),Data_main[Data],$A75, Data_main[Segment],$B75, Data_main[Scenario],$B$3))</f>
        <v>526.77750264254576</v>
      </c>
      <c r="AN75" s="531">
        <f ca="1">IF($B$6="ON", IF(AN74&gt;=covid_start, IF(AN74&lt;covid_recovery,NA(),SUMIFS(INDIRECT("Data_main"&amp;"["&amp;AN$8&amp;"]"),Data_main[Data],$A75, Data_main[Segment],$B75, Data_main[Scenario],$B$3)),SUMIFS(INDIRECT("Data_main"&amp;"["&amp;AN$8&amp;"]"),Data_main[Data],$A75, Data_main[Segment],$B75, Data_main[Scenario],$B$3)),SUMIFS(INDIRECT("Data_main"&amp;"["&amp;AN$8&amp;"]"),Data_main[Data],$A75, Data_main[Segment],$B75, Data_main[Scenario],$B$3))</f>
        <v>524.18298786275614</v>
      </c>
      <c r="AO75" s="531">
        <f ca="1">IF($B$6="ON", IF(AO74&gt;=covid_start, IF(AO74&lt;covid_recovery,NA(),SUMIFS(INDIRECT("Data_main"&amp;"["&amp;AO$8&amp;"]"),Data_main[Data],$A75, Data_main[Segment],$B75, Data_main[Scenario],$B$3)),SUMIFS(INDIRECT("Data_main"&amp;"["&amp;AO$8&amp;"]"),Data_main[Data],$A75, Data_main[Segment],$B75, Data_main[Scenario],$B$3)),SUMIFS(INDIRECT("Data_main"&amp;"["&amp;AO$8&amp;"]"),Data_main[Data],$A75, Data_main[Segment],$B75, Data_main[Scenario],$B$3))</f>
        <v>0</v>
      </c>
      <c r="AP75" s="531">
        <f ca="1">IF($B$6="ON", IF(AP74&gt;=covid_start, IF(AP74&lt;covid_recovery,NA(),SUMIFS(INDIRECT("Data_main"&amp;"["&amp;AP$8&amp;"]"),Data_main[Data],$A75, Data_main[Segment],$B75, Data_main[Scenario],$B$3)),SUMIFS(INDIRECT("Data_main"&amp;"["&amp;AP$8&amp;"]"),Data_main[Data],$A75, Data_main[Segment],$B75, Data_main[Scenario],$B$3)),SUMIFS(INDIRECT("Data_main"&amp;"["&amp;AP$8&amp;"]"),Data_main[Data],$A75, Data_main[Segment],$B75, Data_main[Scenario],$B$3))</f>
        <v>0</v>
      </c>
      <c r="AQ75" s="531">
        <f ca="1">IF($B$6="ON", IF(AQ74&gt;=covid_start, IF(AQ74&lt;covid_recovery,NA(),SUMIFS(INDIRECT("Data_main"&amp;"["&amp;AQ$8&amp;"]"),Data_main[Data],$A75, Data_main[Segment],$B75, Data_main[Scenario],$B$3)),SUMIFS(INDIRECT("Data_main"&amp;"["&amp;AQ$8&amp;"]"),Data_main[Data],$A75, Data_main[Segment],$B75, Data_main[Scenario],$B$3)),SUMIFS(INDIRECT("Data_main"&amp;"["&amp;AQ$8&amp;"]"),Data_main[Data],$A75, Data_main[Segment],$B75, Data_main[Scenario],$B$3))</f>
        <v>0</v>
      </c>
      <c r="AR75" s="531">
        <f ca="1">IF($B$6="ON", IF(AR74&gt;=covid_start, IF(AR74&lt;covid_recovery,NA(),SUMIFS(INDIRECT("Data_main"&amp;"["&amp;AR$8&amp;"]"),Data_main[Data],$A75, Data_main[Segment],$B75, Data_main[Scenario],$B$3)),SUMIFS(INDIRECT("Data_main"&amp;"["&amp;AR$8&amp;"]"),Data_main[Data],$A75, Data_main[Segment],$B75, Data_main[Scenario],$B$3)),SUMIFS(INDIRECT("Data_main"&amp;"["&amp;AR$8&amp;"]"),Data_main[Data],$A75, Data_main[Segment],$B75, Data_main[Scenario],$B$3))</f>
        <v>0</v>
      </c>
      <c r="AS75" s="531">
        <f ca="1">IF($B$6="ON", IF(AS74&gt;=covid_start, IF(AS74&lt;covid_recovery,NA(),SUMIFS(INDIRECT("Data_main"&amp;"["&amp;AS$8&amp;"]"),Data_main[Data],$A75, Data_main[Segment],$B75, Data_main[Scenario],$B$3)),SUMIFS(INDIRECT("Data_main"&amp;"["&amp;AS$8&amp;"]"),Data_main[Data],$A75, Data_main[Segment],$B75, Data_main[Scenario],$B$3)),SUMIFS(INDIRECT("Data_main"&amp;"["&amp;AS$8&amp;"]"),Data_main[Data],$A75, Data_main[Segment],$B75, Data_main[Scenario],$B$3))</f>
        <v>0</v>
      </c>
      <c r="AT75" s="531">
        <f ca="1">IF($B$6="ON", IF(AT74&gt;=covid_start, IF(AT74&lt;covid_recovery,NA(),SUMIFS(INDIRECT("Data_main"&amp;"["&amp;AT$8&amp;"]"),Data_main[Data],$A75, Data_main[Segment],$B75, Data_main[Scenario],$B$3)),SUMIFS(INDIRECT("Data_main"&amp;"["&amp;AT$8&amp;"]"),Data_main[Data],$A75, Data_main[Segment],$B75, Data_main[Scenario],$B$3)),SUMIFS(INDIRECT("Data_main"&amp;"["&amp;AT$8&amp;"]"),Data_main[Data],$A75, Data_main[Segment],$B75, Data_main[Scenario],$B$3))</f>
        <v>0</v>
      </c>
      <c r="AU75" s="531">
        <f ca="1">IF($B$6="ON", IF(AU74&gt;=covid_start, IF(AU74&lt;covid_recovery,NA(),SUMIFS(INDIRECT("Data_main"&amp;"["&amp;AU$8&amp;"]"),Data_main[Data],$A75, Data_main[Segment],$B75, Data_main[Scenario],$B$3)),SUMIFS(INDIRECT("Data_main"&amp;"["&amp;AU$8&amp;"]"),Data_main[Data],$A75, Data_main[Segment],$B75, Data_main[Scenario],$B$3)),SUMIFS(INDIRECT("Data_main"&amp;"["&amp;AU$8&amp;"]"),Data_main[Data],$A75, Data_main[Segment],$B75, Data_main[Scenario],$B$3))</f>
        <v>0</v>
      </c>
      <c r="AV75" s="531">
        <f ca="1">IF($B$6="ON", IF(AV74&gt;=covid_start, IF(AV74&lt;covid_recovery,NA(),SUMIFS(INDIRECT("Data_main"&amp;"["&amp;AV$8&amp;"]"),Data_main[Data],$A75, Data_main[Segment],$B75, Data_main[Scenario],$B$3)),SUMIFS(INDIRECT("Data_main"&amp;"["&amp;AV$8&amp;"]"),Data_main[Data],$A75, Data_main[Segment],$B75, Data_main[Scenario],$B$3)),SUMIFS(INDIRECT("Data_main"&amp;"["&amp;AV$8&amp;"]"),Data_main[Data],$A75, Data_main[Segment],$B75, Data_main[Scenario],$B$3))</f>
        <v>0</v>
      </c>
      <c r="AW75" s="531">
        <f ca="1">IF($B$6="ON", IF(AW74&gt;=covid_start, IF(AW74&lt;covid_recovery,NA(),SUMIFS(INDIRECT("Data_main"&amp;"["&amp;AW$8&amp;"]"),Data_main[Data],$A75, Data_main[Segment],$B75, Data_main[Scenario],$B$3)),SUMIFS(INDIRECT("Data_main"&amp;"["&amp;AW$8&amp;"]"),Data_main[Data],$A75, Data_main[Segment],$B75, Data_main[Scenario],$B$3)),SUMIFS(INDIRECT("Data_main"&amp;"["&amp;AW$8&amp;"]"),Data_main[Data],$A75, Data_main[Segment],$B75, Data_main[Scenario],$B$3))</f>
        <v>0</v>
      </c>
      <c r="AX75" s="531">
        <f ca="1">IF($B$6="ON", IF(AX74&gt;=covid_start, IF(AX74&lt;covid_recovery,NA(),SUMIFS(INDIRECT("Data_main"&amp;"["&amp;AX$8&amp;"]"),Data_main[Data],$A75, Data_main[Segment],$B75, Data_main[Scenario],$B$3)),SUMIFS(INDIRECT("Data_main"&amp;"["&amp;AX$8&amp;"]"),Data_main[Data],$A75, Data_main[Segment],$B75, Data_main[Scenario],$B$3)),SUMIFS(INDIRECT("Data_main"&amp;"["&amp;AX$8&amp;"]"),Data_main[Data],$A75, Data_main[Segment],$B75, Data_main[Scenario],$B$3))</f>
        <v>0</v>
      </c>
      <c r="AY75" s="531">
        <f ca="1">IF($B$6="ON", IF(AY74&gt;=covid_start, IF(AY74&lt;covid_recovery,NA(),SUMIFS(INDIRECT("Data_main"&amp;"["&amp;AY$8&amp;"]"),Data_main[Data],$A75, Data_main[Segment],$B75, Data_main[Scenario],$B$3)),SUMIFS(INDIRECT("Data_main"&amp;"["&amp;AY$8&amp;"]"),Data_main[Data],$A75, Data_main[Segment],$B75, Data_main[Scenario],$B$3)),SUMIFS(INDIRECT("Data_main"&amp;"["&amp;AY$8&amp;"]"),Data_main[Data],$A75, Data_main[Segment],$B75, Data_main[Scenario],$B$3))</f>
        <v>0</v>
      </c>
      <c r="AZ75" s="531">
        <f ca="1">IF($B$6="ON", IF(AZ74&gt;=covid_start, IF(AZ74&lt;covid_recovery,NA(),SUMIFS(INDIRECT("Data_main"&amp;"["&amp;AZ$8&amp;"]"),Data_main[Data],$A75, Data_main[Segment],$B75, Data_main[Scenario],$B$3)),SUMIFS(INDIRECT("Data_main"&amp;"["&amp;AZ$8&amp;"]"),Data_main[Data],$A75, Data_main[Segment],$B75, Data_main[Scenario],$B$3)),SUMIFS(INDIRECT("Data_main"&amp;"["&amp;AZ$8&amp;"]"),Data_main[Data],$A75, Data_main[Segment],$B75, Data_main[Scenario],$B$3))</f>
        <v>0</v>
      </c>
      <c r="BA75" s="531">
        <f ca="1">IF($B$6="ON", IF(BA74&gt;=covid_start, IF(BA74&lt;covid_recovery,NA(),SUMIFS(INDIRECT("Data_main"&amp;"["&amp;BA$8&amp;"]"),Data_main[Data],$A75, Data_main[Segment],$B75, Data_main[Scenario],$B$3)),SUMIFS(INDIRECT("Data_main"&amp;"["&amp;BA$8&amp;"]"),Data_main[Data],$A75, Data_main[Segment],$B75, Data_main[Scenario],$B$3)),SUMIFS(INDIRECT("Data_main"&amp;"["&amp;BA$8&amp;"]"),Data_main[Data],$A75, Data_main[Segment],$B75, Data_main[Scenario],$B$3))</f>
        <v>0</v>
      </c>
      <c r="BB75" s="531">
        <f ca="1">IF($B$6="ON", IF(BB74&gt;=covid_start, IF(BB74&lt;covid_recovery,NA(),SUMIFS(INDIRECT("Data_main"&amp;"["&amp;BB$8&amp;"]"),Data_main[Data],$A75, Data_main[Segment],$B75, Data_main[Scenario],$B$3)),SUMIFS(INDIRECT("Data_main"&amp;"["&amp;BB$8&amp;"]"),Data_main[Data],$A75, Data_main[Segment],$B75, Data_main[Scenario],$B$3)),SUMIFS(INDIRECT("Data_main"&amp;"["&amp;BB$8&amp;"]"),Data_main[Data],$A75, Data_main[Segment],$B75, Data_main[Scenario],$B$3))</f>
        <v>0</v>
      </c>
      <c r="BC75" s="531">
        <f ca="1">IF($B$6="ON", IF(BC74&gt;=covid_start, IF(BC74&lt;covid_recovery,NA(),SUMIFS(INDIRECT("Data_main"&amp;"["&amp;BC$8&amp;"]"),Data_main[Data],$A75, Data_main[Segment],$B75, Data_main[Scenario],$B$3)),SUMIFS(INDIRECT("Data_main"&amp;"["&amp;BC$8&amp;"]"),Data_main[Data],$A75, Data_main[Segment],$B75, Data_main[Scenario],$B$3)),SUMIFS(INDIRECT("Data_main"&amp;"["&amp;BC$8&amp;"]"),Data_main[Data],$A75, Data_main[Segment],$B75, Data_main[Scenario],$B$3))</f>
        <v>0</v>
      </c>
      <c r="BD75" s="531">
        <f ca="1">IF($B$6="ON", IF(BD74&gt;=covid_start, IF(BD74&lt;covid_recovery,NA(),SUMIFS(INDIRECT("Data_main"&amp;"["&amp;BD$8&amp;"]"),Data_main[Data],$A75, Data_main[Segment],$B75, Data_main[Scenario],$B$3)),SUMIFS(INDIRECT("Data_main"&amp;"["&amp;BD$8&amp;"]"),Data_main[Data],$A75, Data_main[Segment],$B75, Data_main[Scenario],$B$3)),SUMIFS(INDIRECT("Data_main"&amp;"["&amp;BD$8&amp;"]"),Data_main[Data],$A75, Data_main[Segment],$B75, Data_main[Scenario],$B$3))</f>
        <v>0</v>
      </c>
      <c r="BE75" s="531">
        <f ca="1">IF($B$6="ON", IF(BE74&gt;=covid_start, IF(BE74&lt;covid_recovery,NA(),SUMIFS(INDIRECT("Data_main"&amp;"["&amp;BE$8&amp;"]"),Data_main[Data],$A75, Data_main[Segment],$B75, Data_main[Scenario],$B$3)),SUMIFS(INDIRECT("Data_main"&amp;"["&amp;BE$8&amp;"]"),Data_main[Data],$A75, Data_main[Segment],$B75, Data_main[Scenario],$B$3)),SUMIFS(INDIRECT("Data_main"&amp;"["&amp;BE$8&amp;"]"),Data_main[Data],$A75, Data_main[Segment],$B75, Data_main[Scenario],$B$3))</f>
        <v>0</v>
      </c>
      <c r="BF75" s="531">
        <f ca="1">IF($B$6="ON", IF(BF74&gt;=covid_start, IF(BF74&lt;covid_recovery,NA(),SUMIFS(INDIRECT("Data_main"&amp;"["&amp;BF$8&amp;"]"),Data_main[Data],$A75, Data_main[Segment],$B75, Data_main[Scenario],$B$3)),SUMIFS(INDIRECT("Data_main"&amp;"["&amp;BF$8&amp;"]"),Data_main[Data],$A75, Data_main[Segment],$B75, Data_main[Scenario],$B$3)),SUMIFS(INDIRECT("Data_main"&amp;"["&amp;BF$8&amp;"]"),Data_main[Data],$A75, Data_main[Segment],$B75, Data_main[Scenario],$B$3))</f>
        <v>0</v>
      </c>
      <c r="BG75" s="531">
        <f ca="1">IF($B$6="ON", IF(BG74&gt;=covid_start, IF(BG74&lt;covid_recovery,NA(),SUMIFS(INDIRECT("Data_main"&amp;"["&amp;BG$8&amp;"]"),Data_main[Data],$A75, Data_main[Segment],$B75, Data_main[Scenario],$B$3)),SUMIFS(INDIRECT("Data_main"&amp;"["&amp;BG$8&amp;"]"),Data_main[Data],$A75, Data_main[Segment],$B75, Data_main[Scenario],$B$3)),SUMIFS(INDIRECT("Data_main"&amp;"["&amp;BG$8&amp;"]"),Data_main[Data],$A75, Data_main[Segment],$B75, Data_main[Scenario],$B$3))</f>
        <v>0</v>
      </c>
      <c r="BH75" s="531">
        <f ca="1">IF($B$6="ON", IF(BH74&gt;=covid_start, IF(BH74&lt;covid_recovery,NA(),SUMIFS(INDIRECT("Data_main"&amp;"["&amp;BH$8&amp;"]"),Data_main[Data],$A75, Data_main[Segment],$B75, Data_main[Scenario],$B$3)),SUMIFS(INDIRECT("Data_main"&amp;"["&amp;BH$8&amp;"]"),Data_main[Data],$A75, Data_main[Segment],$B75, Data_main[Scenario],$B$3)),SUMIFS(INDIRECT("Data_main"&amp;"["&amp;BH$8&amp;"]"),Data_main[Data],$A75, Data_main[Segment],$B75, Data_main[Scenario],$B$3))</f>
        <v>0</v>
      </c>
      <c r="BI75" s="531">
        <f ca="1">IF($B$6="ON", IF(BI74&gt;=covid_start, IF(BI74&lt;covid_recovery,NA(),SUMIFS(INDIRECT("Data_main"&amp;"["&amp;BI$8&amp;"]"),Data_main[Data],$A75, Data_main[Segment],$B75, Data_main[Scenario],$B$3)),SUMIFS(INDIRECT("Data_main"&amp;"["&amp;BI$8&amp;"]"),Data_main[Data],$A75, Data_main[Segment],$B75, Data_main[Scenario],$B$3)),SUMIFS(INDIRECT("Data_main"&amp;"["&amp;BI$8&amp;"]"),Data_main[Data],$A75, Data_main[Segment],$B75, Data_main[Scenario],$B$3))</f>
        <v>0</v>
      </c>
      <c r="BJ75" s="531">
        <f ca="1">IF($B$6="ON", IF(BJ74&gt;=covid_start, IF(BJ74&lt;covid_recovery,NA(),SUMIFS(INDIRECT("Data_main"&amp;"["&amp;BJ$8&amp;"]"),Data_main[Data],$A75, Data_main[Segment],$B75, Data_main[Scenario],$B$3)),SUMIFS(INDIRECT("Data_main"&amp;"["&amp;BJ$8&amp;"]"),Data_main[Data],$A75, Data_main[Segment],$B75, Data_main[Scenario],$B$3)),SUMIFS(INDIRECT("Data_main"&amp;"["&amp;BJ$8&amp;"]"),Data_main[Data],$A75, Data_main[Segment],$B75, Data_main[Scenario],$B$3))</f>
        <v>0</v>
      </c>
      <c r="BK75" s="531">
        <f ca="1">IF($B$6="ON", IF(BK74&gt;=covid_start, IF(BK74&lt;covid_recovery,NA(),SUMIFS(INDIRECT("Data_main"&amp;"["&amp;BK$8&amp;"]"),Data_main[Data],$A75, Data_main[Segment],$B75, Data_main[Scenario],$B$3)),SUMIFS(INDIRECT("Data_main"&amp;"["&amp;BK$8&amp;"]"),Data_main[Data],$A75, Data_main[Segment],$B75, Data_main[Scenario],$B$3)),SUMIFS(INDIRECT("Data_main"&amp;"["&amp;BK$8&amp;"]"),Data_main[Data],$A75, Data_main[Segment],$B75, Data_main[Scenario],$B$3))</f>
        <v>0</v>
      </c>
      <c r="BL75" s="531">
        <f ca="1">IF($B$6="ON", IF(BL74&gt;=covid_start, IF(BL74&lt;covid_recovery,NA(),SUMIFS(INDIRECT("Data_main"&amp;"["&amp;BL$8&amp;"]"),Data_main[Data],$A75, Data_main[Segment],$B75, Data_main[Scenario],$B$3)),SUMIFS(INDIRECT("Data_main"&amp;"["&amp;BL$8&amp;"]"),Data_main[Data],$A75, Data_main[Segment],$B75, Data_main[Scenario],$B$3)),SUMIFS(INDIRECT("Data_main"&amp;"["&amp;BL$8&amp;"]"),Data_main[Data],$A75, Data_main[Segment],$B75, Data_main[Scenario],$B$3))</f>
        <v>0</v>
      </c>
      <c r="BM75" s="531">
        <f ca="1">IF($B$6="ON", IF(BM74&gt;=covid_start, IF(BM74&lt;covid_recovery,NA(),SUMIFS(INDIRECT("Data_main"&amp;"["&amp;BM$8&amp;"]"),Data_main[Data],$A75, Data_main[Segment],$B75, Data_main[Scenario],$B$3)),SUMIFS(INDIRECT("Data_main"&amp;"["&amp;BM$8&amp;"]"),Data_main[Data],$A75, Data_main[Segment],$B75, Data_main[Scenario],$B$3)),SUMIFS(INDIRECT("Data_main"&amp;"["&amp;BM$8&amp;"]"),Data_main[Data],$A75, Data_main[Segment],$B75, Data_main[Scenario],$B$3))</f>
        <v>0</v>
      </c>
      <c r="BN75" s="531">
        <f ca="1">IF($B$6="ON", IF(BN74&gt;=covid_start, IF(BN74&lt;covid_recovery,NA(),SUMIFS(INDIRECT("Data_main"&amp;"["&amp;BN$8&amp;"]"),Data_main[Data],$A75, Data_main[Segment],$B75, Data_main[Scenario],$B$3)),SUMIFS(INDIRECT("Data_main"&amp;"["&amp;BN$8&amp;"]"),Data_main[Data],$A75, Data_main[Segment],$B75, Data_main[Scenario],$B$3)),SUMIFS(INDIRECT("Data_main"&amp;"["&amp;BN$8&amp;"]"),Data_main[Data],$A75, Data_main[Segment],$B75, Data_main[Scenario],$B$3))</f>
        <v>0</v>
      </c>
      <c r="BO75" s="531">
        <f ca="1">IF($B$6="ON", IF(BO74&gt;=covid_start, IF(BO74&lt;covid_recovery,NA(),SUMIFS(INDIRECT("Data_main"&amp;"["&amp;BO$8&amp;"]"),Data_main[Data],$A75, Data_main[Segment],$B75, Data_main[Scenario],$B$3)),SUMIFS(INDIRECT("Data_main"&amp;"["&amp;BO$8&amp;"]"),Data_main[Data],$A75, Data_main[Segment],$B75, Data_main[Scenario],$B$3)),SUMIFS(INDIRECT("Data_main"&amp;"["&amp;BO$8&amp;"]"),Data_main[Data],$A75, Data_main[Segment],$B75, Data_main[Scenario],$B$3))</f>
        <v>0</v>
      </c>
      <c r="BP75" s="531">
        <f ca="1">IF($B$6="ON", IF(BP74&gt;=covid_start, IF(BP74&lt;covid_recovery,NA(),SUMIFS(INDIRECT("Data_main"&amp;"["&amp;BP$8&amp;"]"),Data_main[Data],$A75, Data_main[Segment],$B75, Data_main[Scenario],$B$3)),SUMIFS(INDIRECT("Data_main"&amp;"["&amp;BP$8&amp;"]"),Data_main[Data],$A75, Data_main[Segment],$B75, Data_main[Scenario],$B$3)),SUMIFS(INDIRECT("Data_main"&amp;"["&amp;BP$8&amp;"]"),Data_main[Data],$A75, Data_main[Segment],$B75, Data_main[Scenario],$B$3))</f>
        <v>0</v>
      </c>
      <c r="BQ75" s="531">
        <f ca="1">IF($B$6="ON", IF(BQ74&gt;=covid_start, IF(BQ74&lt;covid_recovery,NA(),SUMIFS(INDIRECT("Data_main"&amp;"["&amp;BQ$8&amp;"]"),Data_main[Data],$A75, Data_main[Segment],$B75, Data_main[Scenario],$B$3)),SUMIFS(INDIRECT("Data_main"&amp;"["&amp;BQ$8&amp;"]"),Data_main[Data],$A75, Data_main[Segment],$B75, Data_main[Scenario],$B$3)),SUMIFS(INDIRECT("Data_main"&amp;"["&amp;BQ$8&amp;"]"),Data_main[Data],$A75, Data_main[Segment],$B75, Data_main[Scenario],$B$3))</f>
        <v>0</v>
      </c>
      <c r="BR75" s="531">
        <f ca="1">IF($B$6="ON", IF(BR74&gt;=covid_start, IF(BR74&lt;covid_recovery,NA(),SUMIFS(INDIRECT("Data_main"&amp;"["&amp;BR$8&amp;"]"),Data_main[Data],$A75, Data_main[Segment],$B75, Data_main[Scenario],$B$3)),SUMIFS(INDIRECT("Data_main"&amp;"["&amp;BR$8&amp;"]"),Data_main[Data],$A75, Data_main[Segment],$B75, Data_main[Scenario],$B$3)),SUMIFS(INDIRECT("Data_main"&amp;"["&amp;BR$8&amp;"]"),Data_main[Data],$A75, Data_main[Segment],$B75, Data_main[Scenario],$B$3))</f>
        <v>0</v>
      </c>
      <c r="BS75" s="531">
        <f ca="1">IF($B$6="ON", IF(BS74&gt;=covid_start, IF(BS74&lt;covid_recovery,NA(),SUMIFS(INDIRECT("Data_main"&amp;"["&amp;BS$8&amp;"]"),Data_main[Data],$A75, Data_main[Segment],$B75, Data_main[Scenario],$B$3)),SUMIFS(INDIRECT("Data_main"&amp;"["&amp;BS$8&amp;"]"),Data_main[Data],$A75, Data_main[Segment],$B75, Data_main[Scenario],$B$3)),SUMIFS(INDIRECT("Data_main"&amp;"["&amp;BS$8&amp;"]"),Data_main[Data],$A75, Data_main[Segment],$B75, Data_main[Scenario],$B$3))</f>
        <v>0</v>
      </c>
      <c r="BT75" s="531">
        <f ca="1">IF($B$6="ON", IF(BT74&gt;=covid_start, IF(BT74&lt;covid_recovery,NA(),SUMIFS(INDIRECT("Data_main"&amp;"["&amp;BT$8&amp;"]"),Data_main[Data],$A75, Data_main[Segment],$B75, Data_main[Scenario],$B$3)),SUMIFS(INDIRECT("Data_main"&amp;"["&amp;BT$8&amp;"]"),Data_main[Data],$A75, Data_main[Segment],$B75, Data_main[Scenario],$B$3)),SUMIFS(INDIRECT("Data_main"&amp;"["&amp;BT$8&amp;"]"),Data_main[Data],$A75, Data_main[Segment],$B75, Data_main[Scenario],$B$3))</f>
        <v>0</v>
      </c>
      <c r="BU75" s="531">
        <f ca="1">IF($B$6="ON", IF(BU74&gt;=covid_start, IF(BU74&lt;covid_recovery,NA(),SUMIFS(INDIRECT("Data_main"&amp;"["&amp;BU$8&amp;"]"),Data_main[Data],$A75, Data_main[Segment],$B75, Data_main[Scenario],$B$3)),SUMIFS(INDIRECT("Data_main"&amp;"["&amp;BU$8&amp;"]"),Data_main[Data],$A75, Data_main[Segment],$B75, Data_main[Scenario],$B$3)),SUMIFS(INDIRECT("Data_main"&amp;"["&amp;BU$8&amp;"]"),Data_main[Data],$A75, Data_main[Segment],$B75, Data_main[Scenario],$B$3))</f>
        <v>0</v>
      </c>
      <c r="BV75" s="531">
        <f ca="1">IF($B$6="ON", IF(BV74&gt;=covid_start, IF(BV74&lt;covid_recovery,NA(),SUMIFS(INDIRECT("Data_main"&amp;"["&amp;BV$8&amp;"]"),Data_main[Data],$A75, Data_main[Segment],$B75, Data_main[Scenario],$B$3)),SUMIFS(INDIRECT("Data_main"&amp;"["&amp;BV$8&amp;"]"),Data_main[Data],$A75, Data_main[Segment],$B75, Data_main[Scenario],$B$3)),SUMIFS(INDIRECT("Data_main"&amp;"["&amp;BV$8&amp;"]"),Data_main[Data],$A75, Data_main[Segment],$B75, Data_main[Scenario],$B$3))</f>
        <v>0</v>
      </c>
      <c r="BW75" s="531">
        <f ca="1">IF($B$6="ON", IF(BW74&gt;=covid_start, IF(BW74&lt;covid_recovery,NA(),SUMIFS(INDIRECT("Data_main"&amp;"["&amp;BW$8&amp;"]"),Data_main[Data],$A75, Data_main[Segment],$B75, Data_main[Scenario],$B$3)),SUMIFS(INDIRECT("Data_main"&amp;"["&amp;BW$8&amp;"]"),Data_main[Data],$A75, Data_main[Segment],$B75, Data_main[Scenario],$B$3)),SUMIFS(INDIRECT("Data_main"&amp;"["&amp;BW$8&amp;"]"),Data_main[Data],$A75, Data_main[Segment],$B75, Data_main[Scenario],$B$3))</f>
        <v>0</v>
      </c>
      <c r="BX75" s="531">
        <f ca="1">IF($B$6="ON", IF(BX74&gt;=covid_start, IF(BX74&lt;covid_recovery,NA(),SUMIFS(INDIRECT("Data_main"&amp;"["&amp;BX$8&amp;"]"),Data_main[Data],$A75, Data_main[Segment],$B75, Data_main[Scenario],$B$3)),SUMIFS(INDIRECT("Data_main"&amp;"["&amp;BX$8&amp;"]"),Data_main[Data],$A75, Data_main[Segment],$B75, Data_main[Scenario],$B$3)),SUMIFS(INDIRECT("Data_main"&amp;"["&amp;BX$8&amp;"]"),Data_main[Data],$A75, Data_main[Segment],$B75, Data_main[Scenario],$B$3))</f>
        <v>0</v>
      </c>
      <c r="BY75" s="531">
        <f ca="1">IF($B$6="ON", IF(BY74&gt;=covid_start, IF(BY74&lt;covid_recovery,NA(),SUMIFS(INDIRECT("Data_main"&amp;"["&amp;BY$8&amp;"]"),Data_main[Data],$A75, Data_main[Segment],$B75, Data_main[Scenario],$B$3)),SUMIFS(INDIRECT("Data_main"&amp;"["&amp;BY$8&amp;"]"),Data_main[Data],$A75, Data_main[Segment],$B75, Data_main[Scenario],$B$3)),SUMIFS(INDIRECT("Data_main"&amp;"["&amp;BY$8&amp;"]"),Data_main[Data],$A75, Data_main[Segment],$B75, Data_main[Scenario],$B$3))</f>
        <v>0</v>
      </c>
      <c r="BZ75" s="531">
        <f ca="1">IF($B$6="ON", IF(BZ74&gt;=covid_start, IF(BZ74&lt;covid_recovery,NA(),SUMIFS(INDIRECT("Data_main"&amp;"["&amp;BZ$8&amp;"]"),Data_main[Data],$A75, Data_main[Segment],$B75, Data_main[Scenario],$B$3)),SUMIFS(INDIRECT("Data_main"&amp;"["&amp;BZ$8&amp;"]"),Data_main[Data],$A75, Data_main[Segment],$B75, Data_main[Scenario],$B$3)),SUMIFS(INDIRECT("Data_main"&amp;"["&amp;BZ$8&amp;"]"),Data_main[Data],$A75, Data_main[Segment],$B75, Data_main[Scenario],$B$3))</f>
        <v>0</v>
      </c>
      <c r="CA75" s="531">
        <f ca="1">IF($B$6="ON", IF(CA74&gt;=covid_start, IF(CA74&lt;covid_recovery,NA(),SUMIFS(INDIRECT("Data_main"&amp;"["&amp;CA$8&amp;"]"),Data_main[Data],$A75, Data_main[Segment],$B75, Data_main[Scenario],$B$3)),SUMIFS(INDIRECT("Data_main"&amp;"["&amp;CA$8&amp;"]"),Data_main[Data],$A75, Data_main[Segment],$B75, Data_main[Scenario],$B$3)),SUMIFS(INDIRECT("Data_main"&amp;"["&amp;CA$8&amp;"]"),Data_main[Data],$A75, Data_main[Segment],$B75, Data_main[Scenario],$B$3))</f>
        <v>0</v>
      </c>
      <c r="CB75" s="531">
        <f ca="1">IF($B$6="ON", IF(CB74&gt;=covid_start, IF(CB74&lt;covid_recovery,NA(),SUMIFS(INDIRECT("Data_main"&amp;"["&amp;CB$8&amp;"]"),Data_main[Data],$A75, Data_main[Segment],$B75, Data_main[Scenario],$B$3)),SUMIFS(INDIRECT("Data_main"&amp;"["&amp;CB$8&amp;"]"),Data_main[Data],$A75, Data_main[Segment],$B75, Data_main[Scenario],$B$3)),SUMIFS(INDIRECT("Data_main"&amp;"["&amp;CB$8&amp;"]"),Data_main[Data],$A75, Data_main[Segment],$B75, Data_main[Scenario],$B$3))</f>
        <v>0</v>
      </c>
      <c r="CC75" s="531">
        <f ca="1">IF($B$6="ON", IF(CC74&gt;=covid_start, IF(CC74&lt;covid_recovery,NA(),SUMIFS(INDIRECT("Data_main"&amp;"["&amp;CC$8&amp;"]"),Data_main[Data],$A75, Data_main[Segment],$B75, Data_main[Scenario],$B$3)),SUMIFS(INDIRECT("Data_main"&amp;"["&amp;CC$8&amp;"]"),Data_main[Data],$A75, Data_main[Segment],$B75, Data_main[Scenario],$B$3)),SUMIFS(INDIRECT("Data_main"&amp;"["&amp;CC$8&amp;"]"),Data_main[Data],$A75, Data_main[Segment],$B75, Data_main[Scenario],$B$3))</f>
        <v>0</v>
      </c>
      <c r="CD75" s="531">
        <f ca="1">IF($B$6="ON", IF(CD74&gt;=covid_start, IF(CD74&lt;covid_recovery,NA(),SUMIFS(INDIRECT("Data_main"&amp;"["&amp;CD$8&amp;"]"),Data_main[Data],$A75, Data_main[Segment],$B75, Data_main[Scenario],$B$3)),SUMIFS(INDIRECT("Data_main"&amp;"["&amp;CD$8&amp;"]"),Data_main[Data],$A75, Data_main[Segment],$B75, Data_main[Scenario],$B$3)),SUMIFS(INDIRECT("Data_main"&amp;"["&amp;CD$8&amp;"]"),Data_main[Data],$A75, Data_main[Segment],$B75, Data_main[Scenario],$B$3))</f>
        <v>0</v>
      </c>
      <c r="CE75" s="531">
        <f ca="1">IF($B$6="ON", IF(CE74&gt;=covid_start, IF(CE74&lt;covid_recovery,NA(),SUMIFS(INDIRECT("Data_main"&amp;"["&amp;CE$8&amp;"]"),Data_main[Data],$A75, Data_main[Segment],$B75, Data_main[Scenario],$B$3)),SUMIFS(INDIRECT("Data_main"&amp;"["&amp;CE$8&amp;"]"),Data_main[Data],$A75, Data_main[Segment],$B75, Data_main[Scenario],$B$3)),SUMIFS(INDIRECT("Data_main"&amp;"["&amp;CE$8&amp;"]"),Data_main[Data],$A75, Data_main[Segment],$B75, Data_main[Scenario],$B$3))</f>
        <v>0</v>
      </c>
      <c r="CF75" s="531">
        <f ca="1">IF($B$6="ON", IF(CF74&gt;=covid_start, IF(CF74&lt;covid_recovery,NA(),SUMIFS(INDIRECT("Data_main"&amp;"["&amp;CF$8&amp;"]"),Data_main[Data],$A75, Data_main[Segment],$B75, Data_main[Scenario],$B$3)),SUMIFS(INDIRECT("Data_main"&amp;"["&amp;CF$8&amp;"]"),Data_main[Data],$A75, Data_main[Segment],$B75, Data_main[Scenario],$B$3)),SUMIFS(INDIRECT("Data_main"&amp;"["&amp;CF$8&amp;"]"),Data_main[Data],$A75, Data_main[Segment],$B75, Data_main[Scenario],$B$3))</f>
        <v>0</v>
      </c>
      <c r="CG75" s="531">
        <f ca="1">IF($B$6="ON", IF(CG74&gt;=covid_start, IF(CG74&lt;covid_recovery,NA(),SUMIFS(INDIRECT("Data_main"&amp;"["&amp;CG$8&amp;"]"),Data_main[Data],$A75, Data_main[Segment],$B75, Data_main[Scenario],$B$3)),SUMIFS(INDIRECT("Data_main"&amp;"["&amp;CG$8&amp;"]"),Data_main[Data],$A75, Data_main[Segment],$B75, Data_main[Scenario],$B$3)),SUMIFS(INDIRECT("Data_main"&amp;"["&amp;CG$8&amp;"]"),Data_main[Data],$A75, Data_main[Segment],$B75, Data_main[Scenario],$B$3))</f>
        <v>0</v>
      </c>
      <c r="CH75" s="531">
        <f ca="1">IF($B$6="ON", IF(CH74&gt;=covid_start, IF(CH74&lt;covid_recovery,NA(),SUMIFS(INDIRECT("Data_main"&amp;"["&amp;CH$8&amp;"]"),Data_main[Data],$A75, Data_main[Segment],$B75, Data_main[Scenario],$B$3)),SUMIFS(INDIRECT("Data_main"&amp;"["&amp;CH$8&amp;"]"),Data_main[Data],$A75, Data_main[Segment],$B75, Data_main[Scenario],$B$3)),SUMIFS(INDIRECT("Data_main"&amp;"["&amp;CH$8&amp;"]"),Data_main[Data],$A75, Data_main[Segment],$B75, Data_main[Scenario],$B$3))</f>
        <v>0</v>
      </c>
      <c r="CI75" s="531">
        <f ca="1">IF($B$6="ON", IF(CI74&gt;=covid_start, IF(CI74&lt;covid_recovery,NA(),SUMIFS(INDIRECT("Data_main"&amp;"["&amp;CI$8&amp;"]"),Data_main[Data],$A75, Data_main[Segment],$B75, Data_main[Scenario],$B$3)),SUMIFS(INDIRECT("Data_main"&amp;"["&amp;CI$8&amp;"]"),Data_main[Data],$A75, Data_main[Segment],$B75, Data_main[Scenario],$B$3)),SUMIFS(INDIRECT("Data_main"&amp;"["&amp;CI$8&amp;"]"),Data_main[Data],$A75, Data_main[Segment],$B75, Data_main[Scenario],$B$3))</f>
        <v>0</v>
      </c>
      <c r="CJ75" s="531">
        <f ca="1">IF($B$6="ON", IF(CJ74&gt;=covid_start, IF(CJ74&lt;covid_recovery,NA(),SUMIFS(INDIRECT("Data_main"&amp;"["&amp;CJ$8&amp;"]"),Data_main[Data],$A75, Data_main[Segment],$B75, Data_main[Scenario],$B$3)),SUMIFS(INDIRECT("Data_main"&amp;"["&amp;CJ$8&amp;"]"),Data_main[Data],$A75, Data_main[Segment],$B75, Data_main[Scenario],$B$3)),SUMIFS(INDIRECT("Data_main"&amp;"["&amp;CJ$8&amp;"]"),Data_main[Data],$A75, Data_main[Segment],$B75, Data_main[Scenario],$B$3))</f>
        <v>0</v>
      </c>
      <c r="CK75" s="531">
        <f ca="1">IF($B$6="ON", IF(CK74&gt;=covid_start, IF(CK74&lt;covid_recovery,NA(),SUMIFS(INDIRECT("Data_main"&amp;"["&amp;CK$8&amp;"]"),Data_main[Data],$A75, Data_main[Segment],$B75, Data_main[Scenario],$B$3)),SUMIFS(INDIRECT("Data_main"&amp;"["&amp;CK$8&amp;"]"),Data_main[Data],$A75, Data_main[Segment],$B75, Data_main[Scenario],$B$3)),SUMIFS(INDIRECT("Data_main"&amp;"["&amp;CK$8&amp;"]"),Data_main[Data],$A75, Data_main[Segment],$B75, Data_main[Scenario],$B$3))</f>
        <v>0</v>
      </c>
      <c r="CL75" s="531">
        <f ca="1">IF($B$6="ON", IF(CL74&gt;=covid_start, IF(CL74&lt;covid_recovery,NA(),SUMIFS(INDIRECT("Data_main"&amp;"["&amp;CL$8&amp;"]"),Data_main[Data],$A75, Data_main[Segment],$B75, Data_main[Scenario],$B$3)),SUMIFS(INDIRECT("Data_main"&amp;"["&amp;CL$8&amp;"]"),Data_main[Data],$A75, Data_main[Segment],$B75, Data_main[Scenario],$B$3)),SUMIFS(INDIRECT("Data_main"&amp;"["&amp;CL$8&amp;"]"),Data_main[Data],$A75, Data_main[Segment],$B75, Data_main[Scenario],$B$3))</f>
        <v>0</v>
      </c>
      <c r="CN75" s="613">
        <f ca="1">IFERROR((Y75/H75)^(1/17)-1,"")</f>
        <v>-4.3894973452968111E-3</v>
      </c>
      <c r="CO75" s="613">
        <f ca="1">IFERROR((AN75/Y75)^(1/15)-1,"")</f>
        <v>-6.9993037866263874E-3</v>
      </c>
      <c r="CP75" s="613">
        <f ca="1">IFERROR((AN75/H75)^(1/32)-1,"")</f>
        <v>-5.6136970556908139E-3</v>
      </c>
    </row>
    <row r="76" spans="1:94" outlineLevel="1">
      <c r="A76" s="532" t="s">
        <v>157</v>
      </c>
      <c r="B76" s="532" t="str">
        <f t="shared" ref="B76:B77" si="209">$A$74</f>
        <v>Pax-long</v>
      </c>
      <c r="C76" s="533" t="s">
        <v>353</v>
      </c>
      <c r="D76" s="530"/>
      <c r="E76" s="531">
        <f ca="1">IF($B$6="ON", IF(E74&gt;=covid_start, IF(E74&lt;covid_recovery,NA(),SUMIFS(INDIRECT("Data_main"&amp;"["&amp;E$8&amp;"]"),Data_main[Data],$A76, Data_main[Segment],$B76, Data_main[Scenario],$B$3)),SUMIFS(INDIRECT("Data_main"&amp;"["&amp;E$8&amp;"]"),Data_main[Data],$A76, Data_main[Segment],$B76, Data_main[Scenario],$B$3)),SUMIFS(INDIRECT("Data_main"&amp;"["&amp;E$8&amp;"]"),Data_main[Data],$A76, Data_main[Segment],$B76, Data_main[Scenario],$B$3))</f>
        <v>494.96320380295487</v>
      </c>
      <c r="F76" s="531">
        <f ca="1">IF($B$6="ON", IF(F74&gt;=covid_start, IF(F74&lt;covid_recovery,NA(),SUMIFS(INDIRECT("Data_main"&amp;"["&amp;F$8&amp;"]"),Data_main[Data],$A76, Data_main[Segment],$B76, Data_main[Scenario],$B$3)),SUMIFS(INDIRECT("Data_main"&amp;"["&amp;F$8&amp;"]"),Data_main[Data],$A76, Data_main[Segment],$B76, Data_main[Scenario],$B$3)),SUMIFS(INDIRECT("Data_main"&amp;"["&amp;F$8&amp;"]"),Data_main[Data],$A76, Data_main[Segment],$B76, Data_main[Scenario],$B$3))</f>
        <v>530.91844618743505</v>
      </c>
      <c r="G76" s="531">
        <f ca="1">IF($B$6="ON", IF(G74&gt;=covid_start, IF(G74&lt;covid_recovery,NA(),SUMIFS(INDIRECT("Data_main"&amp;"["&amp;G$8&amp;"]"),Data_main[Data],$A76, Data_main[Segment],$B76, Data_main[Scenario],$B$3)),SUMIFS(INDIRECT("Data_main"&amp;"["&amp;G$8&amp;"]"),Data_main[Data],$A76, Data_main[Segment],$B76, Data_main[Scenario],$B$3)),SUMIFS(INDIRECT("Data_main"&amp;"["&amp;G$8&amp;"]"),Data_main[Data],$A76, Data_main[Segment],$B76, Data_main[Scenario],$B$3))</f>
        <v>566.87368857191518</v>
      </c>
      <c r="H76" s="531">
        <f ca="1">IF($B$6="ON", IF(H74&gt;=covid_start, IF(H74&lt;covid_recovery,NA(),SUMIFS(INDIRECT("Data_main"&amp;"["&amp;H$8&amp;"]"),Data_main[Data],$A76, Data_main[Segment],$B76, Data_main[Scenario],$B$3)),SUMIFS(INDIRECT("Data_main"&amp;"["&amp;H$8&amp;"]"),Data_main[Data],$A76, Data_main[Segment],$B76, Data_main[Scenario],$B$3)),SUMIFS(INDIRECT("Data_main"&amp;"["&amp;H$8&amp;"]"),Data_main[Data],$A76, Data_main[Segment],$B76, Data_main[Scenario],$B$3))</f>
        <v>602.8289309563952</v>
      </c>
      <c r="I76" s="531">
        <f ca="1">IF($B$6="ON", IF(I74&gt;=covid_start, IF(I74&lt;covid_recovery,NA(),SUMIFS(INDIRECT("Data_main"&amp;"["&amp;I$8&amp;"]"),Data_main[Data],$A76, Data_main[Segment],$B76, Data_main[Scenario],$B$3)),SUMIFS(INDIRECT("Data_main"&amp;"["&amp;I$8&amp;"]"),Data_main[Data],$A76, Data_main[Segment],$B76, Data_main[Scenario],$B$3)),SUMIFS(INDIRECT("Data_main"&amp;"["&amp;I$8&amp;"]"),Data_main[Data],$A76, Data_main[Segment],$B76, Data_main[Scenario],$B$3))</f>
        <v>630.62713848133626</v>
      </c>
      <c r="J76" s="531" t="e">
        <f ca="1">IF($B$6="ON", IF(J74&gt;=covid_start, IF(J74&lt;covid_recovery,NA(),SUMIFS(INDIRECT("Data_main"&amp;"["&amp;J$8&amp;"]"),Data_main[Data],$A76, Data_main[Segment],$B76, Data_main[Scenario],$B$3)),SUMIFS(INDIRECT("Data_main"&amp;"["&amp;J$8&amp;"]"),Data_main[Data],$A76, Data_main[Segment],$B76, Data_main[Scenario],$B$3)),SUMIFS(INDIRECT("Data_main"&amp;"["&amp;J$8&amp;"]"),Data_main[Data],$A76, Data_main[Segment],$B76, Data_main[Scenario],$B$3))</f>
        <v>#N/A</v>
      </c>
      <c r="K76" s="531" t="e">
        <f ca="1">IF($B$6="ON", IF(K74&gt;=covid_start, IF(K74&lt;covid_recovery,NA(),SUMIFS(INDIRECT("Data_main"&amp;"["&amp;K$8&amp;"]"),Data_main[Data],$A76, Data_main[Segment],$B76, Data_main[Scenario],$B$3)),SUMIFS(INDIRECT("Data_main"&amp;"["&amp;K$8&amp;"]"),Data_main[Data],$A76, Data_main[Segment],$B76, Data_main[Scenario],$B$3)),SUMIFS(INDIRECT("Data_main"&amp;"["&amp;K$8&amp;"]"),Data_main[Data],$A76, Data_main[Segment],$B76, Data_main[Scenario],$B$3))</f>
        <v>#N/A</v>
      </c>
      <c r="L76" s="531" t="e">
        <f ca="1">IF($B$6="ON", IF(L74&gt;=covid_start, IF(L74&lt;covid_recovery,NA(),SUMIFS(INDIRECT("Data_main"&amp;"["&amp;L$8&amp;"]"),Data_main[Data],$A76, Data_main[Segment],$B76, Data_main[Scenario],$B$3)),SUMIFS(INDIRECT("Data_main"&amp;"["&amp;L$8&amp;"]"),Data_main[Data],$A76, Data_main[Segment],$B76, Data_main[Scenario],$B$3)),SUMIFS(INDIRECT("Data_main"&amp;"["&amp;L$8&amp;"]"),Data_main[Data],$A76, Data_main[Segment],$B76, Data_main[Scenario],$B$3))</f>
        <v>#N/A</v>
      </c>
      <c r="M76" s="531">
        <f ca="1">IF($B$6="ON", IF(M74&gt;=covid_start, IF(M74&lt;covid_recovery,NA(),SUMIFS(INDIRECT("Data_main"&amp;"["&amp;M$8&amp;"]"),Data_main[Data],$A76, Data_main[Segment],$B76, Data_main[Scenario],$B$3)),SUMIFS(INDIRECT("Data_main"&amp;"["&amp;M$8&amp;"]"),Data_main[Data],$A76, Data_main[Segment],$B76, Data_main[Scenario],$B$3)),SUMIFS(INDIRECT("Data_main"&amp;"["&amp;M$8&amp;"]"),Data_main[Data],$A76, Data_main[Segment],$B76, Data_main[Scenario],$B$3))</f>
        <v>712.60592266940046</v>
      </c>
      <c r="N76" s="531">
        <f ca="1">IF($B$6="ON", IF(N74&gt;=covid_start, IF(N74&lt;covid_recovery,NA(),SUMIFS(INDIRECT("Data_main"&amp;"["&amp;N$8&amp;"]"),Data_main[Data],$A76, Data_main[Segment],$B76, Data_main[Scenario],$B$3)),SUMIFS(INDIRECT("Data_main"&amp;"["&amp;N$8&amp;"]"),Data_main[Data],$A76, Data_main[Segment],$B76, Data_main[Scenario],$B$3)),SUMIFS(INDIRECT("Data_main"&amp;"["&amp;N$8&amp;"]"),Data_main[Data],$A76, Data_main[Segment],$B76, Data_main[Scenario],$B$3))</f>
        <v>733.10061871641653</v>
      </c>
      <c r="O76" s="531">
        <f ca="1">IF($B$6="ON", IF(O74&gt;=covid_start, IF(O74&lt;covid_recovery,NA(),SUMIFS(INDIRECT("Data_main"&amp;"["&amp;O$8&amp;"]"),Data_main[Data],$A76, Data_main[Segment],$B76, Data_main[Scenario],$B$3)),SUMIFS(INDIRECT("Data_main"&amp;"["&amp;O$8&amp;"]"),Data_main[Data],$A76, Data_main[Segment],$B76, Data_main[Scenario],$B$3)),SUMIFS(INDIRECT("Data_main"&amp;"["&amp;O$8&amp;"]"),Data_main[Data],$A76, Data_main[Segment],$B76, Data_main[Scenario],$B$3))</f>
        <v>753.5953147634325</v>
      </c>
      <c r="P76" s="531">
        <f ca="1">IF($B$6="ON", IF(P74&gt;=covid_start, IF(P74&lt;covid_recovery,NA(),SUMIFS(INDIRECT("Data_main"&amp;"["&amp;P$8&amp;"]"),Data_main[Data],$A76, Data_main[Segment],$B76, Data_main[Scenario],$B$3)),SUMIFS(INDIRECT("Data_main"&amp;"["&amp;P$8&amp;"]"),Data_main[Data],$A76, Data_main[Segment],$B76, Data_main[Scenario],$B$3)),SUMIFS(INDIRECT("Data_main"&amp;"["&amp;P$8&amp;"]"),Data_main[Data],$A76, Data_main[Segment],$B76, Data_main[Scenario],$B$3))</f>
        <v>774.09001081044858</v>
      </c>
      <c r="Q76" s="531">
        <f ca="1">IF($B$6="ON", IF(Q74&gt;=covid_start, IF(Q74&lt;covid_recovery,NA(),SUMIFS(INDIRECT("Data_main"&amp;"["&amp;Q$8&amp;"]"),Data_main[Data],$A76, Data_main[Segment],$B76, Data_main[Scenario],$B$3)),SUMIFS(INDIRECT("Data_main"&amp;"["&amp;Q$8&amp;"]"),Data_main[Data],$A76, Data_main[Segment],$B76, Data_main[Scenario],$B$3)),SUMIFS(INDIRECT("Data_main"&amp;"["&amp;Q$8&amp;"]"),Data_main[Data],$A76, Data_main[Segment],$B76, Data_main[Scenario],$B$3))</f>
        <v>794.58470685746454</v>
      </c>
      <c r="R76" s="531">
        <f ca="1">IF($B$6="ON", IF(R74&gt;=covid_start, IF(R74&lt;covid_recovery,NA(),SUMIFS(INDIRECT("Data_main"&amp;"["&amp;R$8&amp;"]"),Data_main[Data],$A76, Data_main[Segment],$B76, Data_main[Scenario],$B$3)),SUMIFS(INDIRECT("Data_main"&amp;"["&amp;R$8&amp;"]"),Data_main[Data],$A76, Data_main[Segment],$B76, Data_main[Scenario],$B$3)),SUMIFS(INDIRECT("Data_main"&amp;"["&amp;R$8&amp;"]"),Data_main[Data],$A76, Data_main[Segment],$B76, Data_main[Scenario],$B$3))</f>
        <v>815.0794029044805</v>
      </c>
      <c r="S76" s="531">
        <f ca="1">IF($B$6="ON", IF(S74&gt;=covid_start, IF(S74&lt;covid_recovery,NA(),SUMIFS(INDIRECT("Data_main"&amp;"["&amp;S$8&amp;"]"),Data_main[Data],$A76, Data_main[Segment],$B76, Data_main[Scenario],$B$3)),SUMIFS(INDIRECT("Data_main"&amp;"["&amp;S$8&amp;"]"),Data_main[Data],$A76, Data_main[Segment],$B76, Data_main[Scenario],$B$3)),SUMIFS(INDIRECT("Data_main"&amp;"["&amp;S$8&amp;"]"),Data_main[Data],$A76, Data_main[Segment],$B76, Data_main[Scenario],$B$3))</f>
        <v>835.57409895149658</v>
      </c>
      <c r="T76" s="531">
        <f ca="1">IF($B$6="ON", IF(T74&gt;=covid_start, IF(T74&lt;covid_recovery,NA(),SUMIFS(INDIRECT("Data_main"&amp;"["&amp;T$8&amp;"]"),Data_main[Data],$A76, Data_main[Segment],$B76, Data_main[Scenario],$B$3)),SUMIFS(INDIRECT("Data_main"&amp;"["&amp;T$8&amp;"]"),Data_main[Data],$A76, Data_main[Segment],$B76, Data_main[Scenario],$B$3)),SUMIFS(INDIRECT("Data_main"&amp;"["&amp;T$8&amp;"]"),Data_main[Data],$A76, Data_main[Segment],$B76, Data_main[Scenario],$B$3))</f>
        <v>856.06879499851311</v>
      </c>
      <c r="U76" s="531">
        <f ca="1">IF($B$6="ON", IF(U74&gt;=covid_start, IF(U74&lt;covid_recovery,NA(),SUMIFS(INDIRECT("Data_main"&amp;"["&amp;U$8&amp;"]"),Data_main[Data],$A76, Data_main[Segment],$B76, Data_main[Scenario],$B$3)),SUMIFS(INDIRECT("Data_main"&amp;"["&amp;U$8&amp;"]"),Data_main[Data],$A76, Data_main[Segment],$B76, Data_main[Scenario],$B$3)),SUMIFS(INDIRECT("Data_main"&amp;"["&amp;U$8&amp;"]"),Data_main[Data],$A76, Data_main[Segment],$B76, Data_main[Scenario],$B$3))</f>
        <v>882.0575134186189</v>
      </c>
      <c r="V76" s="531">
        <f ca="1">IF($B$6="ON", IF(V74&gt;=covid_start, IF(V74&lt;covid_recovery,NA(),SUMIFS(INDIRECT("Data_main"&amp;"["&amp;V$8&amp;"]"),Data_main[Data],$A76, Data_main[Segment],$B76, Data_main[Scenario],$B$3)),SUMIFS(INDIRECT("Data_main"&amp;"["&amp;V$8&amp;"]"),Data_main[Data],$A76, Data_main[Segment],$B76, Data_main[Scenario],$B$3)),SUMIFS(INDIRECT("Data_main"&amp;"["&amp;V$8&amp;"]"),Data_main[Data],$A76, Data_main[Segment],$B76, Data_main[Scenario],$B$3))</f>
        <v>908.04623183872491</v>
      </c>
      <c r="W76" s="531">
        <f ca="1">IF($B$6="ON", IF(W74&gt;=covid_start, IF(W74&lt;covid_recovery,NA(),SUMIFS(INDIRECT("Data_main"&amp;"["&amp;W$8&amp;"]"),Data_main[Data],$A76, Data_main[Segment],$B76, Data_main[Scenario],$B$3)),SUMIFS(INDIRECT("Data_main"&amp;"["&amp;W$8&amp;"]"),Data_main[Data],$A76, Data_main[Segment],$B76, Data_main[Scenario],$B$3)),SUMIFS(INDIRECT("Data_main"&amp;"["&amp;W$8&amp;"]"),Data_main[Data],$A76, Data_main[Segment],$B76, Data_main[Scenario],$B$3))</f>
        <v>934.03495025883058</v>
      </c>
      <c r="X76" s="531">
        <f ca="1">IF($B$6="ON", IF(X74&gt;=covid_start, IF(X74&lt;covid_recovery,NA(),SUMIFS(INDIRECT("Data_main"&amp;"["&amp;X$8&amp;"]"),Data_main[Data],$A76, Data_main[Segment],$B76, Data_main[Scenario],$B$3)),SUMIFS(INDIRECT("Data_main"&amp;"["&amp;X$8&amp;"]"),Data_main[Data],$A76, Data_main[Segment],$B76, Data_main[Scenario],$B$3)),SUMIFS(INDIRECT("Data_main"&amp;"["&amp;X$8&amp;"]"),Data_main[Data],$A76, Data_main[Segment],$B76, Data_main[Scenario],$B$3))</f>
        <v>960.02366867893636</v>
      </c>
      <c r="Y76" s="531">
        <f ca="1">IF($B$6="ON", IF(Y74&gt;=covid_start, IF(Y74&lt;covid_recovery,NA(),SUMIFS(INDIRECT("Data_main"&amp;"["&amp;Y$8&amp;"]"),Data_main[Data],$A76, Data_main[Segment],$B76, Data_main[Scenario],$B$3)),SUMIFS(INDIRECT("Data_main"&amp;"["&amp;Y$8&amp;"]"),Data_main[Data],$A76, Data_main[Segment],$B76, Data_main[Scenario],$B$3)),SUMIFS(INDIRECT("Data_main"&amp;"["&amp;Y$8&amp;"]"),Data_main[Data],$A76, Data_main[Segment],$B76, Data_main[Scenario],$B$3))</f>
        <v>986.01238709904237</v>
      </c>
      <c r="Z76" s="531">
        <f ca="1">IF($B$6="ON", IF(Z74&gt;=covid_start, IF(Z74&lt;covid_recovery,NA(),SUMIFS(INDIRECT("Data_main"&amp;"["&amp;Z$8&amp;"]"),Data_main[Data],$A76, Data_main[Segment],$B76, Data_main[Scenario],$B$3)),SUMIFS(INDIRECT("Data_main"&amp;"["&amp;Z$8&amp;"]"),Data_main[Data],$A76, Data_main[Segment],$B76, Data_main[Scenario],$B$3)),SUMIFS(INDIRECT("Data_main"&amp;"["&amp;Z$8&amp;"]"),Data_main[Data],$A76, Data_main[Segment],$B76, Data_main[Scenario],$B$3))</f>
        <v>1012.001105519148</v>
      </c>
      <c r="AA76" s="531">
        <f ca="1">IF($B$6="ON", IF(AA74&gt;=covid_start, IF(AA74&lt;covid_recovery,NA(),SUMIFS(INDIRECT("Data_main"&amp;"["&amp;AA$8&amp;"]"),Data_main[Data],$A76, Data_main[Segment],$B76, Data_main[Scenario],$B$3)),SUMIFS(INDIRECT("Data_main"&amp;"["&amp;AA$8&amp;"]"),Data_main[Data],$A76, Data_main[Segment],$B76, Data_main[Scenario],$B$3)),SUMIFS(INDIRECT("Data_main"&amp;"["&amp;AA$8&amp;"]"),Data_main[Data],$A76, Data_main[Segment],$B76, Data_main[Scenario],$B$3))</f>
        <v>1037.9898239392539</v>
      </c>
      <c r="AB76" s="531">
        <f ca="1">IF($B$6="ON", IF(AB74&gt;=covid_start, IF(AB74&lt;covid_recovery,NA(),SUMIFS(INDIRECT("Data_main"&amp;"["&amp;AB$8&amp;"]"),Data_main[Data],$A76, Data_main[Segment],$B76, Data_main[Scenario],$B$3)),SUMIFS(INDIRECT("Data_main"&amp;"["&amp;AB$8&amp;"]"),Data_main[Data],$A76, Data_main[Segment],$B76, Data_main[Scenario],$B$3)),SUMIFS(INDIRECT("Data_main"&amp;"["&amp;AB$8&amp;"]"),Data_main[Data],$A76, Data_main[Segment],$B76, Data_main[Scenario],$B$3))</f>
        <v>1063.9785423593598</v>
      </c>
      <c r="AC76" s="531">
        <f ca="1">IF($B$6="ON", IF(AC74&gt;=covid_start, IF(AC74&lt;covid_recovery,NA(),SUMIFS(INDIRECT("Data_main"&amp;"["&amp;AC$8&amp;"]"),Data_main[Data],$A76, Data_main[Segment],$B76, Data_main[Scenario],$B$3)),SUMIFS(INDIRECT("Data_main"&amp;"["&amp;AC$8&amp;"]"),Data_main[Data],$A76, Data_main[Segment],$B76, Data_main[Scenario],$B$3)),SUMIFS(INDIRECT("Data_main"&amp;"["&amp;AC$8&amp;"]"),Data_main[Data],$A76, Data_main[Segment],$B76, Data_main[Scenario],$B$3))</f>
        <v>1089.9672607794657</v>
      </c>
      <c r="AD76" s="531">
        <f ca="1">IF($B$6="ON", IF(AD74&gt;=covid_start, IF(AD74&lt;covid_recovery,NA(),SUMIFS(INDIRECT("Data_main"&amp;"["&amp;AD$8&amp;"]"),Data_main[Data],$A76, Data_main[Segment],$B76, Data_main[Scenario],$B$3)),SUMIFS(INDIRECT("Data_main"&amp;"["&amp;AD$8&amp;"]"),Data_main[Data],$A76, Data_main[Segment],$B76, Data_main[Scenario],$B$3)),SUMIFS(INDIRECT("Data_main"&amp;"["&amp;AD$8&amp;"]"),Data_main[Data],$A76, Data_main[Segment],$B76, Data_main[Scenario],$B$3))</f>
        <v>1115.9559791995712</v>
      </c>
      <c r="AE76" s="531">
        <f ca="1">IF($B$6="ON", IF(AE74&gt;=covid_start, IF(AE74&lt;covid_recovery,NA(),SUMIFS(INDIRECT("Data_main"&amp;"["&amp;AE$8&amp;"]"),Data_main[Data],$A76, Data_main[Segment],$B76, Data_main[Scenario],$B$3)),SUMIFS(INDIRECT("Data_main"&amp;"["&amp;AE$8&amp;"]"),Data_main[Data],$A76, Data_main[Segment],$B76, Data_main[Scenario],$B$3)),SUMIFS(INDIRECT("Data_main"&amp;"["&amp;AE$8&amp;"]"),Data_main[Data],$A76, Data_main[Segment],$B76, Data_main[Scenario],$B$3))</f>
        <v>1152.0475957968017</v>
      </c>
      <c r="AF76" s="531">
        <f ca="1">IF($B$6="ON", IF(AF74&gt;=covid_start, IF(AF74&lt;covid_recovery,NA(),SUMIFS(INDIRECT("Data_main"&amp;"["&amp;AF$8&amp;"]"),Data_main[Data],$A76, Data_main[Segment],$B76, Data_main[Scenario],$B$3)),SUMIFS(INDIRECT("Data_main"&amp;"["&amp;AF$8&amp;"]"),Data_main[Data],$A76, Data_main[Segment],$B76, Data_main[Scenario],$B$3)),SUMIFS(INDIRECT("Data_main"&amp;"["&amp;AF$8&amp;"]"),Data_main[Data],$A76, Data_main[Segment],$B76, Data_main[Scenario],$B$3))</f>
        <v>1188.1392123940325</v>
      </c>
      <c r="AG76" s="531">
        <f ca="1">IF($B$6="ON", IF(AG74&gt;=covid_start, IF(AG74&lt;covid_recovery,NA(),SUMIFS(INDIRECT("Data_main"&amp;"["&amp;AG$8&amp;"]"),Data_main[Data],$A76, Data_main[Segment],$B76, Data_main[Scenario],$B$3)),SUMIFS(INDIRECT("Data_main"&amp;"["&amp;AG$8&amp;"]"),Data_main[Data],$A76, Data_main[Segment],$B76, Data_main[Scenario],$B$3)),SUMIFS(INDIRECT("Data_main"&amp;"["&amp;AG$8&amp;"]"),Data_main[Data],$A76, Data_main[Segment],$B76, Data_main[Scenario],$B$3))</f>
        <v>1224.2308289912633</v>
      </c>
      <c r="AH76" s="531">
        <f ca="1">IF($B$6="ON", IF(AH74&gt;=covid_start, IF(AH74&lt;covid_recovery,NA(),SUMIFS(INDIRECT("Data_main"&amp;"["&amp;AH$8&amp;"]"),Data_main[Data],$A76, Data_main[Segment],$B76, Data_main[Scenario],$B$3)),SUMIFS(INDIRECT("Data_main"&amp;"["&amp;AH$8&amp;"]"),Data_main[Data],$A76, Data_main[Segment],$B76, Data_main[Scenario],$B$3)),SUMIFS(INDIRECT("Data_main"&amp;"["&amp;AH$8&amp;"]"),Data_main[Data],$A76, Data_main[Segment],$B76, Data_main[Scenario],$B$3))</f>
        <v>1260.3224455884938</v>
      </c>
      <c r="AI76" s="531">
        <f ca="1">IF($B$6="ON", IF(AI74&gt;=covid_start, IF(AI74&lt;covid_recovery,NA(),SUMIFS(INDIRECT("Data_main"&amp;"["&amp;AI$8&amp;"]"),Data_main[Data],$A76, Data_main[Segment],$B76, Data_main[Scenario],$B$3)),SUMIFS(INDIRECT("Data_main"&amp;"["&amp;AI$8&amp;"]"),Data_main[Data],$A76, Data_main[Segment],$B76, Data_main[Scenario],$B$3)),SUMIFS(INDIRECT("Data_main"&amp;"["&amp;AI$8&amp;"]"),Data_main[Data],$A76, Data_main[Segment],$B76, Data_main[Scenario],$B$3))</f>
        <v>1296.4140621857241</v>
      </c>
      <c r="AJ76" s="531">
        <f ca="1">IF($B$6="ON", IF(AJ74&gt;=covid_start, IF(AJ74&lt;covid_recovery,NA(),SUMIFS(INDIRECT("Data_main"&amp;"["&amp;AJ$8&amp;"]"),Data_main[Data],$A76, Data_main[Segment],$B76, Data_main[Scenario],$B$3)),SUMIFS(INDIRECT("Data_main"&amp;"["&amp;AJ$8&amp;"]"),Data_main[Data],$A76, Data_main[Segment],$B76, Data_main[Scenario],$B$3)),SUMIFS(INDIRECT("Data_main"&amp;"["&amp;AJ$8&amp;"]"),Data_main[Data],$A76, Data_main[Segment],$B76, Data_main[Scenario],$B$3))</f>
        <v>1332.5056787829546</v>
      </c>
      <c r="AK76" s="531">
        <f ca="1">IF($B$6="ON", IF(AK74&gt;=covid_start, IF(AK74&lt;covid_recovery,NA(),SUMIFS(INDIRECT("Data_main"&amp;"["&amp;AK$8&amp;"]"),Data_main[Data],$A76, Data_main[Segment],$B76, Data_main[Scenario],$B$3)),SUMIFS(INDIRECT("Data_main"&amp;"["&amp;AK$8&amp;"]"),Data_main[Data],$A76, Data_main[Segment],$B76, Data_main[Scenario],$B$3)),SUMIFS(INDIRECT("Data_main"&amp;"["&amp;AK$8&amp;"]"),Data_main[Data],$A76, Data_main[Segment],$B76, Data_main[Scenario],$B$3))</f>
        <v>1368.5972953801852</v>
      </c>
      <c r="AL76" s="531">
        <f ca="1">IF($B$6="ON", IF(AL74&gt;=covid_start, IF(AL74&lt;covid_recovery,NA(),SUMIFS(INDIRECT("Data_main"&amp;"["&amp;AL$8&amp;"]"),Data_main[Data],$A76, Data_main[Segment],$B76, Data_main[Scenario],$B$3)),SUMIFS(INDIRECT("Data_main"&amp;"["&amp;AL$8&amp;"]"),Data_main[Data],$A76, Data_main[Segment],$B76, Data_main[Scenario],$B$3)),SUMIFS(INDIRECT("Data_main"&amp;"["&amp;AL$8&amp;"]"),Data_main[Data],$A76, Data_main[Segment],$B76, Data_main[Scenario],$B$3))</f>
        <v>1404.6889119774155</v>
      </c>
      <c r="AM76" s="531">
        <f ca="1">IF($B$6="ON", IF(AM74&gt;=covid_start, IF(AM74&lt;covid_recovery,NA(),SUMIFS(INDIRECT("Data_main"&amp;"["&amp;AM$8&amp;"]"),Data_main[Data],$A76, Data_main[Segment],$B76, Data_main[Scenario],$B$3)),SUMIFS(INDIRECT("Data_main"&amp;"["&amp;AM$8&amp;"]"),Data_main[Data],$A76, Data_main[Segment],$B76, Data_main[Scenario],$B$3)),SUMIFS(INDIRECT("Data_main"&amp;"["&amp;AM$8&amp;"]"),Data_main[Data],$A76, Data_main[Segment],$B76, Data_main[Scenario],$B$3))</f>
        <v>1440.780528574646</v>
      </c>
      <c r="AN76" s="531">
        <f ca="1">IF($B$6="ON", IF(AN74&gt;=covid_start, IF(AN74&lt;covid_recovery,NA(),SUMIFS(INDIRECT("Data_main"&amp;"["&amp;AN$8&amp;"]"),Data_main[Data],$A76, Data_main[Segment],$B76, Data_main[Scenario],$B$3)),SUMIFS(INDIRECT("Data_main"&amp;"["&amp;AN$8&amp;"]"),Data_main[Data],$A76, Data_main[Segment],$B76, Data_main[Scenario],$B$3)),SUMIFS(INDIRECT("Data_main"&amp;"["&amp;AN$8&amp;"]"),Data_main[Data],$A76, Data_main[Segment],$B76, Data_main[Scenario],$B$3))</f>
        <v>1476.8721451718775</v>
      </c>
      <c r="AO76" s="531">
        <f ca="1">IF($B$6="ON", IF(AO74&gt;=covid_start, IF(AO74&lt;covid_recovery,NA(),SUMIFS(INDIRECT("Data_main"&amp;"["&amp;AO$8&amp;"]"),Data_main[Data],$A76, Data_main[Segment],$B76, Data_main[Scenario],$B$3)),SUMIFS(INDIRECT("Data_main"&amp;"["&amp;AO$8&amp;"]"),Data_main[Data],$A76, Data_main[Segment],$B76, Data_main[Scenario],$B$3)),SUMIFS(INDIRECT("Data_main"&amp;"["&amp;AO$8&amp;"]"),Data_main[Data],$A76, Data_main[Segment],$B76, Data_main[Scenario],$B$3))</f>
        <v>0</v>
      </c>
      <c r="AP76" s="531">
        <f ca="1">IF($B$6="ON", IF(AP74&gt;=covid_start, IF(AP74&lt;covid_recovery,NA(),SUMIFS(INDIRECT("Data_main"&amp;"["&amp;AP$8&amp;"]"),Data_main[Data],$A76, Data_main[Segment],$B76, Data_main[Scenario],$B$3)),SUMIFS(INDIRECT("Data_main"&amp;"["&amp;AP$8&amp;"]"),Data_main[Data],$A76, Data_main[Segment],$B76, Data_main[Scenario],$B$3)),SUMIFS(INDIRECT("Data_main"&amp;"["&amp;AP$8&amp;"]"),Data_main[Data],$A76, Data_main[Segment],$B76, Data_main[Scenario],$B$3))</f>
        <v>0</v>
      </c>
      <c r="AQ76" s="531">
        <f ca="1">IF($B$6="ON", IF(AQ74&gt;=covid_start, IF(AQ74&lt;covid_recovery,NA(),SUMIFS(INDIRECT("Data_main"&amp;"["&amp;AQ$8&amp;"]"),Data_main[Data],$A76, Data_main[Segment],$B76, Data_main[Scenario],$B$3)),SUMIFS(INDIRECT("Data_main"&amp;"["&amp;AQ$8&amp;"]"),Data_main[Data],$A76, Data_main[Segment],$B76, Data_main[Scenario],$B$3)),SUMIFS(INDIRECT("Data_main"&amp;"["&amp;AQ$8&amp;"]"),Data_main[Data],$A76, Data_main[Segment],$B76, Data_main[Scenario],$B$3))</f>
        <v>0</v>
      </c>
      <c r="AR76" s="531">
        <f ca="1">IF($B$6="ON", IF(AR74&gt;=covid_start, IF(AR74&lt;covid_recovery,NA(),SUMIFS(INDIRECT("Data_main"&amp;"["&amp;AR$8&amp;"]"),Data_main[Data],$A76, Data_main[Segment],$B76, Data_main[Scenario],$B$3)),SUMIFS(INDIRECT("Data_main"&amp;"["&amp;AR$8&amp;"]"),Data_main[Data],$A76, Data_main[Segment],$B76, Data_main[Scenario],$B$3)),SUMIFS(INDIRECT("Data_main"&amp;"["&amp;AR$8&amp;"]"),Data_main[Data],$A76, Data_main[Segment],$B76, Data_main[Scenario],$B$3))</f>
        <v>0</v>
      </c>
      <c r="AS76" s="531">
        <f ca="1">IF($B$6="ON", IF(AS74&gt;=covid_start, IF(AS74&lt;covid_recovery,NA(),SUMIFS(INDIRECT("Data_main"&amp;"["&amp;AS$8&amp;"]"),Data_main[Data],$A76, Data_main[Segment],$B76, Data_main[Scenario],$B$3)),SUMIFS(INDIRECT("Data_main"&amp;"["&amp;AS$8&amp;"]"),Data_main[Data],$A76, Data_main[Segment],$B76, Data_main[Scenario],$B$3)),SUMIFS(INDIRECT("Data_main"&amp;"["&amp;AS$8&amp;"]"),Data_main[Data],$A76, Data_main[Segment],$B76, Data_main[Scenario],$B$3))</f>
        <v>0</v>
      </c>
      <c r="AT76" s="531">
        <f ca="1">IF($B$6="ON", IF(AT74&gt;=covid_start, IF(AT74&lt;covid_recovery,NA(),SUMIFS(INDIRECT("Data_main"&amp;"["&amp;AT$8&amp;"]"),Data_main[Data],$A76, Data_main[Segment],$B76, Data_main[Scenario],$B$3)),SUMIFS(INDIRECT("Data_main"&amp;"["&amp;AT$8&amp;"]"),Data_main[Data],$A76, Data_main[Segment],$B76, Data_main[Scenario],$B$3)),SUMIFS(INDIRECT("Data_main"&amp;"["&amp;AT$8&amp;"]"),Data_main[Data],$A76, Data_main[Segment],$B76, Data_main[Scenario],$B$3))</f>
        <v>0</v>
      </c>
      <c r="AU76" s="531">
        <f ca="1">IF($B$6="ON", IF(AU74&gt;=covid_start, IF(AU74&lt;covid_recovery,NA(),SUMIFS(INDIRECT("Data_main"&amp;"["&amp;AU$8&amp;"]"),Data_main[Data],$A76, Data_main[Segment],$B76, Data_main[Scenario],$B$3)),SUMIFS(INDIRECT("Data_main"&amp;"["&amp;AU$8&amp;"]"),Data_main[Data],$A76, Data_main[Segment],$B76, Data_main[Scenario],$B$3)),SUMIFS(INDIRECT("Data_main"&amp;"["&amp;AU$8&amp;"]"),Data_main[Data],$A76, Data_main[Segment],$B76, Data_main[Scenario],$B$3))</f>
        <v>0</v>
      </c>
      <c r="AV76" s="531">
        <f ca="1">IF($B$6="ON", IF(AV74&gt;=covid_start, IF(AV74&lt;covid_recovery,NA(),SUMIFS(INDIRECT("Data_main"&amp;"["&amp;AV$8&amp;"]"),Data_main[Data],$A76, Data_main[Segment],$B76, Data_main[Scenario],$B$3)),SUMIFS(INDIRECT("Data_main"&amp;"["&amp;AV$8&amp;"]"),Data_main[Data],$A76, Data_main[Segment],$B76, Data_main[Scenario],$B$3)),SUMIFS(INDIRECT("Data_main"&amp;"["&amp;AV$8&amp;"]"),Data_main[Data],$A76, Data_main[Segment],$B76, Data_main[Scenario],$B$3))</f>
        <v>0</v>
      </c>
      <c r="AW76" s="531">
        <f ca="1">IF($B$6="ON", IF(AW74&gt;=covid_start, IF(AW74&lt;covid_recovery,NA(),SUMIFS(INDIRECT("Data_main"&amp;"["&amp;AW$8&amp;"]"),Data_main[Data],$A76, Data_main[Segment],$B76, Data_main[Scenario],$B$3)),SUMIFS(INDIRECT("Data_main"&amp;"["&amp;AW$8&amp;"]"),Data_main[Data],$A76, Data_main[Segment],$B76, Data_main[Scenario],$B$3)),SUMIFS(INDIRECT("Data_main"&amp;"["&amp;AW$8&amp;"]"),Data_main[Data],$A76, Data_main[Segment],$B76, Data_main[Scenario],$B$3))</f>
        <v>0</v>
      </c>
      <c r="AX76" s="531">
        <f ca="1">IF($B$6="ON", IF(AX74&gt;=covid_start, IF(AX74&lt;covid_recovery,NA(),SUMIFS(INDIRECT("Data_main"&amp;"["&amp;AX$8&amp;"]"),Data_main[Data],$A76, Data_main[Segment],$B76, Data_main[Scenario],$B$3)),SUMIFS(INDIRECT("Data_main"&amp;"["&amp;AX$8&amp;"]"),Data_main[Data],$A76, Data_main[Segment],$B76, Data_main[Scenario],$B$3)),SUMIFS(INDIRECT("Data_main"&amp;"["&amp;AX$8&amp;"]"),Data_main[Data],$A76, Data_main[Segment],$B76, Data_main[Scenario],$B$3))</f>
        <v>0</v>
      </c>
      <c r="AY76" s="531">
        <f ca="1">IF($B$6="ON", IF(AY74&gt;=covid_start, IF(AY74&lt;covid_recovery,NA(),SUMIFS(INDIRECT("Data_main"&amp;"["&amp;AY$8&amp;"]"),Data_main[Data],$A76, Data_main[Segment],$B76, Data_main[Scenario],$B$3)),SUMIFS(INDIRECT("Data_main"&amp;"["&amp;AY$8&amp;"]"),Data_main[Data],$A76, Data_main[Segment],$B76, Data_main[Scenario],$B$3)),SUMIFS(INDIRECT("Data_main"&amp;"["&amp;AY$8&amp;"]"),Data_main[Data],$A76, Data_main[Segment],$B76, Data_main[Scenario],$B$3))</f>
        <v>0</v>
      </c>
      <c r="AZ76" s="531">
        <f ca="1">IF($B$6="ON", IF(AZ74&gt;=covid_start, IF(AZ74&lt;covid_recovery,NA(),SUMIFS(INDIRECT("Data_main"&amp;"["&amp;AZ$8&amp;"]"),Data_main[Data],$A76, Data_main[Segment],$B76, Data_main[Scenario],$B$3)),SUMIFS(INDIRECT("Data_main"&amp;"["&amp;AZ$8&amp;"]"),Data_main[Data],$A76, Data_main[Segment],$B76, Data_main[Scenario],$B$3)),SUMIFS(INDIRECT("Data_main"&amp;"["&amp;AZ$8&amp;"]"),Data_main[Data],$A76, Data_main[Segment],$B76, Data_main[Scenario],$B$3))</f>
        <v>0</v>
      </c>
      <c r="BA76" s="531">
        <f ca="1">IF($B$6="ON", IF(BA74&gt;=covid_start, IF(BA74&lt;covid_recovery,NA(),SUMIFS(INDIRECT("Data_main"&amp;"["&amp;BA$8&amp;"]"),Data_main[Data],$A76, Data_main[Segment],$B76, Data_main[Scenario],$B$3)),SUMIFS(INDIRECT("Data_main"&amp;"["&amp;BA$8&amp;"]"),Data_main[Data],$A76, Data_main[Segment],$B76, Data_main[Scenario],$B$3)),SUMIFS(INDIRECT("Data_main"&amp;"["&amp;BA$8&amp;"]"),Data_main[Data],$A76, Data_main[Segment],$B76, Data_main[Scenario],$B$3))</f>
        <v>0</v>
      </c>
      <c r="BB76" s="531">
        <f ca="1">IF($B$6="ON", IF(BB74&gt;=covid_start, IF(BB74&lt;covid_recovery,NA(),SUMIFS(INDIRECT("Data_main"&amp;"["&amp;BB$8&amp;"]"),Data_main[Data],$A76, Data_main[Segment],$B76, Data_main[Scenario],$B$3)),SUMIFS(INDIRECT("Data_main"&amp;"["&amp;BB$8&amp;"]"),Data_main[Data],$A76, Data_main[Segment],$B76, Data_main[Scenario],$B$3)),SUMIFS(INDIRECT("Data_main"&amp;"["&amp;BB$8&amp;"]"),Data_main[Data],$A76, Data_main[Segment],$B76, Data_main[Scenario],$B$3))</f>
        <v>0</v>
      </c>
      <c r="BC76" s="531">
        <f ca="1">IF($B$6="ON", IF(BC74&gt;=covid_start, IF(BC74&lt;covid_recovery,NA(),SUMIFS(INDIRECT("Data_main"&amp;"["&amp;BC$8&amp;"]"),Data_main[Data],$A76, Data_main[Segment],$B76, Data_main[Scenario],$B$3)),SUMIFS(INDIRECT("Data_main"&amp;"["&amp;BC$8&amp;"]"),Data_main[Data],$A76, Data_main[Segment],$B76, Data_main[Scenario],$B$3)),SUMIFS(INDIRECT("Data_main"&amp;"["&amp;BC$8&amp;"]"),Data_main[Data],$A76, Data_main[Segment],$B76, Data_main[Scenario],$B$3))</f>
        <v>0</v>
      </c>
      <c r="BD76" s="531">
        <f ca="1">IF($B$6="ON", IF(BD74&gt;=covid_start, IF(BD74&lt;covid_recovery,NA(),SUMIFS(INDIRECT("Data_main"&amp;"["&amp;BD$8&amp;"]"),Data_main[Data],$A76, Data_main[Segment],$B76, Data_main[Scenario],$B$3)),SUMIFS(INDIRECT("Data_main"&amp;"["&amp;BD$8&amp;"]"),Data_main[Data],$A76, Data_main[Segment],$B76, Data_main[Scenario],$B$3)),SUMIFS(INDIRECT("Data_main"&amp;"["&amp;BD$8&amp;"]"),Data_main[Data],$A76, Data_main[Segment],$B76, Data_main[Scenario],$B$3))</f>
        <v>0</v>
      </c>
      <c r="BE76" s="531">
        <f ca="1">IF($B$6="ON", IF(BE74&gt;=covid_start, IF(BE74&lt;covid_recovery,NA(),SUMIFS(INDIRECT("Data_main"&amp;"["&amp;BE$8&amp;"]"),Data_main[Data],$A76, Data_main[Segment],$B76, Data_main[Scenario],$B$3)),SUMIFS(INDIRECT("Data_main"&amp;"["&amp;BE$8&amp;"]"),Data_main[Data],$A76, Data_main[Segment],$B76, Data_main[Scenario],$B$3)),SUMIFS(INDIRECT("Data_main"&amp;"["&amp;BE$8&amp;"]"),Data_main[Data],$A76, Data_main[Segment],$B76, Data_main[Scenario],$B$3))</f>
        <v>0</v>
      </c>
      <c r="BF76" s="531">
        <f ca="1">IF($B$6="ON", IF(BF74&gt;=covid_start, IF(BF74&lt;covid_recovery,NA(),SUMIFS(INDIRECT("Data_main"&amp;"["&amp;BF$8&amp;"]"),Data_main[Data],$A76, Data_main[Segment],$B76, Data_main[Scenario],$B$3)),SUMIFS(INDIRECT("Data_main"&amp;"["&amp;BF$8&amp;"]"),Data_main[Data],$A76, Data_main[Segment],$B76, Data_main[Scenario],$B$3)),SUMIFS(INDIRECT("Data_main"&amp;"["&amp;BF$8&amp;"]"),Data_main[Data],$A76, Data_main[Segment],$B76, Data_main[Scenario],$B$3))</f>
        <v>0</v>
      </c>
      <c r="BG76" s="531">
        <f ca="1">IF($B$6="ON", IF(BG74&gt;=covid_start, IF(BG74&lt;covid_recovery,NA(),SUMIFS(INDIRECT("Data_main"&amp;"["&amp;BG$8&amp;"]"),Data_main[Data],$A76, Data_main[Segment],$B76, Data_main[Scenario],$B$3)),SUMIFS(INDIRECT("Data_main"&amp;"["&amp;BG$8&amp;"]"),Data_main[Data],$A76, Data_main[Segment],$B76, Data_main[Scenario],$B$3)),SUMIFS(INDIRECT("Data_main"&amp;"["&amp;BG$8&amp;"]"),Data_main[Data],$A76, Data_main[Segment],$B76, Data_main[Scenario],$B$3))</f>
        <v>0</v>
      </c>
      <c r="BH76" s="531">
        <f ca="1">IF($B$6="ON", IF(BH74&gt;=covid_start, IF(BH74&lt;covid_recovery,NA(),SUMIFS(INDIRECT("Data_main"&amp;"["&amp;BH$8&amp;"]"),Data_main[Data],$A76, Data_main[Segment],$B76, Data_main[Scenario],$B$3)),SUMIFS(INDIRECT("Data_main"&amp;"["&amp;BH$8&amp;"]"),Data_main[Data],$A76, Data_main[Segment],$B76, Data_main[Scenario],$B$3)),SUMIFS(INDIRECT("Data_main"&amp;"["&amp;BH$8&amp;"]"),Data_main[Data],$A76, Data_main[Segment],$B76, Data_main[Scenario],$B$3))</f>
        <v>0</v>
      </c>
      <c r="BI76" s="531">
        <f ca="1">IF($B$6="ON", IF(BI74&gt;=covid_start, IF(BI74&lt;covid_recovery,NA(),SUMIFS(INDIRECT("Data_main"&amp;"["&amp;BI$8&amp;"]"),Data_main[Data],$A76, Data_main[Segment],$B76, Data_main[Scenario],$B$3)),SUMIFS(INDIRECT("Data_main"&amp;"["&amp;BI$8&amp;"]"),Data_main[Data],$A76, Data_main[Segment],$B76, Data_main[Scenario],$B$3)),SUMIFS(INDIRECT("Data_main"&amp;"["&amp;BI$8&amp;"]"),Data_main[Data],$A76, Data_main[Segment],$B76, Data_main[Scenario],$B$3))</f>
        <v>0</v>
      </c>
      <c r="BJ76" s="531">
        <f ca="1">IF($B$6="ON", IF(BJ74&gt;=covid_start, IF(BJ74&lt;covid_recovery,NA(),SUMIFS(INDIRECT("Data_main"&amp;"["&amp;BJ$8&amp;"]"),Data_main[Data],$A76, Data_main[Segment],$B76, Data_main[Scenario],$B$3)),SUMIFS(INDIRECT("Data_main"&amp;"["&amp;BJ$8&amp;"]"),Data_main[Data],$A76, Data_main[Segment],$B76, Data_main[Scenario],$B$3)),SUMIFS(INDIRECT("Data_main"&amp;"["&amp;BJ$8&amp;"]"),Data_main[Data],$A76, Data_main[Segment],$B76, Data_main[Scenario],$B$3))</f>
        <v>0</v>
      </c>
      <c r="BK76" s="531">
        <f ca="1">IF($B$6="ON", IF(BK74&gt;=covid_start, IF(BK74&lt;covid_recovery,NA(),SUMIFS(INDIRECT("Data_main"&amp;"["&amp;BK$8&amp;"]"),Data_main[Data],$A76, Data_main[Segment],$B76, Data_main[Scenario],$B$3)),SUMIFS(INDIRECT("Data_main"&amp;"["&amp;BK$8&amp;"]"),Data_main[Data],$A76, Data_main[Segment],$B76, Data_main[Scenario],$B$3)),SUMIFS(INDIRECT("Data_main"&amp;"["&amp;BK$8&amp;"]"),Data_main[Data],$A76, Data_main[Segment],$B76, Data_main[Scenario],$B$3))</f>
        <v>0</v>
      </c>
      <c r="BL76" s="531">
        <f ca="1">IF($B$6="ON", IF(BL74&gt;=covid_start, IF(BL74&lt;covid_recovery,NA(),SUMIFS(INDIRECT("Data_main"&amp;"["&amp;BL$8&amp;"]"),Data_main[Data],$A76, Data_main[Segment],$B76, Data_main[Scenario],$B$3)),SUMIFS(INDIRECT("Data_main"&amp;"["&amp;BL$8&amp;"]"),Data_main[Data],$A76, Data_main[Segment],$B76, Data_main[Scenario],$B$3)),SUMIFS(INDIRECT("Data_main"&amp;"["&amp;BL$8&amp;"]"),Data_main[Data],$A76, Data_main[Segment],$B76, Data_main[Scenario],$B$3))</f>
        <v>0</v>
      </c>
      <c r="BM76" s="531">
        <f ca="1">IF($B$6="ON", IF(BM74&gt;=covid_start, IF(BM74&lt;covid_recovery,NA(),SUMIFS(INDIRECT("Data_main"&amp;"["&amp;BM$8&amp;"]"),Data_main[Data],$A76, Data_main[Segment],$B76, Data_main[Scenario],$B$3)),SUMIFS(INDIRECT("Data_main"&amp;"["&amp;BM$8&amp;"]"),Data_main[Data],$A76, Data_main[Segment],$B76, Data_main[Scenario],$B$3)),SUMIFS(INDIRECT("Data_main"&amp;"["&amp;BM$8&amp;"]"),Data_main[Data],$A76, Data_main[Segment],$B76, Data_main[Scenario],$B$3))</f>
        <v>0</v>
      </c>
      <c r="BN76" s="531">
        <f ca="1">IF($B$6="ON", IF(BN74&gt;=covid_start, IF(BN74&lt;covid_recovery,NA(),SUMIFS(INDIRECT("Data_main"&amp;"["&amp;BN$8&amp;"]"),Data_main[Data],$A76, Data_main[Segment],$B76, Data_main[Scenario],$B$3)),SUMIFS(INDIRECT("Data_main"&amp;"["&amp;BN$8&amp;"]"),Data_main[Data],$A76, Data_main[Segment],$B76, Data_main[Scenario],$B$3)),SUMIFS(INDIRECT("Data_main"&amp;"["&amp;BN$8&amp;"]"),Data_main[Data],$A76, Data_main[Segment],$B76, Data_main[Scenario],$B$3))</f>
        <v>0</v>
      </c>
      <c r="BO76" s="531">
        <f ca="1">IF($B$6="ON", IF(BO74&gt;=covid_start, IF(BO74&lt;covid_recovery,NA(),SUMIFS(INDIRECT("Data_main"&amp;"["&amp;BO$8&amp;"]"),Data_main[Data],$A76, Data_main[Segment],$B76, Data_main[Scenario],$B$3)),SUMIFS(INDIRECT("Data_main"&amp;"["&amp;BO$8&amp;"]"),Data_main[Data],$A76, Data_main[Segment],$B76, Data_main[Scenario],$B$3)),SUMIFS(INDIRECT("Data_main"&amp;"["&amp;BO$8&amp;"]"),Data_main[Data],$A76, Data_main[Segment],$B76, Data_main[Scenario],$B$3))</f>
        <v>0</v>
      </c>
      <c r="BP76" s="531">
        <f ca="1">IF($B$6="ON", IF(BP74&gt;=covid_start, IF(BP74&lt;covid_recovery,NA(),SUMIFS(INDIRECT("Data_main"&amp;"["&amp;BP$8&amp;"]"),Data_main[Data],$A76, Data_main[Segment],$B76, Data_main[Scenario],$B$3)),SUMIFS(INDIRECT("Data_main"&amp;"["&amp;BP$8&amp;"]"),Data_main[Data],$A76, Data_main[Segment],$B76, Data_main[Scenario],$B$3)),SUMIFS(INDIRECT("Data_main"&amp;"["&amp;BP$8&amp;"]"),Data_main[Data],$A76, Data_main[Segment],$B76, Data_main[Scenario],$B$3))</f>
        <v>0</v>
      </c>
      <c r="BQ76" s="531">
        <f ca="1">IF($B$6="ON", IF(BQ74&gt;=covid_start, IF(BQ74&lt;covid_recovery,NA(),SUMIFS(INDIRECT("Data_main"&amp;"["&amp;BQ$8&amp;"]"),Data_main[Data],$A76, Data_main[Segment],$B76, Data_main[Scenario],$B$3)),SUMIFS(INDIRECT("Data_main"&amp;"["&amp;BQ$8&amp;"]"),Data_main[Data],$A76, Data_main[Segment],$B76, Data_main[Scenario],$B$3)),SUMIFS(INDIRECT("Data_main"&amp;"["&amp;BQ$8&amp;"]"),Data_main[Data],$A76, Data_main[Segment],$B76, Data_main[Scenario],$B$3))</f>
        <v>0</v>
      </c>
      <c r="BR76" s="531">
        <f ca="1">IF($B$6="ON", IF(BR74&gt;=covid_start, IF(BR74&lt;covid_recovery,NA(),SUMIFS(INDIRECT("Data_main"&amp;"["&amp;BR$8&amp;"]"),Data_main[Data],$A76, Data_main[Segment],$B76, Data_main[Scenario],$B$3)),SUMIFS(INDIRECT("Data_main"&amp;"["&amp;BR$8&amp;"]"),Data_main[Data],$A76, Data_main[Segment],$B76, Data_main[Scenario],$B$3)),SUMIFS(INDIRECT("Data_main"&amp;"["&amp;BR$8&amp;"]"),Data_main[Data],$A76, Data_main[Segment],$B76, Data_main[Scenario],$B$3))</f>
        <v>0</v>
      </c>
      <c r="BS76" s="531">
        <f ca="1">IF($B$6="ON", IF(BS74&gt;=covid_start, IF(BS74&lt;covid_recovery,NA(),SUMIFS(INDIRECT("Data_main"&amp;"["&amp;BS$8&amp;"]"),Data_main[Data],$A76, Data_main[Segment],$B76, Data_main[Scenario],$B$3)),SUMIFS(INDIRECT("Data_main"&amp;"["&amp;BS$8&amp;"]"),Data_main[Data],$A76, Data_main[Segment],$B76, Data_main[Scenario],$B$3)),SUMIFS(INDIRECT("Data_main"&amp;"["&amp;BS$8&amp;"]"),Data_main[Data],$A76, Data_main[Segment],$B76, Data_main[Scenario],$B$3))</f>
        <v>0</v>
      </c>
      <c r="BT76" s="531">
        <f ca="1">IF($B$6="ON", IF(BT74&gt;=covid_start, IF(BT74&lt;covid_recovery,NA(),SUMIFS(INDIRECT("Data_main"&amp;"["&amp;BT$8&amp;"]"),Data_main[Data],$A76, Data_main[Segment],$B76, Data_main[Scenario],$B$3)),SUMIFS(INDIRECT("Data_main"&amp;"["&amp;BT$8&amp;"]"),Data_main[Data],$A76, Data_main[Segment],$B76, Data_main[Scenario],$B$3)),SUMIFS(INDIRECT("Data_main"&amp;"["&amp;BT$8&amp;"]"),Data_main[Data],$A76, Data_main[Segment],$B76, Data_main[Scenario],$B$3))</f>
        <v>0</v>
      </c>
      <c r="BU76" s="531">
        <f ca="1">IF($B$6="ON", IF(BU74&gt;=covid_start, IF(BU74&lt;covid_recovery,NA(),SUMIFS(INDIRECT("Data_main"&amp;"["&amp;BU$8&amp;"]"),Data_main[Data],$A76, Data_main[Segment],$B76, Data_main[Scenario],$B$3)),SUMIFS(INDIRECT("Data_main"&amp;"["&amp;BU$8&amp;"]"),Data_main[Data],$A76, Data_main[Segment],$B76, Data_main[Scenario],$B$3)),SUMIFS(INDIRECT("Data_main"&amp;"["&amp;BU$8&amp;"]"),Data_main[Data],$A76, Data_main[Segment],$B76, Data_main[Scenario],$B$3))</f>
        <v>0</v>
      </c>
      <c r="BV76" s="531">
        <f ca="1">IF($B$6="ON", IF(BV74&gt;=covid_start, IF(BV74&lt;covid_recovery,NA(),SUMIFS(INDIRECT("Data_main"&amp;"["&amp;BV$8&amp;"]"),Data_main[Data],$A76, Data_main[Segment],$B76, Data_main[Scenario],$B$3)),SUMIFS(INDIRECT("Data_main"&amp;"["&amp;BV$8&amp;"]"),Data_main[Data],$A76, Data_main[Segment],$B76, Data_main[Scenario],$B$3)),SUMIFS(INDIRECT("Data_main"&amp;"["&amp;BV$8&amp;"]"),Data_main[Data],$A76, Data_main[Segment],$B76, Data_main[Scenario],$B$3))</f>
        <v>0</v>
      </c>
      <c r="BW76" s="531">
        <f ca="1">IF($B$6="ON", IF(BW74&gt;=covid_start, IF(BW74&lt;covid_recovery,NA(),SUMIFS(INDIRECT("Data_main"&amp;"["&amp;BW$8&amp;"]"),Data_main[Data],$A76, Data_main[Segment],$B76, Data_main[Scenario],$B$3)),SUMIFS(INDIRECT("Data_main"&amp;"["&amp;BW$8&amp;"]"),Data_main[Data],$A76, Data_main[Segment],$B76, Data_main[Scenario],$B$3)),SUMIFS(INDIRECT("Data_main"&amp;"["&amp;BW$8&amp;"]"),Data_main[Data],$A76, Data_main[Segment],$B76, Data_main[Scenario],$B$3))</f>
        <v>0</v>
      </c>
      <c r="BX76" s="531">
        <f ca="1">IF($B$6="ON", IF(BX74&gt;=covid_start, IF(BX74&lt;covid_recovery,NA(),SUMIFS(INDIRECT("Data_main"&amp;"["&amp;BX$8&amp;"]"),Data_main[Data],$A76, Data_main[Segment],$B76, Data_main[Scenario],$B$3)),SUMIFS(INDIRECT("Data_main"&amp;"["&amp;BX$8&amp;"]"),Data_main[Data],$A76, Data_main[Segment],$B76, Data_main[Scenario],$B$3)),SUMIFS(INDIRECT("Data_main"&amp;"["&amp;BX$8&amp;"]"),Data_main[Data],$A76, Data_main[Segment],$B76, Data_main[Scenario],$B$3))</f>
        <v>0</v>
      </c>
      <c r="BY76" s="531">
        <f ca="1">IF($B$6="ON", IF(BY74&gt;=covid_start, IF(BY74&lt;covid_recovery,NA(),SUMIFS(INDIRECT("Data_main"&amp;"["&amp;BY$8&amp;"]"),Data_main[Data],$A76, Data_main[Segment],$B76, Data_main[Scenario],$B$3)),SUMIFS(INDIRECT("Data_main"&amp;"["&amp;BY$8&amp;"]"),Data_main[Data],$A76, Data_main[Segment],$B76, Data_main[Scenario],$B$3)),SUMIFS(INDIRECT("Data_main"&amp;"["&amp;BY$8&amp;"]"),Data_main[Data],$A76, Data_main[Segment],$B76, Data_main[Scenario],$B$3))</f>
        <v>0</v>
      </c>
      <c r="BZ76" s="531">
        <f ca="1">IF($B$6="ON", IF(BZ74&gt;=covid_start, IF(BZ74&lt;covid_recovery,NA(),SUMIFS(INDIRECT("Data_main"&amp;"["&amp;BZ$8&amp;"]"),Data_main[Data],$A76, Data_main[Segment],$B76, Data_main[Scenario],$B$3)),SUMIFS(INDIRECT("Data_main"&amp;"["&amp;BZ$8&amp;"]"),Data_main[Data],$A76, Data_main[Segment],$B76, Data_main[Scenario],$B$3)),SUMIFS(INDIRECT("Data_main"&amp;"["&amp;BZ$8&amp;"]"),Data_main[Data],$A76, Data_main[Segment],$B76, Data_main[Scenario],$B$3))</f>
        <v>0</v>
      </c>
      <c r="CA76" s="531">
        <f ca="1">IF($B$6="ON", IF(CA74&gt;=covid_start, IF(CA74&lt;covid_recovery,NA(),SUMIFS(INDIRECT("Data_main"&amp;"["&amp;CA$8&amp;"]"),Data_main[Data],$A76, Data_main[Segment],$B76, Data_main[Scenario],$B$3)),SUMIFS(INDIRECT("Data_main"&amp;"["&amp;CA$8&amp;"]"),Data_main[Data],$A76, Data_main[Segment],$B76, Data_main[Scenario],$B$3)),SUMIFS(INDIRECT("Data_main"&amp;"["&amp;CA$8&amp;"]"),Data_main[Data],$A76, Data_main[Segment],$B76, Data_main[Scenario],$B$3))</f>
        <v>0</v>
      </c>
      <c r="CB76" s="531">
        <f ca="1">IF($B$6="ON", IF(CB74&gt;=covid_start, IF(CB74&lt;covid_recovery,NA(),SUMIFS(INDIRECT("Data_main"&amp;"["&amp;CB$8&amp;"]"),Data_main[Data],$A76, Data_main[Segment],$B76, Data_main[Scenario],$B$3)),SUMIFS(INDIRECT("Data_main"&amp;"["&amp;CB$8&amp;"]"),Data_main[Data],$A76, Data_main[Segment],$B76, Data_main[Scenario],$B$3)),SUMIFS(INDIRECT("Data_main"&amp;"["&amp;CB$8&amp;"]"),Data_main[Data],$A76, Data_main[Segment],$B76, Data_main[Scenario],$B$3))</f>
        <v>0</v>
      </c>
      <c r="CC76" s="531">
        <f ca="1">IF($B$6="ON", IF(CC74&gt;=covid_start, IF(CC74&lt;covid_recovery,NA(),SUMIFS(INDIRECT("Data_main"&amp;"["&amp;CC$8&amp;"]"),Data_main[Data],$A76, Data_main[Segment],$B76, Data_main[Scenario],$B$3)),SUMIFS(INDIRECT("Data_main"&amp;"["&amp;CC$8&amp;"]"),Data_main[Data],$A76, Data_main[Segment],$B76, Data_main[Scenario],$B$3)),SUMIFS(INDIRECT("Data_main"&amp;"["&amp;CC$8&amp;"]"),Data_main[Data],$A76, Data_main[Segment],$B76, Data_main[Scenario],$B$3))</f>
        <v>0</v>
      </c>
      <c r="CD76" s="531">
        <f ca="1">IF($B$6="ON", IF(CD74&gt;=covid_start, IF(CD74&lt;covid_recovery,NA(),SUMIFS(INDIRECT("Data_main"&amp;"["&amp;CD$8&amp;"]"),Data_main[Data],$A76, Data_main[Segment],$B76, Data_main[Scenario],$B$3)),SUMIFS(INDIRECT("Data_main"&amp;"["&amp;CD$8&amp;"]"),Data_main[Data],$A76, Data_main[Segment],$B76, Data_main[Scenario],$B$3)),SUMIFS(INDIRECT("Data_main"&amp;"["&amp;CD$8&amp;"]"),Data_main[Data],$A76, Data_main[Segment],$B76, Data_main[Scenario],$B$3))</f>
        <v>0</v>
      </c>
      <c r="CE76" s="531">
        <f ca="1">IF($B$6="ON", IF(CE74&gt;=covid_start, IF(CE74&lt;covid_recovery,NA(),SUMIFS(INDIRECT("Data_main"&amp;"["&amp;CE$8&amp;"]"),Data_main[Data],$A76, Data_main[Segment],$B76, Data_main[Scenario],$B$3)),SUMIFS(INDIRECT("Data_main"&amp;"["&amp;CE$8&amp;"]"),Data_main[Data],$A76, Data_main[Segment],$B76, Data_main[Scenario],$B$3)),SUMIFS(INDIRECT("Data_main"&amp;"["&amp;CE$8&amp;"]"),Data_main[Data],$A76, Data_main[Segment],$B76, Data_main[Scenario],$B$3))</f>
        <v>0</v>
      </c>
      <c r="CF76" s="531">
        <f ca="1">IF($B$6="ON", IF(CF74&gt;=covid_start, IF(CF74&lt;covid_recovery,NA(),SUMIFS(INDIRECT("Data_main"&amp;"["&amp;CF$8&amp;"]"),Data_main[Data],$A76, Data_main[Segment],$B76, Data_main[Scenario],$B$3)),SUMIFS(INDIRECT("Data_main"&amp;"["&amp;CF$8&amp;"]"),Data_main[Data],$A76, Data_main[Segment],$B76, Data_main[Scenario],$B$3)),SUMIFS(INDIRECT("Data_main"&amp;"["&amp;CF$8&amp;"]"),Data_main[Data],$A76, Data_main[Segment],$B76, Data_main[Scenario],$B$3))</f>
        <v>0</v>
      </c>
      <c r="CG76" s="531">
        <f ca="1">IF($B$6="ON", IF(CG74&gt;=covid_start, IF(CG74&lt;covid_recovery,NA(),SUMIFS(INDIRECT("Data_main"&amp;"["&amp;CG$8&amp;"]"),Data_main[Data],$A76, Data_main[Segment],$B76, Data_main[Scenario],$B$3)),SUMIFS(INDIRECT("Data_main"&amp;"["&amp;CG$8&amp;"]"),Data_main[Data],$A76, Data_main[Segment],$B76, Data_main[Scenario],$B$3)),SUMIFS(INDIRECT("Data_main"&amp;"["&amp;CG$8&amp;"]"),Data_main[Data],$A76, Data_main[Segment],$B76, Data_main[Scenario],$B$3))</f>
        <v>0</v>
      </c>
      <c r="CH76" s="531">
        <f ca="1">IF($B$6="ON", IF(CH74&gt;=covid_start, IF(CH74&lt;covid_recovery,NA(),SUMIFS(INDIRECT("Data_main"&amp;"["&amp;CH$8&amp;"]"),Data_main[Data],$A76, Data_main[Segment],$B76, Data_main[Scenario],$B$3)),SUMIFS(INDIRECT("Data_main"&amp;"["&amp;CH$8&amp;"]"),Data_main[Data],$A76, Data_main[Segment],$B76, Data_main[Scenario],$B$3)),SUMIFS(INDIRECT("Data_main"&amp;"["&amp;CH$8&amp;"]"),Data_main[Data],$A76, Data_main[Segment],$B76, Data_main[Scenario],$B$3))</f>
        <v>0</v>
      </c>
      <c r="CI76" s="531">
        <f ca="1">IF($B$6="ON", IF(CI74&gt;=covid_start, IF(CI74&lt;covid_recovery,NA(),SUMIFS(INDIRECT("Data_main"&amp;"["&amp;CI$8&amp;"]"),Data_main[Data],$A76, Data_main[Segment],$B76, Data_main[Scenario],$B$3)),SUMIFS(INDIRECT("Data_main"&amp;"["&amp;CI$8&amp;"]"),Data_main[Data],$A76, Data_main[Segment],$B76, Data_main[Scenario],$B$3)),SUMIFS(INDIRECT("Data_main"&amp;"["&amp;CI$8&amp;"]"),Data_main[Data],$A76, Data_main[Segment],$B76, Data_main[Scenario],$B$3))</f>
        <v>0</v>
      </c>
      <c r="CJ76" s="531">
        <f ca="1">IF($B$6="ON", IF(CJ74&gt;=covid_start, IF(CJ74&lt;covid_recovery,NA(),SUMIFS(INDIRECT("Data_main"&amp;"["&amp;CJ$8&amp;"]"),Data_main[Data],$A76, Data_main[Segment],$B76, Data_main[Scenario],$B$3)),SUMIFS(INDIRECT("Data_main"&amp;"["&amp;CJ$8&amp;"]"),Data_main[Data],$A76, Data_main[Segment],$B76, Data_main[Scenario],$B$3)),SUMIFS(INDIRECT("Data_main"&amp;"["&amp;CJ$8&amp;"]"),Data_main[Data],$A76, Data_main[Segment],$B76, Data_main[Scenario],$B$3))</f>
        <v>0</v>
      </c>
      <c r="CK76" s="531">
        <f ca="1">IF($B$6="ON", IF(CK74&gt;=covid_start, IF(CK74&lt;covid_recovery,NA(),SUMIFS(INDIRECT("Data_main"&amp;"["&amp;CK$8&amp;"]"),Data_main[Data],$A76, Data_main[Segment],$B76, Data_main[Scenario],$B$3)),SUMIFS(INDIRECT("Data_main"&amp;"["&amp;CK$8&amp;"]"),Data_main[Data],$A76, Data_main[Segment],$B76, Data_main[Scenario],$B$3)),SUMIFS(INDIRECT("Data_main"&amp;"["&amp;CK$8&amp;"]"),Data_main[Data],$A76, Data_main[Segment],$B76, Data_main[Scenario],$B$3))</f>
        <v>0</v>
      </c>
      <c r="CL76" s="531">
        <f ca="1">IF($B$6="ON", IF(CL74&gt;=covid_start, IF(CL74&lt;covid_recovery,NA(),SUMIFS(INDIRECT("Data_main"&amp;"["&amp;CL$8&amp;"]"),Data_main[Data],$A76, Data_main[Segment],$B76, Data_main[Scenario],$B$3)),SUMIFS(INDIRECT("Data_main"&amp;"["&amp;CL$8&amp;"]"),Data_main[Data],$A76, Data_main[Segment],$B76, Data_main[Scenario],$B$3)),SUMIFS(INDIRECT("Data_main"&amp;"["&amp;CL$8&amp;"]"),Data_main[Data],$A76, Data_main[Segment],$B76, Data_main[Scenario],$B$3))</f>
        <v>0</v>
      </c>
      <c r="CN76" s="613">
        <f ca="1">IFERROR((Y76/H76)^(1/17)-1,"")</f>
        <v>2.9366188858404474E-2</v>
      </c>
      <c r="CO76" s="613">
        <f ca="1">IFERROR((AN76/Y76)^(1/15)-1,"")</f>
        <v>2.7300190311734696E-2</v>
      </c>
      <c r="CP76" s="613">
        <f ca="1">IFERROR((AN76/H76)^(1/32)-1,"")</f>
        <v>2.83972352121733E-2</v>
      </c>
    </row>
    <row r="77" spans="1:94" outlineLevel="1">
      <c r="A77" s="532" t="s">
        <v>158</v>
      </c>
      <c r="B77" s="532" t="str">
        <f t="shared" si="209"/>
        <v>Pax-long</v>
      </c>
      <c r="C77" s="533" t="s">
        <v>354</v>
      </c>
      <c r="D77" s="530" t="s">
        <v>355</v>
      </c>
      <c r="E77" s="531">
        <f ca="1">IF($B$6="ON", IF(E74&gt;=covid_start, IF(E74&lt;covid_recovery,NA(),SUMIFS(INDIRECT("Data_main"&amp;"["&amp;E$8&amp;"]"),Data_main[Data],$A77, Data_main[Segment],$B77, Data_main[Scenario],$B$3)),SUMIFS(INDIRECT("Data_main"&amp;"["&amp;E$8&amp;"]"),Data_main[Data],$A77, Data_main[Segment],$B77, Data_main[Scenario],$B$3)),SUMIFS(INDIRECT("Data_main"&amp;"["&amp;E$8&amp;"]"),Data_main[Data],$A77, Data_main[Segment],$B77, Data_main[Scenario],$B$3))</f>
        <v>1096.0396793216892</v>
      </c>
      <c r="F77" s="531">
        <f ca="1">IF($B$6="ON", IF(F74&gt;=covid_start, IF(F74&lt;covid_recovery,NA(),SUMIFS(INDIRECT("Data_main"&amp;"["&amp;F$8&amp;"]"),Data_main[Data],$A77, Data_main[Segment],$B77, Data_main[Scenario],$B$3)),SUMIFS(INDIRECT("Data_main"&amp;"["&amp;F$8&amp;"]"),Data_main[Data],$A77, Data_main[Segment],$B77, Data_main[Scenario],$B$3)),SUMIFS(INDIRECT("Data_main"&amp;"["&amp;F$8&amp;"]"),Data_main[Data],$A77, Data_main[Segment],$B77, Data_main[Scenario],$B$3))</f>
        <v>1075.2751494415108</v>
      </c>
      <c r="G77" s="531">
        <f ca="1">IF($B$6="ON", IF(G74&gt;=covid_start, IF(G74&lt;covid_recovery,NA(),SUMIFS(INDIRECT("Data_main"&amp;"["&amp;G$8&amp;"]"),Data_main[Data],$A77, Data_main[Segment],$B77, Data_main[Scenario],$B$3)),SUMIFS(INDIRECT("Data_main"&amp;"["&amp;G$8&amp;"]"),Data_main[Data],$A77, Data_main[Segment],$B77, Data_main[Scenario],$B$3)),SUMIFS(INDIRECT("Data_main"&amp;"["&amp;G$8&amp;"]"),Data_main[Data],$A77, Data_main[Segment],$B77, Data_main[Scenario],$B$3))</f>
        <v>1057.1446938529884</v>
      </c>
      <c r="H77" s="531">
        <f ca="1">IF($B$6="ON", IF(H74&gt;=covid_start, IF(H74&lt;covid_recovery,NA(),SUMIFS(INDIRECT("Data_main"&amp;"["&amp;H$8&amp;"]"),Data_main[Data],$A77, Data_main[Segment],$B77, Data_main[Scenario],$B$3)),SUMIFS(INDIRECT("Data_main"&amp;"["&amp;H$8&amp;"]"),Data_main[Data],$A77, Data_main[Segment],$B77, Data_main[Scenario],$B$3)),SUMIFS(INDIRECT("Data_main"&amp;"["&amp;H$8&amp;"]"),Data_main[Data],$A77, Data_main[Segment],$B77, Data_main[Scenario],$B$3))</f>
        <v>1041.1769908854865</v>
      </c>
      <c r="I77" s="531">
        <f ca="1">IF($B$6="ON", IF(I74&gt;=covid_start, IF(I74&lt;covid_recovery,NA(),SUMIFS(INDIRECT("Data_main"&amp;"["&amp;I$8&amp;"]"),Data_main[Data],$A77, Data_main[Segment],$B77, Data_main[Scenario],$B$3)),SUMIFS(INDIRECT("Data_main"&amp;"["&amp;I$8&amp;"]"),Data_main[Data],$A77, Data_main[Segment],$B77, Data_main[Scenario],$B$3)),SUMIFS(INDIRECT("Data_main"&amp;"["&amp;I$8&amp;"]"),Data_main[Data],$A77, Data_main[Segment],$B77, Data_main[Scenario],$B$3))</f>
        <v>1019.4512923512447</v>
      </c>
      <c r="J77" s="531" t="e">
        <f ca="1">IF($B$6="ON", IF(J74&gt;=covid_start, IF(J74&lt;covid_recovery,NA(),SUMIFS(INDIRECT("Data_main"&amp;"["&amp;J$8&amp;"]"),Data_main[Data],$A77, Data_main[Segment],$B77, Data_main[Scenario],$B$3)),SUMIFS(INDIRECT("Data_main"&amp;"["&amp;J$8&amp;"]"),Data_main[Data],$A77, Data_main[Segment],$B77, Data_main[Scenario],$B$3)),SUMIFS(INDIRECT("Data_main"&amp;"["&amp;J$8&amp;"]"),Data_main[Data],$A77, Data_main[Segment],$B77, Data_main[Scenario],$B$3))</f>
        <v>#N/A</v>
      </c>
      <c r="K77" s="531" t="e">
        <f ca="1">IF($B$6="ON", IF(K74&gt;=covid_start, IF(K74&lt;covid_recovery,NA(),SUMIFS(INDIRECT("Data_main"&amp;"["&amp;K$8&amp;"]"),Data_main[Data],$A77, Data_main[Segment],$B77, Data_main[Scenario],$B$3)),SUMIFS(INDIRECT("Data_main"&amp;"["&amp;K$8&amp;"]"),Data_main[Data],$A77, Data_main[Segment],$B77, Data_main[Scenario],$B$3)),SUMIFS(INDIRECT("Data_main"&amp;"["&amp;K$8&amp;"]"),Data_main[Data],$A77, Data_main[Segment],$B77, Data_main[Scenario],$B$3))</f>
        <v>#N/A</v>
      </c>
      <c r="L77" s="531" t="e">
        <f ca="1">IF($B$6="ON", IF(L74&gt;=covid_start, IF(L74&lt;covid_recovery,NA(),SUMIFS(INDIRECT("Data_main"&amp;"["&amp;L$8&amp;"]"),Data_main[Data],$A77, Data_main[Segment],$B77, Data_main[Scenario],$B$3)),SUMIFS(INDIRECT("Data_main"&amp;"["&amp;L$8&amp;"]"),Data_main[Data],$A77, Data_main[Segment],$B77, Data_main[Scenario],$B$3)),SUMIFS(INDIRECT("Data_main"&amp;"["&amp;L$8&amp;"]"),Data_main[Data],$A77, Data_main[Segment],$B77, Data_main[Scenario],$B$3))</f>
        <v>#N/A</v>
      </c>
      <c r="M77" s="531">
        <f ca="1">IF($B$6="ON", IF(M74&gt;=covid_start, IF(M74&lt;covid_recovery,NA(),SUMIFS(INDIRECT("Data_main"&amp;"["&amp;M$8&amp;"]"),Data_main[Data],$A77, Data_main[Segment],$B77, Data_main[Scenario],$B$3)),SUMIFS(INDIRECT("Data_main"&amp;"["&amp;M$8&amp;"]"),Data_main[Data],$A77, Data_main[Segment],$B77, Data_main[Scenario],$B$3)),SUMIFS(INDIRECT("Data_main"&amp;"["&amp;M$8&amp;"]"),Data_main[Data],$A77, Data_main[Segment],$B77, Data_main[Scenario],$B$3))</f>
        <v>887.79642890515197</v>
      </c>
      <c r="N77" s="531">
        <f ca="1">IF($B$6="ON", IF(N74&gt;=covid_start, IF(N74&lt;covid_recovery,NA(),SUMIFS(INDIRECT("Data_main"&amp;"["&amp;N$8&amp;"]"),Data_main[Data],$A77, Data_main[Segment],$B77, Data_main[Scenario],$B$3)),SUMIFS(INDIRECT("Data_main"&amp;"["&amp;N$8&amp;"]"),Data_main[Data],$A77, Data_main[Segment],$B77, Data_main[Scenario],$B$3)),SUMIFS(INDIRECT("Data_main"&amp;"["&amp;N$8&amp;"]"),Data_main[Data],$A77, Data_main[Segment],$B77, Data_main[Scenario],$B$3))</f>
        <v>859.48342258566197</v>
      </c>
      <c r="O77" s="531">
        <f ca="1">IF($B$6="ON", IF(O74&gt;=covid_start, IF(O74&lt;covid_recovery,NA(),SUMIFS(INDIRECT("Data_main"&amp;"["&amp;O$8&amp;"]"),Data_main[Data],$A77, Data_main[Segment],$B77, Data_main[Scenario],$B$3)),SUMIFS(INDIRECT("Data_main"&amp;"["&amp;O$8&amp;"]"),Data_main[Data],$A77, Data_main[Segment],$B77, Data_main[Scenario],$B$3)),SUMIFS(INDIRECT("Data_main"&amp;"["&amp;O$8&amp;"]"),Data_main[Data],$A77, Data_main[Segment],$B77, Data_main[Scenario],$B$3))</f>
        <v>832.71041113431227</v>
      </c>
      <c r="P77" s="531">
        <f ca="1">IF($B$6="ON", IF(P74&gt;=covid_start, IF(P74&lt;covid_recovery,NA(),SUMIFS(INDIRECT("Data_main"&amp;"["&amp;P$8&amp;"]"),Data_main[Data],$A77, Data_main[Segment],$B77, Data_main[Scenario],$B$3)),SUMIFS(INDIRECT("Data_main"&amp;"["&amp;P$8&amp;"]"),Data_main[Data],$A77, Data_main[Segment],$B77, Data_main[Scenario],$B$3)),SUMIFS(INDIRECT("Data_main"&amp;"["&amp;P$8&amp;"]"),Data_main[Data],$A77, Data_main[Segment],$B77, Data_main[Scenario],$B$3))</f>
        <v>807.3550765016679</v>
      </c>
      <c r="Q77" s="531">
        <f ca="1">IF($B$6="ON", IF(Q74&gt;=covid_start, IF(Q74&lt;covid_recovery,NA(),SUMIFS(INDIRECT("Data_main"&amp;"["&amp;Q$8&amp;"]"),Data_main[Data],$A77, Data_main[Segment],$B77, Data_main[Scenario],$B$3)),SUMIFS(INDIRECT("Data_main"&amp;"["&amp;Q$8&amp;"]"),Data_main[Data],$A77, Data_main[Segment],$B77, Data_main[Scenario],$B$3)),SUMIFS(INDIRECT("Data_main"&amp;"["&amp;Q$8&amp;"]"),Data_main[Data],$A77, Data_main[Segment],$B77, Data_main[Scenario],$B$3))</f>
        <v>783.30772041928174</v>
      </c>
      <c r="R77" s="531">
        <f ca="1">IF($B$6="ON", IF(R74&gt;=covid_start, IF(R74&lt;covid_recovery,NA(),SUMIFS(INDIRECT("Data_main"&amp;"["&amp;R$8&amp;"]"),Data_main[Data],$A77, Data_main[Segment],$B77, Data_main[Scenario],$B$3)),SUMIFS(INDIRECT("Data_main"&amp;"["&amp;R$8&amp;"]"),Data_main[Data],$A77, Data_main[Segment],$B77, Data_main[Scenario],$B$3)),SUMIFS(INDIRECT("Data_main"&amp;"["&amp;R$8&amp;"]"),Data_main[Data],$A77, Data_main[Segment],$B77, Data_main[Scenario],$B$3))</f>
        <v>760.46967781454384</v>
      </c>
      <c r="S77" s="531">
        <f ca="1">IF($B$6="ON", IF(S74&gt;=covid_start, IF(S74&lt;covid_recovery,NA(),SUMIFS(INDIRECT("Data_main"&amp;"["&amp;S$8&amp;"]"),Data_main[Data],$A77, Data_main[Segment],$B77, Data_main[Scenario],$B$3)),SUMIFS(INDIRECT("Data_main"&amp;"["&amp;S$8&amp;"]"),Data_main[Data],$A77, Data_main[Segment],$B77, Data_main[Scenario],$B$3)),SUMIFS(INDIRECT("Data_main"&amp;"["&amp;S$8&amp;"]"),Data_main[Data],$A77, Data_main[Segment],$B77, Data_main[Scenario],$B$3))</f>
        <v>738.75196371706863</v>
      </c>
      <c r="T77" s="531">
        <f ca="1">IF($B$6="ON", IF(T74&gt;=covid_start, IF(T74&lt;covid_recovery,NA(),SUMIFS(INDIRECT("Data_main"&amp;"["&amp;T$8&amp;"]"),Data_main[Data],$A77, Data_main[Segment],$B77, Data_main[Scenario],$B$3)),SUMIFS(INDIRECT("Data_main"&amp;"["&amp;T$8&amp;"]"),Data_main[Data],$A77, Data_main[Segment],$B77, Data_main[Scenario],$B$3)),SUMIFS(INDIRECT("Data_main"&amp;"["&amp;T$8&amp;"]"),Data_main[Data],$A77, Data_main[Segment],$B77, Data_main[Scenario],$B$3))</f>
        <v>718.07411452732924</v>
      </c>
      <c r="U77" s="531">
        <f ca="1">IF($B$6="ON", IF(U74&gt;=covid_start, IF(U74&lt;covid_recovery,NA(),SUMIFS(INDIRECT("Data_main"&amp;"["&amp;U$8&amp;"]"),Data_main[Data],$A77, Data_main[Segment],$B77, Data_main[Scenario],$B$3)),SUMIFS(INDIRECT("Data_main"&amp;"["&amp;U$8&amp;"]"),Data_main[Data],$A77, Data_main[Segment],$B77, Data_main[Scenario],$B$3)),SUMIFS(INDIRECT("Data_main"&amp;"["&amp;U$8&amp;"]"),Data_main[Data],$A77, Data_main[Segment],$B77, Data_main[Scenario],$B$3))</f>
        <v>689.59400272816458</v>
      </c>
      <c r="V77" s="531">
        <f ca="1">IF($B$6="ON", IF(V74&gt;=covid_start, IF(V74&lt;covid_recovery,NA(),SUMIFS(INDIRECT("Data_main"&amp;"["&amp;V$8&amp;"]"),Data_main[Data],$A77, Data_main[Segment],$B77, Data_main[Scenario],$B$3)),SUMIFS(INDIRECT("Data_main"&amp;"["&amp;V$8&amp;"]"),Data_main[Data],$A77, Data_main[Segment],$B77, Data_main[Scenario],$B$3)),SUMIFS(INDIRECT("Data_main"&amp;"["&amp;V$8&amp;"]"),Data_main[Data],$A77, Data_main[Segment],$B77, Data_main[Scenario],$B$3))</f>
        <v>662.74411983182267</v>
      </c>
      <c r="W77" s="531">
        <f ca="1">IF($B$6="ON", IF(W74&gt;=covid_start, IF(W74&lt;covid_recovery,NA(),SUMIFS(INDIRECT("Data_main"&amp;"["&amp;W$8&amp;"]"),Data_main[Data],$A77, Data_main[Segment],$B77, Data_main[Scenario],$B$3)),SUMIFS(INDIRECT("Data_main"&amp;"["&amp;W$8&amp;"]"),Data_main[Data],$A77, Data_main[Segment],$B77, Data_main[Scenario],$B$3)),SUMIFS(INDIRECT("Data_main"&amp;"["&amp;W$8&amp;"]"),Data_main[Data],$A77, Data_main[Segment],$B77, Data_main[Scenario],$B$3))</f>
        <v>637.38838669082486</v>
      </c>
      <c r="X77" s="531">
        <f ca="1">IF($B$6="ON", IF(X74&gt;=covid_start, IF(X74&lt;covid_recovery,NA(),SUMIFS(INDIRECT("Data_main"&amp;"["&amp;X$8&amp;"]"),Data_main[Data],$A77, Data_main[Segment],$B77, Data_main[Scenario],$B$3)),SUMIFS(INDIRECT("Data_main"&amp;"["&amp;X$8&amp;"]"),Data_main[Data],$A77, Data_main[Segment],$B77, Data_main[Scenario],$B$3)),SUMIFS(INDIRECT("Data_main"&amp;"["&amp;X$8&amp;"]"),Data_main[Data],$A77, Data_main[Segment],$B77, Data_main[Scenario],$B$3))</f>
        <v>613.40545930542567</v>
      </c>
      <c r="Y77" s="531">
        <f ca="1">IF($B$6="ON", IF(Y74&gt;=covid_start, IF(Y74&lt;covid_recovery,NA(),SUMIFS(INDIRECT("Data_main"&amp;"["&amp;Y$8&amp;"]"),Data_main[Data],$A77, Data_main[Segment],$B77, Data_main[Scenario],$B$3)),SUMIFS(INDIRECT("Data_main"&amp;"["&amp;Y$8&amp;"]"),Data_main[Data],$A77, Data_main[Segment],$B77, Data_main[Scenario],$B$3)),SUMIFS(INDIRECT("Data_main"&amp;"["&amp;Y$8&amp;"]"),Data_main[Data],$A77, Data_main[Segment],$B77, Data_main[Scenario],$B$3))</f>
        <v>590.68678692303445</v>
      </c>
      <c r="Z77" s="531">
        <f ca="1">IF($B$6="ON", IF(Z74&gt;=covid_start, IF(Z74&lt;covid_recovery,NA(),SUMIFS(INDIRECT("Data_main"&amp;"["&amp;Z$8&amp;"]"),Data_main[Data],$A77, Data_main[Segment],$B77, Data_main[Scenario],$B$3)),SUMIFS(INDIRECT("Data_main"&amp;"["&amp;Z$8&amp;"]"),Data_main[Data],$A77, Data_main[Segment],$B77, Data_main[Scenario],$B$3)),SUMIFS(INDIRECT("Data_main"&amp;"["&amp;Z$8&amp;"]"),Data_main[Data],$A77, Data_main[Segment],$B77, Data_main[Scenario],$B$3))</f>
        <v>569.13496935177886</v>
      </c>
      <c r="AA77" s="531">
        <f ca="1">IF($B$6="ON", IF(AA74&gt;=covid_start, IF(AA74&lt;covid_recovery,NA(),SUMIFS(INDIRECT("Data_main"&amp;"["&amp;AA$8&amp;"]"),Data_main[Data],$A77, Data_main[Segment],$B77, Data_main[Scenario],$B$3)),SUMIFS(INDIRECT("Data_main"&amp;"["&amp;AA$8&amp;"]"),Data_main[Data],$A77, Data_main[Segment],$B77, Data_main[Scenario],$B$3)),SUMIFS(INDIRECT("Data_main"&amp;"["&amp;AA$8&amp;"]"),Data_main[Data],$A77, Data_main[Segment],$B77, Data_main[Scenario],$B$3))</f>
        <v>548.6623610470939</v>
      </c>
      <c r="AB77" s="531">
        <f ca="1">IF($B$6="ON", IF(AB74&gt;=covid_start, IF(AB74&lt;covid_recovery,NA(),SUMIFS(INDIRECT("Data_main"&amp;"["&amp;AB$8&amp;"]"),Data_main[Data],$A77, Data_main[Segment],$B77, Data_main[Scenario],$B$3)),SUMIFS(INDIRECT("Data_main"&amp;"["&amp;AB$8&amp;"]"),Data_main[Data],$A77, Data_main[Segment],$B77, Data_main[Scenario],$B$3)),SUMIFS(INDIRECT("Data_main"&amp;"["&amp;AB$8&amp;"]"),Data_main[Data],$A77, Data_main[Segment],$B77, Data_main[Scenario],$B$3))</f>
        <v>529.18987977763265</v>
      </c>
      <c r="AC77" s="531">
        <f ca="1">IF($B$6="ON", IF(AC74&gt;=covid_start, IF(AC74&lt;covid_recovery,NA(),SUMIFS(INDIRECT("Data_main"&amp;"["&amp;AC$8&amp;"]"),Data_main[Data],$A77, Data_main[Segment],$B77, Data_main[Scenario],$B$3)),SUMIFS(INDIRECT("Data_main"&amp;"["&amp;AC$8&amp;"]"),Data_main[Data],$A77, Data_main[Segment],$B77, Data_main[Scenario],$B$3)),SUMIFS(INDIRECT("Data_main"&amp;"["&amp;AC$8&amp;"]"),Data_main[Data],$A77, Data_main[Segment],$B77, Data_main[Scenario],$B$3))</f>
        <v>510.64598572516871</v>
      </c>
      <c r="AD77" s="531">
        <f ca="1">IF($B$6="ON", IF(AD74&gt;=covid_start, IF(AD74&lt;covid_recovery,NA(),SUMIFS(INDIRECT("Data_main"&amp;"["&amp;AD$8&amp;"]"),Data_main[Data],$A77, Data_main[Segment],$B77, Data_main[Scenario],$B$3)),SUMIFS(INDIRECT("Data_main"&amp;"["&amp;AD$8&amp;"]"),Data_main[Data],$A77, Data_main[Segment],$B77, Data_main[Scenario],$B$3)),SUMIFS(INDIRECT("Data_main"&amp;"["&amp;AD$8&amp;"]"),Data_main[Data],$A77, Data_main[Segment],$B77, Data_main[Scenario],$B$3))</f>
        <v>492.96580323467435</v>
      </c>
      <c r="AE77" s="531">
        <f ca="1">IF($B$6="ON", IF(AE74&gt;=covid_start, IF(AE74&lt;covid_recovery,NA(),SUMIFS(INDIRECT("Data_main"&amp;"["&amp;AE$8&amp;"]"),Data_main[Data],$A77, Data_main[Segment],$B77, Data_main[Scenario],$B$3)),SUMIFS(INDIRECT("Data_main"&amp;"["&amp;AE$8&amp;"]"),Data_main[Data],$A77, Data_main[Segment],$B77, Data_main[Scenario],$B$3)),SUMIFS(INDIRECT("Data_main"&amp;"["&amp;AE$8&amp;"]"),Data_main[Data],$A77, Data_main[Segment],$B77, Data_main[Scenario],$B$3))</f>
        <v>475.26996530223084</v>
      </c>
      <c r="AF77" s="531">
        <f ca="1">IF($B$6="ON", IF(AF74&gt;=covid_start, IF(AF74&lt;covid_recovery,NA(),SUMIFS(INDIRECT("Data_main"&amp;"["&amp;AF$8&amp;"]"),Data_main[Data],$A77, Data_main[Segment],$B77, Data_main[Scenario],$B$3)),SUMIFS(INDIRECT("Data_main"&amp;"["&amp;AF$8&amp;"]"),Data_main[Data],$A77, Data_main[Segment],$B77, Data_main[Scenario],$B$3)),SUMIFS(INDIRECT("Data_main"&amp;"["&amp;AF$8&amp;"]"),Data_main[Data],$A77, Data_main[Segment],$B77, Data_main[Scenario],$B$3))</f>
        <v>458.64920576356826</v>
      </c>
      <c r="AG77" s="531">
        <f ca="1">IF($B$6="ON", IF(AG74&gt;=covid_start, IF(AG74&lt;covid_recovery,NA(),SUMIFS(INDIRECT("Data_main"&amp;"["&amp;AG$8&amp;"]"),Data_main[Data],$A77, Data_main[Segment],$B77, Data_main[Scenario],$B$3)),SUMIFS(INDIRECT("Data_main"&amp;"["&amp;AG$8&amp;"]"),Data_main[Data],$A77, Data_main[Segment],$B77, Data_main[Scenario],$B$3)),SUMIFS(INDIRECT("Data_main"&amp;"["&amp;AG$8&amp;"]"),Data_main[Data],$A77, Data_main[Segment],$B77, Data_main[Scenario],$B$3))</f>
        <v>443.00844128240391</v>
      </c>
      <c r="AH77" s="531">
        <f ca="1">IF($B$6="ON", IF(AH74&gt;=covid_start, IF(AH74&lt;covid_recovery,NA(),SUMIFS(INDIRECT("Data_main"&amp;"["&amp;AH$8&amp;"]"),Data_main[Data],$A77, Data_main[Segment],$B77, Data_main[Scenario],$B$3)),SUMIFS(INDIRECT("Data_main"&amp;"["&amp;AH$8&amp;"]"),Data_main[Data],$A77, Data_main[Segment],$B77, Data_main[Scenario],$B$3)),SUMIFS(INDIRECT("Data_main"&amp;"["&amp;AH$8&amp;"]"),Data_main[Data],$A77, Data_main[Segment],$B77, Data_main[Scenario],$B$3))</f>
        <v>428.2634800568552</v>
      </c>
      <c r="AI77" s="531">
        <f ca="1">IF($B$6="ON", IF(AI74&gt;=covid_start, IF(AI74&lt;covid_recovery,NA(),SUMIFS(INDIRECT("Data_main"&amp;"["&amp;AI$8&amp;"]"),Data_main[Data],$A77, Data_main[Segment],$B77, Data_main[Scenario],$B$3)),SUMIFS(INDIRECT("Data_main"&amp;"["&amp;AI$8&amp;"]"),Data_main[Data],$A77, Data_main[Segment],$B77, Data_main[Scenario],$B$3)),SUMIFS(INDIRECT("Data_main"&amp;"["&amp;AI$8&amp;"]"),Data_main[Data],$A77, Data_main[Segment],$B77, Data_main[Scenario],$B$3))</f>
        <v>414.33950574099231</v>
      </c>
      <c r="AJ77" s="531">
        <f ca="1">IF($B$6="ON", IF(AJ74&gt;=covid_start, IF(AJ74&lt;covid_recovery,NA(),SUMIFS(INDIRECT("Data_main"&amp;"["&amp;AJ$8&amp;"]"),Data_main[Data],$A77, Data_main[Segment],$B77, Data_main[Scenario],$B$3)),SUMIFS(INDIRECT("Data_main"&amp;"["&amp;AJ$8&amp;"]"),Data_main[Data],$A77, Data_main[Segment],$B77, Data_main[Scenario],$B$3)),SUMIFS(INDIRECT("Data_main"&amp;"["&amp;AJ$8&amp;"]"),Data_main[Data],$A77, Data_main[Segment],$B77, Data_main[Scenario],$B$3))</f>
        <v>401.16980774908001</v>
      </c>
      <c r="AK77" s="531">
        <f ca="1">IF($B$6="ON", IF(AK74&gt;=covid_start, IF(AK74&lt;covid_recovery,NA(),SUMIFS(INDIRECT("Data_main"&amp;"["&amp;AK$8&amp;"]"),Data_main[Data],$A77, Data_main[Segment],$B77, Data_main[Scenario],$B$3)),SUMIFS(INDIRECT("Data_main"&amp;"["&amp;AK$8&amp;"]"),Data_main[Data],$A77, Data_main[Segment],$B77, Data_main[Scenario],$B$3)),SUMIFS(INDIRECT("Data_main"&amp;"["&amp;AK$8&amp;"]"),Data_main[Data],$A77, Data_main[Segment],$B77, Data_main[Scenario],$B$3))</f>
        <v>388.69471246057765</v>
      </c>
      <c r="AL77" s="531">
        <f ca="1">IF($B$6="ON", IF(AL74&gt;=covid_start, IF(AL74&lt;covid_recovery,NA(),SUMIFS(INDIRECT("Data_main"&amp;"["&amp;AL$8&amp;"]"),Data_main[Data],$A77, Data_main[Segment],$B77, Data_main[Scenario],$B$3)),SUMIFS(INDIRECT("Data_main"&amp;"["&amp;AL$8&amp;"]"),Data_main[Data],$A77, Data_main[Segment],$B77, Data_main[Scenario],$B$3)),SUMIFS(INDIRECT("Data_main"&amp;"["&amp;AL$8&amp;"]"),Data_main[Data],$A77, Data_main[Segment],$B77, Data_main[Scenario],$B$3))</f>
        <v>376.86067919275132</v>
      </c>
      <c r="AM77" s="531">
        <f ca="1">IF($B$6="ON", IF(AM74&gt;=covid_start, IF(AM74&lt;covid_recovery,NA(),SUMIFS(INDIRECT("Data_main"&amp;"["&amp;AM$8&amp;"]"),Data_main[Data],$A77, Data_main[Segment],$B77, Data_main[Scenario],$B$3)),SUMIFS(INDIRECT("Data_main"&amp;"["&amp;AM$8&amp;"]"),Data_main[Data],$A77, Data_main[Segment],$B77, Data_main[Scenario],$B$3)),SUMIFS(INDIRECT("Data_main"&amp;"["&amp;AM$8&amp;"]"),Data_main[Data],$A77, Data_main[Segment],$B77, Data_main[Scenario],$B$3))</f>
        <v>365.6195320488423</v>
      </c>
      <c r="AN77" s="531">
        <f ca="1">IF($B$6="ON", IF(AN74&gt;=covid_start, IF(AN74&lt;covid_recovery,NA(),SUMIFS(INDIRECT("Data_main"&amp;"["&amp;AN$8&amp;"]"),Data_main[Data],$A77, Data_main[Segment],$B77, Data_main[Scenario],$B$3)),SUMIFS(INDIRECT("Data_main"&amp;"["&amp;AN$8&amp;"]"),Data_main[Data],$A77, Data_main[Segment],$B77, Data_main[Scenario],$B$3)),SUMIFS(INDIRECT("Data_main"&amp;"["&amp;AN$8&amp;"]"),Data_main[Data],$A77, Data_main[Segment],$B77, Data_main[Scenario],$B$3))</f>
        <v>354.92780439822843</v>
      </c>
      <c r="AO77" s="531">
        <f ca="1">IF($B$6="ON", IF(AO74&gt;=covid_start, IF(AO74&lt;covid_recovery,NA(),SUMIFS(INDIRECT("Data_main"&amp;"["&amp;AO$8&amp;"]"),Data_main[Data],$A77, Data_main[Segment],$B77, Data_main[Scenario],$B$3)),SUMIFS(INDIRECT("Data_main"&amp;"["&amp;AO$8&amp;"]"),Data_main[Data],$A77, Data_main[Segment],$B77, Data_main[Scenario],$B$3)),SUMIFS(INDIRECT("Data_main"&amp;"["&amp;AO$8&amp;"]"),Data_main[Data],$A77, Data_main[Segment],$B77, Data_main[Scenario],$B$3))</f>
        <v>0</v>
      </c>
      <c r="AP77" s="531">
        <f ca="1">IF($B$6="ON", IF(AP74&gt;=covid_start, IF(AP74&lt;covid_recovery,NA(),SUMIFS(INDIRECT("Data_main"&amp;"["&amp;AP$8&amp;"]"),Data_main[Data],$A77, Data_main[Segment],$B77, Data_main[Scenario],$B$3)),SUMIFS(INDIRECT("Data_main"&amp;"["&amp;AP$8&amp;"]"),Data_main[Data],$A77, Data_main[Segment],$B77, Data_main[Scenario],$B$3)),SUMIFS(INDIRECT("Data_main"&amp;"["&amp;AP$8&amp;"]"),Data_main[Data],$A77, Data_main[Segment],$B77, Data_main[Scenario],$B$3))</f>
        <v>0</v>
      </c>
      <c r="AQ77" s="531">
        <f ca="1">IF($B$6="ON", IF(AQ74&gt;=covid_start, IF(AQ74&lt;covid_recovery,NA(),SUMIFS(INDIRECT("Data_main"&amp;"["&amp;AQ$8&amp;"]"),Data_main[Data],$A77, Data_main[Segment],$B77, Data_main[Scenario],$B$3)),SUMIFS(INDIRECT("Data_main"&amp;"["&amp;AQ$8&amp;"]"),Data_main[Data],$A77, Data_main[Segment],$B77, Data_main[Scenario],$B$3)),SUMIFS(INDIRECT("Data_main"&amp;"["&amp;AQ$8&amp;"]"),Data_main[Data],$A77, Data_main[Segment],$B77, Data_main[Scenario],$B$3))</f>
        <v>0</v>
      </c>
      <c r="AR77" s="531">
        <f ca="1">IF($B$6="ON", IF(AR74&gt;=covid_start, IF(AR74&lt;covid_recovery,NA(),SUMIFS(INDIRECT("Data_main"&amp;"["&amp;AR$8&amp;"]"),Data_main[Data],$A77, Data_main[Segment],$B77, Data_main[Scenario],$B$3)),SUMIFS(INDIRECT("Data_main"&amp;"["&amp;AR$8&amp;"]"),Data_main[Data],$A77, Data_main[Segment],$B77, Data_main[Scenario],$B$3)),SUMIFS(INDIRECT("Data_main"&amp;"["&amp;AR$8&amp;"]"),Data_main[Data],$A77, Data_main[Segment],$B77, Data_main[Scenario],$B$3))</f>
        <v>0</v>
      </c>
      <c r="AS77" s="531">
        <f ca="1">IF($B$6="ON", IF(AS74&gt;=covid_start, IF(AS74&lt;covid_recovery,NA(),SUMIFS(INDIRECT("Data_main"&amp;"["&amp;AS$8&amp;"]"),Data_main[Data],$A77, Data_main[Segment],$B77, Data_main[Scenario],$B$3)),SUMIFS(INDIRECT("Data_main"&amp;"["&amp;AS$8&amp;"]"),Data_main[Data],$A77, Data_main[Segment],$B77, Data_main[Scenario],$B$3)),SUMIFS(INDIRECT("Data_main"&amp;"["&amp;AS$8&amp;"]"),Data_main[Data],$A77, Data_main[Segment],$B77, Data_main[Scenario],$B$3))</f>
        <v>0</v>
      </c>
      <c r="AT77" s="531">
        <f ca="1">IF($B$6="ON", IF(AT74&gt;=covid_start, IF(AT74&lt;covid_recovery,NA(),SUMIFS(INDIRECT("Data_main"&amp;"["&amp;AT$8&amp;"]"),Data_main[Data],$A77, Data_main[Segment],$B77, Data_main[Scenario],$B$3)),SUMIFS(INDIRECT("Data_main"&amp;"["&amp;AT$8&amp;"]"),Data_main[Data],$A77, Data_main[Segment],$B77, Data_main[Scenario],$B$3)),SUMIFS(INDIRECT("Data_main"&amp;"["&amp;AT$8&amp;"]"),Data_main[Data],$A77, Data_main[Segment],$B77, Data_main[Scenario],$B$3))</f>
        <v>0</v>
      </c>
      <c r="AU77" s="531">
        <f ca="1">IF($B$6="ON", IF(AU74&gt;=covid_start, IF(AU74&lt;covid_recovery,NA(),SUMIFS(INDIRECT("Data_main"&amp;"["&amp;AU$8&amp;"]"),Data_main[Data],$A77, Data_main[Segment],$B77, Data_main[Scenario],$B$3)),SUMIFS(INDIRECT("Data_main"&amp;"["&amp;AU$8&amp;"]"),Data_main[Data],$A77, Data_main[Segment],$B77, Data_main[Scenario],$B$3)),SUMIFS(INDIRECT("Data_main"&amp;"["&amp;AU$8&amp;"]"),Data_main[Data],$A77, Data_main[Segment],$B77, Data_main[Scenario],$B$3))</f>
        <v>0</v>
      </c>
      <c r="AV77" s="531">
        <f ca="1">IF($B$6="ON", IF(AV74&gt;=covid_start, IF(AV74&lt;covid_recovery,NA(),SUMIFS(INDIRECT("Data_main"&amp;"["&amp;AV$8&amp;"]"),Data_main[Data],$A77, Data_main[Segment],$B77, Data_main[Scenario],$B$3)),SUMIFS(INDIRECT("Data_main"&amp;"["&amp;AV$8&amp;"]"),Data_main[Data],$A77, Data_main[Segment],$B77, Data_main[Scenario],$B$3)),SUMIFS(INDIRECT("Data_main"&amp;"["&amp;AV$8&amp;"]"),Data_main[Data],$A77, Data_main[Segment],$B77, Data_main[Scenario],$B$3))</f>
        <v>0</v>
      </c>
      <c r="AW77" s="531">
        <f ca="1">IF($B$6="ON", IF(AW74&gt;=covid_start, IF(AW74&lt;covid_recovery,NA(),SUMIFS(INDIRECT("Data_main"&amp;"["&amp;AW$8&amp;"]"),Data_main[Data],$A77, Data_main[Segment],$B77, Data_main[Scenario],$B$3)),SUMIFS(INDIRECT("Data_main"&amp;"["&amp;AW$8&amp;"]"),Data_main[Data],$A77, Data_main[Segment],$B77, Data_main[Scenario],$B$3)),SUMIFS(INDIRECT("Data_main"&amp;"["&amp;AW$8&amp;"]"),Data_main[Data],$A77, Data_main[Segment],$B77, Data_main[Scenario],$B$3))</f>
        <v>0</v>
      </c>
      <c r="AX77" s="531">
        <f ca="1">IF($B$6="ON", IF(AX74&gt;=covid_start, IF(AX74&lt;covid_recovery,NA(),SUMIFS(INDIRECT("Data_main"&amp;"["&amp;AX$8&amp;"]"),Data_main[Data],$A77, Data_main[Segment],$B77, Data_main[Scenario],$B$3)),SUMIFS(INDIRECT("Data_main"&amp;"["&amp;AX$8&amp;"]"),Data_main[Data],$A77, Data_main[Segment],$B77, Data_main[Scenario],$B$3)),SUMIFS(INDIRECT("Data_main"&amp;"["&amp;AX$8&amp;"]"),Data_main[Data],$A77, Data_main[Segment],$B77, Data_main[Scenario],$B$3))</f>
        <v>0</v>
      </c>
      <c r="AY77" s="531">
        <f ca="1">IF($B$6="ON", IF(AY74&gt;=covid_start, IF(AY74&lt;covid_recovery,NA(),SUMIFS(INDIRECT("Data_main"&amp;"["&amp;AY$8&amp;"]"),Data_main[Data],$A77, Data_main[Segment],$B77, Data_main[Scenario],$B$3)),SUMIFS(INDIRECT("Data_main"&amp;"["&amp;AY$8&amp;"]"),Data_main[Data],$A77, Data_main[Segment],$B77, Data_main[Scenario],$B$3)),SUMIFS(INDIRECT("Data_main"&amp;"["&amp;AY$8&amp;"]"),Data_main[Data],$A77, Data_main[Segment],$B77, Data_main[Scenario],$B$3))</f>
        <v>0</v>
      </c>
      <c r="AZ77" s="531">
        <f ca="1">IF($B$6="ON", IF(AZ74&gt;=covid_start, IF(AZ74&lt;covid_recovery,NA(),SUMIFS(INDIRECT("Data_main"&amp;"["&amp;AZ$8&amp;"]"),Data_main[Data],$A77, Data_main[Segment],$B77, Data_main[Scenario],$B$3)),SUMIFS(INDIRECT("Data_main"&amp;"["&amp;AZ$8&amp;"]"),Data_main[Data],$A77, Data_main[Segment],$B77, Data_main[Scenario],$B$3)),SUMIFS(INDIRECT("Data_main"&amp;"["&amp;AZ$8&amp;"]"),Data_main[Data],$A77, Data_main[Segment],$B77, Data_main[Scenario],$B$3))</f>
        <v>0</v>
      </c>
      <c r="BA77" s="531">
        <f ca="1">IF($B$6="ON", IF(BA74&gt;=covid_start, IF(BA74&lt;covid_recovery,NA(),SUMIFS(INDIRECT("Data_main"&amp;"["&amp;BA$8&amp;"]"),Data_main[Data],$A77, Data_main[Segment],$B77, Data_main[Scenario],$B$3)),SUMIFS(INDIRECT("Data_main"&amp;"["&amp;BA$8&amp;"]"),Data_main[Data],$A77, Data_main[Segment],$B77, Data_main[Scenario],$B$3)),SUMIFS(INDIRECT("Data_main"&amp;"["&amp;BA$8&amp;"]"),Data_main[Data],$A77, Data_main[Segment],$B77, Data_main[Scenario],$B$3))</f>
        <v>0</v>
      </c>
      <c r="BB77" s="531">
        <f ca="1">IF($B$6="ON", IF(BB74&gt;=covid_start, IF(BB74&lt;covid_recovery,NA(),SUMIFS(INDIRECT("Data_main"&amp;"["&amp;BB$8&amp;"]"),Data_main[Data],$A77, Data_main[Segment],$B77, Data_main[Scenario],$B$3)),SUMIFS(INDIRECT("Data_main"&amp;"["&amp;BB$8&amp;"]"),Data_main[Data],$A77, Data_main[Segment],$B77, Data_main[Scenario],$B$3)),SUMIFS(INDIRECT("Data_main"&amp;"["&amp;BB$8&amp;"]"),Data_main[Data],$A77, Data_main[Segment],$B77, Data_main[Scenario],$B$3))</f>
        <v>0</v>
      </c>
      <c r="BC77" s="531">
        <f ca="1">IF($B$6="ON", IF(BC74&gt;=covid_start, IF(BC74&lt;covid_recovery,NA(),SUMIFS(INDIRECT("Data_main"&amp;"["&amp;BC$8&amp;"]"),Data_main[Data],$A77, Data_main[Segment],$B77, Data_main[Scenario],$B$3)),SUMIFS(INDIRECT("Data_main"&amp;"["&amp;BC$8&amp;"]"),Data_main[Data],$A77, Data_main[Segment],$B77, Data_main[Scenario],$B$3)),SUMIFS(INDIRECT("Data_main"&amp;"["&amp;BC$8&amp;"]"),Data_main[Data],$A77, Data_main[Segment],$B77, Data_main[Scenario],$B$3))</f>
        <v>0</v>
      </c>
      <c r="BD77" s="531">
        <f ca="1">IF($B$6="ON", IF(BD74&gt;=covid_start, IF(BD74&lt;covid_recovery,NA(),SUMIFS(INDIRECT("Data_main"&amp;"["&amp;BD$8&amp;"]"),Data_main[Data],$A77, Data_main[Segment],$B77, Data_main[Scenario],$B$3)),SUMIFS(INDIRECT("Data_main"&amp;"["&amp;BD$8&amp;"]"),Data_main[Data],$A77, Data_main[Segment],$B77, Data_main[Scenario],$B$3)),SUMIFS(INDIRECT("Data_main"&amp;"["&amp;BD$8&amp;"]"),Data_main[Data],$A77, Data_main[Segment],$B77, Data_main[Scenario],$B$3))</f>
        <v>0</v>
      </c>
      <c r="BE77" s="531">
        <f ca="1">IF($B$6="ON", IF(BE74&gt;=covid_start, IF(BE74&lt;covid_recovery,NA(),SUMIFS(INDIRECT("Data_main"&amp;"["&amp;BE$8&amp;"]"),Data_main[Data],$A77, Data_main[Segment],$B77, Data_main[Scenario],$B$3)),SUMIFS(INDIRECT("Data_main"&amp;"["&amp;BE$8&amp;"]"),Data_main[Data],$A77, Data_main[Segment],$B77, Data_main[Scenario],$B$3)),SUMIFS(INDIRECT("Data_main"&amp;"["&amp;BE$8&amp;"]"),Data_main[Data],$A77, Data_main[Segment],$B77, Data_main[Scenario],$B$3))</f>
        <v>0</v>
      </c>
      <c r="BF77" s="531">
        <f ca="1">IF($B$6="ON", IF(BF74&gt;=covid_start, IF(BF74&lt;covid_recovery,NA(),SUMIFS(INDIRECT("Data_main"&amp;"["&amp;BF$8&amp;"]"),Data_main[Data],$A77, Data_main[Segment],$B77, Data_main[Scenario],$B$3)),SUMIFS(INDIRECT("Data_main"&amp;"["&amp;BF$8&amp;"]"),Data_main[Data],$A77, Data_main[Segment],$B77, Data_main[Scenario],$B$3)),SUMIFS(INDIRECT("Data_main"&amp;"["&amp;BF$8&amp;"]"),Data_main[Data],$A77, Data_main[Segment],$B77, Data_main[Scenario],$B$3))</f>
        <v>0</v>
      </c>
      <c r="BG77" s="531">
        <f ca="1">IF($B$6="ON", IF(BG74&gt;=covid_start, IF(BG74&lt;covid_recovery,NA(),SUMIFS(INDIRECT("Data_main"&amp;"["&amp;BG$8&amp;"]"),Data_main[Data],$A77, Data_main[Segment],$B77, Data_main[Scenario],$B$3)),SUMIFS(INDIRECT("Data_main"&amp;"["&amp;BG$8&amp;"]"),Data_main[Data],$A77, Data_main[Segment],$B77, Data_main[Scenario],$B$3)),SUMIFS(INDIRECT("Data_main"&amp;"["&amp;BG$8&amp;"]"),Data_main[Data],$A77, Data_main[Segment],$B77, Data_main[Scenario],$B$3))</f>
        <v>0</v>
      </c>
      <c r="BH77" s="531">
        <f ca="1">IF($B$6="ON", IF(BH74&gt;=covid_start, IF(BH74&lt;covid_recovery,NA(),SUMIFS(INDIRECT("Data_main"&amp;"["&amp;BH$8&amp;"]"),Data_main[Data],$A77, Data_main[Segment],$B77, Data_main[Scenario],$B$3)),SUMIFS(INDIRECT("Data_main"&amp;"["&amp;BH$8&amp;"]"),Data_main[Data],$A77, Data_main[Segment],$B77, Data_main[Scenario],$B$3)),SUMIFS(INDIRECT("Data_main"&amp;"["&amp;BH$8&amp;"]"),Data_main[Data],$A77, Data_main[Segment],$B77, Data_main[Scenario],$B$3))</f>
        <v>0</v>
      </c>
      <c r="BI77" s="531">
        <f ca="1">IF($B$6="ON", IF(BI74&gt;=covid_start, IF(BI74&lt;covid_recovery,NA(),SUMIFS(INDIRECT("Data_main"&amp;"["&amp;BI$8&amp;"]"),Data_main[Data],$A77, Data_main[Segment],$B77, Data_main[Scenario],$B$3)),SUMIFS(INDIRECT("Data_main"&amp;"["&amp;BI$8&amp;"]"),Data_main[Data],$A77, Data_main[Segment],$B77, Data_main[Scenario],$B$3)),SUMIFS(INDIRECT("Data_main"&amp;"["&amp;BI$8&amp;"]"),Data_main[Data],$A77, Data_main[Segment],$B77, Data_main[Scenario],$B$3))</f>
        <v>0</v>
      </c>
      <c r="BJ77" s="531">
        <f ca="1">IF($B$6="ON", IF(BJ74&gt;=covid_start, IF(BJ74&lt;covid_recovery,NA(),SUMIFS(INDIRECT("Data_main"&amp;"["&amp;BJ$8&amp;"]"),Data_main[Data],$A77, Data_main[Segment],$B77, Data_main[Scenario],$B$3)),SUMIFS(INDIRECT("Data_main"&amp;"["&amp;BJ$8&amp;"]"),Data_main[Data],$A77, Data_main[Segment],$B77, Data_main[Scenario],$B$3)),SUMIFS(INDIRECT("Data_main"&amp;"["&amp;BJ$8&amp;"]"),Data_main[Data],$A77, Data_main[Segment],$B77, Data_main[Scenario],$B$3))</f>
        <v>0</v>
      </c>
      <c r="BK77" s="531">
        <f ca="1">IF($B$6="ON", IF(BK74&gt;=covid_start, IF(BK74&lt;covid_recovery,NA(),SUMIFS(INDIRECT("Data_main"&amp;"["&amp;BK$8&amp;"]"),Data_main[Data],$A77, Data_main[Segment],$B77, Data_main[Scenario],$B$3)),SUMIFS(INDIRECT("Data_main"&amp;"["&amp;BK$8&amp;"]"),Data_main[Data],$A77, Data_main[Segment],$B77, Data_main[Scenario],$B$3)),SUMIFS(INDIRECT("Data_main"&amp;"["&amp;BK$8&amp;"]"),Data_main[Data],$A77, Data_main[Segment],$B77, Data_main[Scenario],$B$3))</f>
        <v>0</v>
      </c>
      <c r="BL77" s="531">
        <f ca="1">IF($B$6="ON", IF(BL74&gt;=covid_start, IF(BL74&lt;covid_recovery,NA(),SUMIFS(INDIRECT("Data_main"&amp;"["&amp;BL$8&amp;"]"),Data_main[Data],$A77, Data_main[Segment],$B77, Data_main[Scenario],$B$3)),SUMIFS(INDIRECT("Data_main"&amp;"["&amp;BL$8&amp;"]"),Data_main[Data],$A77, Data_main[Segment],$B77, Data_main[Scenario],$B$3)),SUMIFS(INDIRECT("Data_main"&amp;"["&amp;BL$8&amp;"]"),Data_main[Data],$A77, Data_main[Segment],$B77, Data_main[Scenario],$B$3))</f>
        <v>0</v>
      </c>
      <c r="BM77" s="531">
        <f ca="1">IF($B$6="ON", IF(BM74&gt;=covid_start, IF(BM74&lt;covid_recovery,NA(),SUMIFS(INDIRECT("Data_main"&amp;"["&amp;BM$8&amp;"]"),Data_main[Data],$A77, Data_main[Segment],$B77, Data_main[Scenario],$B$3)),SUMIFS(INDIRECT("Data_main"&amp;"["&amp;BM$8&amp;"]"),Data_main[Data],$A77, Data_main[Segment],$B77, Data_main[Scenario],$B$3)),SUMIFS(INDIRECT("Data_main"&amp;"["&amp;BM$8&amp;"]"),Data_main[Data],$A77, Data_main[Segment],$B77, Data_main[Scenario],$B$3))</f>
        <v>0</v>
      </c>
      <c r="BN77" s="531">
        <f ca="1">IF($B$6="ON", IF(BN74&gt;=covid_start, IF(BN74&lt;covid_recovery,NA(),SUMIFS(INDIRECT("Data_main"&amp;"["&amp;BN$8&amp;"]"),Data_main[Data],$A77, Data_main[Segment],$B77, Data_main[Scenario],$B$3)),SUMIFS(INDIRECT("Data_main"&amp;"["&amp;BN$8&amp;"]"),Data_main[Data],$A77, Data_main[Segment],$B77, Data_main[Scenario],$B$3)),SUMIFS(INDIRECT("Data_main"&amp;"["&amp;BN$8&amp;"]"),Data_main[Data],$A77, Data_main[Segment],$B77, Data_main[Scenario],$B$3))</f>
        <v>0</v>
      </c>
      <c r="BO77" s="531">
        <f ca="1">IF($B$6="ON", IF(BO74&gt;=covid_start, IF(BO74&lt;covid_recovery,NA(),SUMIFS(INDIRECT("Data_main"&amp;"["&amp;BO$8&amp;"]"),Data_main[Data],$A77, Data_main[Segment],$B77, Data_main[Scenario],$B$3)),SUMIFS(INDIRECT("Data_main"&amp;"["&amp;BO$8&amp;"]"),Data_main[Data],$A77, Data_main[Segment],$B77, Data_main[Scenario],$B$3)),SUMIFS(INDIRECT("Data_main"&amp;"["&amp;BO$8&amp;"]"),Data_main[Data],$A77, Data_main[Segment],$B77, Data_main[Scenario],$B$3))</f>
        <v>0</v>
      </c>
      <c r="BP77" s="531">
        <f ca="1">IF($B$6="ON", IF(BP74&gt;=covid_start, IF(BP74&lt;covid_recovery,NA(),SUMIFS(INDIRECT("Data_main"&amp;"["&amp;BP$8&amp;"]"),Data_main[Data],$A77, Data_main[Segment],$B77, Data_main[Scenario],$B$3)),SUMIFS(INDIRECT("Data_main"&amp;"["&amp;BP$8&amp;"]"),Data_main[Data],$A77, Data_main[Segment],$B77, Data_main[Scenario],$B$3)),SUMIFS(INDIRECT("Data_main"&amp;"["&amp;BP$8&amp;"]"),Data_main[Data],$A77, Data_main[Segment],$B77, Data_main[Scenario],$B$3))</f>
        <v>0</v>
      </c>
      <c r="BQ77" s="531">
        <f ca="1">IF($B$6="ON", IF(BQ74&gt;=covid_start, IF(BQ74&lt;covid_recovery,NA(),SUMIFS(INDIRECT("Data_main"&amp;"["&amp;BQ$8&amp;"]"),Data_main[Data],$A77, Data_main[Segment],$B77, Data_main[Scenario],$B$3)),SUMIFS(INDIRECT("Data_main"&amp;"["&amp;BQ$8&amp;"]"),Data_main[Data],$A77, Data_main[Segment],$B77, Data_main[Scenario],$B$3)),SUMIFS(INDIRECT("Data_main"&amp;"["&amp;BQ$8&amp;"]"),Data_main[Data],$A77, Data_main[Segment],$B77, Data_main[Scenario],$B$3))</f>
        <v>0</v>
      </c>
      <c r="BR77" s="531">
        <f ca="1">IF($B$6="ON", IF(BR74&gt;=covid_start, IF(BR74&lt;covid_recovery,NA(),SUMIFS(INDIRECT("Data_main"&amp;"["&amp;BR$8&amp;"]"),Data_main[Data],$A77, Data_main[Segment],$B77, Data_main[Scenario],$B$3)),SUMIFS(INDIRECT("Data_main"&amp;"["&amp;BR$8&amp;"]"),Data_main[Data],$A77, Data_main[Segment],$B77, Data_main[Scenario],$B$3)),SUMIFS(INDIRECT("Data_main"&amp;"["&amp;BR$8&amp;"]"),Data_main[Data],$A77, Data_main[Segment],$B77, Data_main[Scenario],$B$3))</f>
        <v>0</v>
      </c>
      <c r="BS77" s="531">
        <f ca="1">IF($B$6="ON", IF(BS74&gt;=covid_start, IF(BS74&lt;covid_recovery,NA(),SUMIFS(INDIRECT("Data_main"&amp;"["&amp;BS$8&amp;"]"),Data_main[Data],$A77, Data_main[Segment],$B77, Data_main[Scenario],$B$3)),SUMIFS(INDIRECT("Data_main"&amp;"["&amp;BS$8&amp;"]"),Data_main[Data],$A77, Data_main[Segment],$B77, Data_main[Scenario],$B$3)),SUMIFS(INDIRECT("Data_main"&amp;"["&amp;BS$8&amp;"]"),Data_main[Data],$A77, Data_main[Segment],$B77, Data_main[Scenario],$B$3))</f>
        <v>0</v>
      </c>
      <c r="BT77" s="531">
        <f ca="1">IF($B$6="ON", IF(BT74&gt;=covid_start, IF(BT74&lt;covid_recovery,NA(),SUMIFS(INDIRECT("Data_main"&amp;"["&amp;BT$8&amp;"]"),Data_main[Data],$A77, Data_main[Segment],$B77, Data_main[Scenario],$B$3)),SUMIFS(INDIRECT("Data_main"&amp;"["&amp;BT$8&amp;"]"),Data_main[Data],$A77, Data_main[Segment],$B77, Data_main[Scenario],$B$3)),SUMIFS(INDIRECT("Data_main"&amp;"["&amp;BT$8&amp;"]"),Data_main[Data],$A77, Data_main[Segment],$B77, Data_main[Scenario],$B$3))</f>
        <v>0</v>
      </c>
      <c r="BU77" s="531">
        <f ca="1">IF($B$6="ON", IF(BU74&gt;=covid_start, IF(BU74&lt;covid_recovery,NA(),SUMIFS(INDIRECT("Data_main"&amp;"["&amp;BU$8&amp;"]"),Data_main[Data],$A77, Data_main[Segment],$B77, Data_main[Scenario],$B$3)),SUMIFS(INDIRECT("Data_main"&amp;"["&amp;BU$8&amp;"]"),Data_main[Data],$A77, Data_main[Segment],$B77, Data_main[Scenario],$B$3)),SUMIFS(INDIRECT("Data_main"&amp;"["&amp;BU$8&amp;"]"),Data_main[Data],$A77, Data_main[Segment],$B77, Data_main[Scenario],$B$3))</f>
        <v>0</v>
      </c>
      <c r="BV77" s="531">
        <f ca="1">IF($B$6="ON", IF(BV74&gt;=covid_start, IF(BV74&lt;covid_recovery,NA(),SUMIFS(INDIRECT("Data_main"&amp;"["&amp;BV$8&amp;"]"),Data_main[Data],$A77, Data_main[Segment],$B77, Data_main[Scenario],$B$3)),SUMIFS(INDIRECT("Data_main"&amp;"["&amp;BV$8&amp;"]"),Data_main[Data],$A77, Data_main[Segment],$B77, Data_main[Scenario],$B$3)),SUMIFS(INDIRECT("Data_main"&amp;"["&amp;BV$8&amp;"]"),Data_main[Data],$A77, Data_main[Segment],$B77, Data_main[Scenario],$B$3))</f>
        <v>0</v>
      </c>
      <c r="BW77" s="531">
        <f ca="1">IF($B$6="ON", IF(BW74&gt;=covid_start, IF(BW74&lt;covid_recovery,NA(),SUMIFS(INDIRECT("Data_main"&amp;"["&amp;BW$8&amp;"]"),Data_main[Data],$A77, Data_main[Segment],$B77, Data_main[Scenario],$B$3)),SUMIFS(INDIRECT("Data_main"&amp;"["&amp;BW$8&amp;"]"),Data_main[Data],$A77, Data_main[Segment],$B77, Data_main[Scenario],$B$3)),SUMIFS(INDIRECT("Data_main"&amp;"["&amp;BW$8&amp;"]"),Data_main[Data],$A77, Data_main[Segment],$B77, Data_main[Scenario],$B$3))</f>
        <v>0</v>
      </c>
      <c r="BX77" s="531">
        <f ca="1">IF($B$6="ON", IF(BX74&gt;=covid_start, IF(BX74&lt;covid_recovery,NA(),SUMIFS(INDIRECT("Data_main"&amp;"["&amp;BX$8&amp;"]"),Data_main[Data],$A77, Data_main[Segment],$B77, Data_main[Scenario],$B$3)),SUMIFS(INDIRECT("Data_main"&amp;"["&amp;BX$8&amp;"]"),Data_main[Data],$A77, Data_main[Segment],$B77, Data_main[Scenario],$B$3)),SUMIFS(INDIRECT("Data_main"&amp;"["&amp;BX$8&amp;"]"),Data_main[Data],$A77, Data_main[Segment],$B77, Data_main[Scenario],$B$3))</f>
        <v>0</v>
      </c>
      <c r="BY77" s="531">
        <f ca="1">IF($B$6="ON", IF(BY74&gt;=covid_start, IF(BY74&lt;covid_recovery,NA(),SUMIFS(INDIRECT("Data_main"&amp;"["&amp;BY$8&amp;"]"),Data_main[Data],$A77, Data_main[Segment],$B77, Data_main[Scenario],$B$3)),SUMIFS(INDIRECT("Data_main"&amp;"["&amp;BY$8&amp;"]"),Data_main[Data],$A77, Data_main[Segment],$B77, Data_main[Scenario],$B$3)),SUMIFS(INDIRECT("Data_main"&amp;"["&amp;BY$8&amp;"]"),Data_main[Data],$A77, Data_main[Segment],$B77, Data_main[Scenario],$B$3))</f>
        <v>0</v>
      </c>
      <c r="BZ77" s="531">
        <f ca="1">IF($B$6="ON", IF(BZ74&gt;=covid_start, IF(BZ74&lt;covid_recovery,NA(),SUMIFS(INDIRECT("Data_main"&amp;"["&amp;BZ$8&amp;"]"),Data_main[Data],$A77, Data_main[Segment],$B77, Data_main[Scenario],$B$3)),SUMIFS(INDIRECT("Data_main"&amp;"["&amp;BZ$8&amp;"]"),Data_main[Data],$A77, Data_main[Segment],$B77, Data_main[Scenario],$B$3)),SUMIFS(INDIRECT("Data_main"&amp;"["&amp;BZ$8&amp;"]"),Data_main[Data],$A77, Data_main[Segment],$B77, Data_main[Scenario],$B$3))</f>
        <v>0</v>
      </c>
      <c r="CA77" s="531">
        <f ca="1">IF($B$6="ON", IF(CA74&gt;=covid_start, IF(CA74&lt;covid_recovery,NA(),SUMIFS(INDIRECT("Data_main"&amp;"["&amp;CA$8&amp;"]"),Data_main[Data],$A77, Data_main[Segment],$B77, Data_main[Scenario],$B$3)),SUMIFS(INDIRECT("Data_main"&amp;"["&amp;CA$8&amp;"]"),Data_main[Data],$A77, Data_main[Segment],$B77, Data_main[Scenario],$B$3)),SUMIFS(INDIRECT("Data_main"&amp;"["&amp;CA$8&amp;"]"),Data_main[Data],$A77, Data_main[Segment],$B77, Data_main[Scenario],$B$3))</f>
        <v>0</v>
      </c>
      <c r="CB77" s="531">
        <f ca="1">IF($B$6="ON", IF(CB74&gt;=covid_start, IF(CB74&lt;covid_recovery,NA(),SUMIFS(INDIRECT("Data_main"&amp;"["&amp;CB$8&amp;"]"),Data_main[Data],$A77, Data_main[Segment],$B77, Data_main[Scenario],$B$3)),SUMIFS(INDIRECT("Data_main"&amp;"["&amp;CB$8&amp;"]"),Data_main[Data],$A77, Data_main[Segment],$B77, Data_main[Scenario],$B$3)),SUMIFS(INDIRECT("Data_main"&amp;"["&amp;CB$8&amp;"]"),Data_main[Data],$A77, Data_main[Segment],$B77, Data_main[Scenario],$B$3))</f>
        <v>0</v>
      </c>
      <c r="CC77" s="531">
        <f ca="1">IF($B$6="ON", IF(CC74&gt;=covid_start, IF(CC74&lt;covid_recovery,NA(),SUMIFS(INDIRECT("Data_main"&amp;"["&amp;CC$8&amp;"]"),Data_main[Data],$A77, Data_main[Segment],$B77, Data_main[Scenario],$B$3)),SUMIFS(INDIRECT("Data_main"&amp;"["&amp;CC$8&amp;"]"),Data_main[Data],$A77, Data_main[Segment],$B77, Data_main[Scenario],$B$3)),SUMIFS(INDIRECT("Data_main"&amp;"["&amp;CC$8&amp;"]"),Data_main[Data],$A77, Data_main[Segment],$B77, Data_main[Scenario],$B$3))</f>
        <v>0</v>
      </c>
      <c r="CD77" s="531">
        <f ca="1">IF($B$6="ON", IF(CD74&gt;=covid_start, IF(CD74&lt;covid_recovery,NA(),SUMIFS(INDIRECT("Data_main"&amp;"["&amp;CD$8&amp;"]"),Data_main[Data],$A77, Data_main[Segment],$B77, Data_main[Scenario],$B$3)),SUMIFS(INDIRECT("Data_main"&amp;"["&amp;CD$8&amp;"]"),Data_main[Data],$A77, Data_main[Segment],$B77, Data_main[Scenario],$B$3)),SUMIFS(INDIRECT("Data_main"&amp;"["&amp;CD$8&amp;"]"),Data_main[Data],$A77, Data_main[Segment],$B77, Data_main[Scenario],$B$3))</f>
        <v>0</v>
      </c>
      <c r="CE77" s="531">
        <f ca="1">IF($B$6="ON", IF(CE74&gt;=covid_start, IF(CE74&lt;covid_recovery,NA(),SUMIFS(INDIRECT("Data_main"&amp;"["&amp;CE$8&amp;"]"),Data_main[Data],$A77, Data_main[Segment],$B77, Data_main[Scenario],$B$3)),SUMIFS(INDIRECT("Data_main"&amp;"["&amp;CE$8&amp;"]"),Data_main[Data],$A77, Data_main[Segment],$B77, Data_main[Scenario],$B$3)),SUMIFS(INDIRECT("Data_main"&amp;"["&amp;CE$8&amp;"]"),Data_main[Data],$A77, Data_main[Segment],$B77, Data_main[Scenario],$B$3))</f>
        <v>0</v>
      </c>
      <c r="CF77" s="531">
        <f ca="1">IF($B$6="ON", IF(CF74&gt;=covid_start, IF(CF74&lt;covid_recovery,NA(),SUMIFS(INDIRECT("Data_main"&amp;"["&amp;CF$8&amp;"]"),Data_main[Data],$A77, Data_main[Segment],$B77, Data_main[Scenario],$B$3)),SUMIFS(INDIRECT("Data_main"&amp;"["&amp;CF$8&amp;"]"),Data_main[Data],$A77, Data_main[Segment],$B77, Data_main[Scenario],$B$3)),SUMIFS(INDIRECT("Data_main"&amp;"["&amp;CF$8&amp;"]"),Data_main[Data],$A77, Data_main[Segment],$B77, Data_main[Scenario],$B$3))</f>
        <v>0</v>
      </c>
      <c r="CG77" s="531">
        <f ca="1">IF($B$6="ON", IF(CG74&gt;=covid_start, IF(CG74&lt;covid_recovery,NA(),SUMIFS(INDIRECT("Data_main"&amp;"["&amp;CG$8&amp;"]"),Data_main[Data],$A77, Data_main[Segment],$B77, Data_main[Scenario],$B$3)),SUMIFS(INDIRECT("Data_main"&amp;"["&amp;CG$8&amp;"]"),Data_main[Data],$A77, Data_main[Segment],$B77, Data_main[Scenario],$B$3)),SUMIFS(INDIRECT("Data_main"&amp;"["&amp;CG$8&amp;"]"),Data_main[Data],$A77, Data_main[Segment],$B77, Data_main[Scenario],$B$3))</f>
        <v>0</v>
      </c>
      <c r="CH77" s="531">
        <f ca="1">IF($B$6="ON", IF(CH74&gt;=covid_start, IF(CH74&lt;covid_recovery,NA(),SUMIFS(INDIRECT("Data_main"&amp;"["&amp;CH$8&amp;"]"),Data_main[Data],$A77, Data_main[Segment],$B77, Data_main[Scenario],$B$3)),SUMIFS(INDIRECT("Data_main"&amp;"["&amp;CH$8&amp;"]"),Data_main[Data],$A77, Data_main[Segment],$B77, Data_main[Scenario],$B$3)),SUMIFS(INDIRECT("Data_main"&amp;"["&amp;CH$8&amp;"]"),Data_main[Data],$A77, Data_main[Segment],$B77, Data_main[Scenario],$B$3))</f>
        <v>0</v>
      </c>
      <c r="CI77" s="531">
        <f ca="1">IF($B$6="ON", IF(CI74&gt;=covid_start, IF(CI74&lt;covid_recovery,NA(),SUMIFS(INDIRECT("Data_main"&amp;"["&amp;CI$8&amp;"]"),Data_main[Data],$A77, Data_main[Segment],$B77, Data_main[Scenario],$B$3)),SUMIFS(INDIRECT("Data_main"&amp;"["&amp;CI$8&amp;"]"),Data_main[Data],$A77, Data_main[Segment],$B77, Data_main[Scenario],$B$3)),SUMIFS(INDIRECT("Data_main"&amp;"["&amp;CI$8&amp;"]"),Data_main[Data],$A77, Data_main[Segment],$B77, Data_main[Scenario],$B$3))</f>
        <v>0</v>
      </c>
      <c r="CJ77" s="531">
        <f ca="1">IF($B$6="ON", IF(CJ74&gt;=covid_start, IF(CJ74&lt;covid_recovery,NA(),SUMIFS(INDIRECT("Data_main"&amp;"["&amp;CJ$8&amp;"]"),Data_main[Data],$A77, Data_main[Segment],$B77, Data_main[Scenario],$B$3)),SUMIFS(INDIRECT("Data_main"&amp;"["&amp;CJ$8&amp;"]"),Data_main[Data],$A77, Data_main[Segment],$B77, Data_main[Scenario],$B$3)),SUMIFS(INDIRECT("Data_main"&amp;"["&amp;CJ$8&amp;"]"),Data_main[Data],$A77, Data_main[Segment],$B77, Data_main[Scenario],$B$3))</f>
        <v>0</v>
      </c>
      <c r="CK77" s="531">
        <f ca="1">IF($B$6="ON", IF(CK74&gt;=covid_start, IF(CK74&lt;covid_recovery,NA(),SUMIFS(INDIRECT("Data_main"&amp;"["&amp;CK$8&amp;"]"),Data_main[Data],$A77, Data_main[Segment],$B77, Data_main[Scenario],$B$3)),SUMIFS(INDIRECT("Data_main"&amp;"["&amp;CK$8&amp;"]"),Data_main[Data],$A77, Data_main[Segment],$B77, Data_main[Scenario],$B$3)),SUMIFS(INDIRECT("Data_main"&amp;"["&amp;CK$8&amp;"]"),Data_main[Data],$A77, Data_main[Segment],$B77, Data_main[Scenario],$B$3))</f>
        <v>0</v>
      </c>
      <c r="CL77" s="531">
        <f ca="1">IF($B$6="ON", IF(CL74&gt;=covid_start, IF(CL74&lt;covid_recovery,NA(),SUMIFS(INDIRECT("Data_main"&amp;"["&amp;CL$8&amp;"]"),Data_main[Data],$A77, Data_main[Segment],$B77, Data_main[Scenario],$B$3)),SUMIFS(INDIRECT("Data_main"&amp;"["&amp;CL$8&amp;"]"),Data_main[Data],$A77, Data_main[Segment],$B77, Data_main[Scenario],$B$3)),SUMIFS(INDIRECT("Data_main"&amp;"["&amp;CL$8&amp;"]"),Data_main[Data],$A77, Data_main[Segment],$B77, Data_main[Scenario],$B$3))</f>
        <v>0</v>
      </c>
      <c r="CN77" s="613">
        <f ca="1">IFERROR((Y77/H77)^(1/17)-1,"")</f>
        <v>-3.2792689879524106E-2</v>
      </c>
      <c r="CO77" s="613">
        <f ca="1">IFERROR((AN77/Y77)^(1/15)-1,"")</f>
        <v>-3.3387995467958453E-2</v>
      </c>
      <c r="CP77" s="613">
        <f ca="1">IFERROR((AN77/H77)^(1/32)-1,"")</f>
        <v>-3.3071785010047372E-2</v>
      </c>
    </row>
    <row r="78" spans="1:94" outlineLevel="1">
      <c r="A78" s="614"/>
      <c r="B78" s="614" t="s">
        <v>26</v>
      </c>
      <c r="C78" s="614" t="s">
        <v>356</v>
      </c>
      <c r="D78" s="614" t="s">
        <v>357</v>
      </c>
      <c r="E78" s="616">
        <f t="shared" ref="E78:BP78" ca="1" si="210">(E77-INDEX($E74:$CL77,4,MATCH($B$5,$E74:$CL74,0)))/(INDEX($E74:$CL77,4,MATCH($B$4,$E74:$CL74,0))-INDEX($E74:$CL77,4,MATCH($B$5,$E74:$CL74,0)))</f>
        <v>1.1152530924171931</v>
      </c>
      <c r="F78" s="617">
        <f t="shared" ca="1" si="210"/>
        <v>1.0840058449434569</v>
      </c>
      <c r="G78" s="617">
        <f t="shared" ca="1" si="210"/>
        <v>1.0567224517794753</v>
      </c>
      <c r="H78" s="617">
        <f t="shared" ca="1" si="210"/>
        <v>1.0326936503044688</v>
      </c>
      <c r="I78" s="617">
        <f t="shared" ca="1" si="210"/>
        <v>1</v>
      </c>
      <c r="J78" s="617" t="e">
        <f t="shared" ca="1" si="210"/>
        <v>#N/A</v>
      </c>
      <c r="K78" s="617" t="e">
        <f t="shared" ca="1" si="210"/>
        <v>#N/A</v>
      </c>
      <c r="L78" s="617" t="e">
        <f t="shared" ca="1" si="210"/>
        <v>#N/A</v>
      </c>
      <c r="M78" s="617">
        <f t="shared" ca="1" si="210"/>
        <v>0.80188079754465946</v>
      </c>
      <c r="N78" s="617">
        <f t="shared" ca="1" si="210"/>
        <v>0.75927431811576107</v>
      </c>
      <c r="O78" s="617">
        <f t="shared" ca="1" si="210"/>
        <v>0.71898528102871884</v>
      </c>
      <c r="P78" s="617">
        <f t="shared" ca="1" si="210"/>
        <v>0.68082961747083859</v>
      </c>
      <c r="Q78" s="617">
        <f t="shared" ca="1" si="210"/>
        <v>0.64464224935167536</v>
      </c>
      <c r="R78" s="617">
        <f t="shared" ca="1" si="210"/>
        <v>0.61027470174987763</v>
      </c>
      <c r="S78" s="617">
        <f t="shared" ca="1" si="210"/>
        <v>0.57759306672690203</v>
      </c>
      <c r="T78" s="617">
        <f t="shared" ca="1" si="210"/>
        <v>0.54647625962436464</v>
      </c>
      <c r="U78" s="617">
        <f t="shared" ca="1" si="210"/>
        <v>0.50361831356907283</v>
      </c>
      <c r="V78" s="617">
        <f t="shared" ca="1" si="210"/>
        <v>0.46321359743322987</v>
      </c>
      <c r="W78" s="617">
        <f t="shared" ca="1" si="210"/>
        <v>0.42505733418495395</v>
      </c>
      <c r="X78" s="617">
        <f t="shared" ca="1" si="210"/>
        <v>0.38896692079824929</v>
      </c>
      <c r="Y78" s="617">
        <f t="shared" ca="1" si="210"/>
        <v>0.35477900600779799</v>
      </c>
      <c r="Z78" s="617">
        <f t="shared" ca="1" si="210"/>
        <v>0.32234701833247392</v>
      </c>
      <c r="AA78" s="617">
        <f t="shared" ca="1" si="210"/>
        <v>0.29153906545221026</v>
      </c>
      <c r="AB78" s="617">
        <f t="shared" ca="1" si="210"/>
        <v>0.26223614144354379</v>
      </c>
      <c r="AC78" s="617">
        <f t="shared" ca="1" si="210"/>
        <v>0.23433059049065549</v>
      </c>
      <c r="AD78" s="617">
        <f t="shared" ca="1" si="210"/>
        <v>0.20772478526177485</v>
      </c>
      <c r="AE78" s="617">
        <f t="shared" ca="1" si="210"/>
        <v>0.18109542113357316</v>
      </c>
      <c r="AF78" s="617">
        <f t="shared" ca="1" si="210"/>
        <v>0.15608387550730674</v>
      </c>
      <c r="AG78" s="617">
        <f t="shared" ca="1" si="210"/>
        <v>0.13254706339349595</v>
      </c>
      <c r="AH78" s="617">
        <f t="shared" ca="1" si="210"/>
        <v>0.11035828979428311</v>
      </c>
      <c r="AI78" s="617">
        <f t="shared" ca="1" si="210"/>
        <v>8.9404968251422384E-2</v>
      </c>
      <c r="AJ78" s="617">
        <f t="shared" ca="1" si="210"/>
        <v>6.9586710160229909E-2</v>
      </c>
      <c r="AK78" s="617">
        <f t="shared" ca="1" si="210"/>
        <v>5.081371640656987E-2</v>
      </c>
      <c r="AL78" s="617">
        <f t="shared" ca="1" si="210"/>
        <v>3.3005416952355503E-2</v>
      </c>
      <c r="AM78" s="617">
        <f t="shared" ca="1" si="210"/>
        <v>1.6089314891710504E-2</v>
      </c>
      <c r="AN78" s="617">
        <f t="shared" ca="1" si="210"/>
        <v>0</v>
      </c>
      <c r="AO78" s="617">
        <f t="shared" ca="1" si="210"/>
        <v>-0.53410874232834171</v>
      </c>
      <c r="AP78" s="617">
        <f t="shared" ca="1" si="210"/>
        <v>-0.53410874232834171</v>
      </c>
      <c r="AQ78" s="617">
        <f t="shared" ca="1" si="210"/>
        <v>-0.53410874232834171</v>
      </c>
      <c r="AR78" s="617">
        <f t="shared" ca="1" si="210"/>
        <v>-0.53410874232834171</v>
      </c>
      <c r="AS78" s="617">
        <f t="shared" ca="1" si="210"/>
        <v>-0.53410874232834171</v>
      </c>
      <c r="AT78" s="617">
        <f t="shared" ca="1" si="210"/>
        <v>-0.53410874232834171</v>
      </c>
      <c r="AU78" s="617">
        <f t="shared" ca="1" si="210"/>
        <v>-0.53410874232834171</v>
      </c>
      <c r="AV78" s="617">
        <f t="shared" ca="1" si="210"/>
        <v>-0.53410874232834171</v>
      </c>
      <c r="AW78" s="617">
        <f t="shared" ca="1" si="210"/>
        <v>-0.53410874232834171</v>
      </c>
      <c r="AX78" s="617">
        <f t="shared" ca="1" si="210"/>
        <v>-0.53410874232834171</v>
      </c>
      <c r="AY78" s="617">
        <f t="shared" ca="1" si="210"/>
        <v>-0.53410874232834171</v>
      </c>
      <c r="AZ78" s="617">
        <f t="shared" ca="1" si="210"/>
        <v>-0.53410874232834171</v>
      </c>
      <c r="BA78" s="617">
        <f t="shared" ca="1" si="210"/>
        <v>-0.53410874232834171</v>
      </c>
      <c r="BB78" s="617">
        <f t="shared" ca="1" si="210"/>
        <v>-0.53410874232834171</v>
      </c>
      <c r="BC78" s="617">
        <f t="shared" ca="1" si="210"/>
        <v>-0.53410874232834171</v>
      </c>
      <c r="BD78" s="617">
        <f t="shared" ca="1" si="210"/>
        <v>-0.53410874232834171</v>
      </c>
      <c r="BE78" s="617">
        <f t="shared" ca="1" si="210"/>
        <v>-0.53410874232834171</v>
      </c>
      <c r="BF78" s="617">
        <f t="shared" ca="1" si="210"/>
        <v>-0.53410874232834171</v>
      </c>
      <c r="BG78" s="617">
        <f t="shared" ca="1" si="210"/>
        <v>-0.53410874232834171</v>
      </c>
      <c r="BH78" s="617">
        <f t="shared" ca="1" si="210"/>
        <v>-0.53410874232834171</v>
      </c>
      <c r="BI78" s="617">
        <f t="shared" ca="1" si="210"/>
        <v>-0.53410874232834171</v>
      </c>
      <c r="BJ78" s="617">
        <f t="shared" ca="1" si="210"/>
        <v>-0.53410874232834171</v>
      </c>
      <c r="BK78" s="617">
        <f t="shared" ca="1" si="210"/>
        <v>-0.53410874232834171</v>
      </c>
      <c r="BL78" s="617">
        <f t="shared" ca="1" si="210"/>
        <v>-0.53410874232834171</v>
      </c>
      <c r="BM78" s="617">
        <f t="shared" ca="1" si="210"/>
        <v>-0.53410874232834171</v>
      </c>
      <c r="BN78" s="617">
        <f t="shared" ca="1" si="210"/>
        <v>-0.53410874232834171</v>
      </c>
      <c r="BO78" s="617">
        <f t="shared" ca="1" si="210"/>
        <v>-0.53410874232834171</v>
      </c>
      <c r="BP78" s="617">
        <f t="shared" ca="1" si="210"/>
        <v>-0.53410874232834171</v>
      </c>
      <c r="BQ78" s="617">
        <f t="shared" ref="BQ78:CL78" ca="1" si="211">(BQ77-INDEX($E74:$CL77,4,MATCH($B$5,$E74:$CL74,0)))/(INDEX($E74:$CL77,4,MATCH($B$4,$E74:$CL74,0))-INDEX($E74:$CL77,4,MATCH($B$5,$E74:$CL74,0)))</f>
        <v>-0.53410874232834171</v>
      </c>
      <c r="BR78" s="617">
        <f t="shared" ca="1" si="211"/>
        <v>-0.53410874232834171</v>
      </c>
      <c r="BS78" s="617">
        <f t="shared" ca="1" si="211"/>
        <v>-0.53410874232834171</v>
      </c>
      <c r="BT78" s="617">
        <f t="shared" ca="1" si="211"/>
        <v>-0.53410874232834171</v>
      </c>
      <c r="BU78" s="617">
        <f t="shared" ca="1" si="211"/>
        <v>-0.53410874232834171</v>
      </c>
      <c r="BV78" s="617">
        <f t="shared" ca="1" si="211"/>
        <v>-0.53410874232834171</v>
      </c>
      <c r="BW78" s="617">
        <f t="shared" ca="1" si="211"/>
        <v>-0.53410874232834171</v>
      </c>
      <c r="BX78" s="617">
        <f t="shared" ca="1" si="211"/>
        <v>-0.53410874232834171</v>
      </c>
      <c r="BY78" s="617">
        <f t="shared" ca="1" si="211"/>
        <v>-0.53410874232834171</v>
      </c>
      <c r="BZ78" s="617">
        <f t="shared" ca="1" si="211"/>
        <v>-0.53410874232834171</v>
      </c>
      <c r="CA78" s="617">
        <f t="shared" ca="1" si="211"/>
        <v>-0.53410874232834171</v>
      </c>
      <c r="CB78" s="617">
        <f t="shared" ca="1" si="211"/>
        <v>-0.53410874232834171</v>
      </c>
      <c r="CC78" s="617">
        <f t="shared" ca="1" si="211"/>
        <v>-0.53410874232834171</v>
      </c>
      <c r="CD78" s="617">
        <f t="shared" ca="1" si="211"/>
        <v>-0.53410874232834171</v>
      </c>
      <c r="CE78" s="617">
        <f t="shared" ca="1" si="211"/>
        <v>-0.53410874232834171</v>
      </c>
      <c r="CF78" s="617">
        <f t="shared" ca="1" si="211"/>
        <v>-0.53410874232834171</v>
      </c>
      <c r="CG78" s="617">
        <f t="shared" ca="1" si="211"/>
        <v>-0.53410874232834171</v>
      </c>
      <c r="CH78" s="617">
        <f t="shared" ca="1" si="211"/>
        <v>-0.53410874232834171</v>
      </c>
      <c r="CI78" s="617">
        <f t="shared" ca="1" si="211"/>
        <v>-0.53410874232834171</v>
      </c>
      <c r="CJ78" s="617">
        <f t="shared" ca="1" si="211"/>
        <v>-0.53410874232834171</v>
      </c>
      <c r="CK78" s="617">
        <f t="shared" ca="1" si="211"/>
        <v>-0.53410874232834171</v>
      </c>
      <c r="CL78" s="617">
        <f t="shared" ca="1" si="211"/>
        <v>-0.53410874232834171</v>
      </c>
      <c r="CN78" s="618"/>
      <c r="CO78" s="618"/>
      <c r="CP78" s="618"/>
    </row>
    <row r="79" spans="1:94" outlineLevel="1">
      <c r="A79" s="550"/>
      <c r="B79" s="550" t="s">
        <v>28</v>
      </c>
      <c r="C79" s="550" t="s">
        <v>358</v>
      </c>
      <c r="D79" s="550" t="s">
        <v>359</v>
      </c>
      <c r="E79" s="551">
        <f t="shared" ref="E79:BP79" ca="1" si="212">INDEX($E74:$CL77,4,MATCH($B$5,$E74:$CL74,0))</f>
        <v>354.92780439822843</v>
      </c>
      <c r="F79" s="552">
        <f t="shared" ca="1" si="212"/>
        <v>354.92780439822843</v>
      </c>
      <c r="G79" s="552">
        <f t="shared" ca="1" si="212"/>
        <v>354.92780439822843</v>
      </c>
      <c r="H79" s="552">
        <f t="shared" ca="1" si="212"/>
        <v>354.92780439822843</v>
      </c>
      <c r="I79" s="552">
        <f t="shared" ca="1" si="212"/>
        <v>354.92780439822843</v>
      </c>
      <c r="J79" s="552">
        <f t="shared" ca="1" si="212"/>
        <v>354.92780439822843</v>
      </c>
      <c r="K79" s="552">
        <f t="shared" ca="1" si="212"/>
        <v>354.92780439822843</v>
      </c>
      <c r="L79" s="552">
        <f t="shared" ca="1" si="212"/>
        <v>354.92780439822843</v>
      </c>
      <c r="M79" s="552">
        <f t="shared" ca="1" si="212"/>
        <v>354.92780439822843</v>
      </c>
      <c r="N79" s="552">
        <f t="shared" ca="1" si="212"/>
        <v>354.92780439822843</v>
      </c>
      <c r="O79" s="552">
        <f t="shared" ca="1" si="212"/>
        <v>354.92780439822843</v>
      </c>
      <c r="P79" s="552">
        <f t="shared" ca="1" si="212"/>
        <v>354.92780439822843</v>
      </c>
      <c r="Q79" s="552">
        <f t="shared" ca="1" si="212"/>
        <v>354.92780439822843</v>
      </c>
      <c r="R79" s="552">
        <f t="shared" ca="1" si="212"/>
        <v>354.92780439822843</v>
      </c>
      <c r="S79" s="552">
        <f t="shared" ca="1" si="212"/>
        <v>354.92780439822843</v>
      </c>
      <c r="T79" s="552">
        <f t="shared" ca="1" si="212"/>
        <v>354.92780439822843</v>
      </c>
      <c r="U79" s="552">
        <f t="shared" ca="1" si="212"/>
        <v>354.92780439822843</v>
      </c>
      <c r="V79" s="552">
        <f t="shared" ca="1" si="212"/>
        <v>354.92780439822843</v>
      </c>
      <c r="W79" s="552">
        <f t="shared" ca="1" si="212"/>
        <v>354.92780439822843</v>
      </c>
      <c r="X79" s="552">
        <f t="shared" ca="1" si="212"/>
        <v>354.92780439822843</v>
      </c>
      <c r="Y79" s="552">
        <f t="shared" ca="1" si="212"/>
        <v>354.92780439822843</v>
      </c>
      <c r="Z79" s="552">
        <f t="shared" ca="1" si="212"/>
        <v>354.92780439822843</v>
      </c>
      <c r="AA79" s="552">
        <f t="shared" ca="1" si="212"/>
        <v>354.92780439822843</v>
      </c>
      <c r="AB79" s="552">
        <f t="shared" ca="1" si="212"/>
        <v>354.92780439822843</v>
      </c>
      <c r="AC79" s="552">
        <f t="shared" ca="1" si="212"/>
        <v>354.92780439822843</v>
      </c>
      <c r="AD79" s="552">
        <f t="shared" ca="1" si="212"/>
        <v>354.92780439822843</v>
      </c>
      <c r="AE79" s="552">
        <f t="shared" ca="1" si="212"/>
        <v>354.92780439822843</v>
      </c>
      <c r="AF79" s="552">
        <f t="shared" ca="1" si="212"/>
        <v>354.92780439822843</v>
      </c>
      <c r="AG79" s="552">
        <f t="shared" ca="1" si="212"/>
        <v>354.92780439822843</v>
      </c>
      <c r="AH79" s="552">
        <f t="shared" ca="1" si="212"/>
        <v>354.92780439822843</v>
      </c>
      <c r="AI79" s="552">
        <f t="shared" ca="1" si="212"/>
        <v>354.92780439822843</v>
      </c>
      <c r="AJ79" s="552">
        <f t="shared" ca="1" si="212"/>
        <v>354.92780439822843</v>
      </c>
      <c r="AK79" s="552">
        <f t="shared" ca="1" si="212"/>
        <v>354.92780439822843</v>
      </c>
      <c r="AL79" s="552">
        <f t="shared" ca="1" si="212"/>
        <v>354.92780439822843</v>
      </c>
      <c r="AM79" s="552">
        <f t="shared" ca="1" si="212"/>
        <v>354.92780439822843</v>
      </c>
      <c r="AN79" s="552">
        <f t="shared" ca="1" si="212"/>
        <v>354.92780439822843</v>
      </c>
      <c r="AO79" s="552">
        <f t="shared" ca="1" si="212"/>
        <v>354.92780439822843</v>
      </c>
      <c r="AP79" s="552">
        <f t="shared" ca="1" si="212"/>
        <v>354.92780439822843</v>
      </c>
      <c r="AQ79" s="552">
        <f t="shared" ca="1" si="212"/>
        <v>354.92780439822843</v>
      </c>
      <c r="AR79" s="552">
        <f t="shared" ca="1" si="212"/>
        <v>354.92780439822843</v>
      </c>
      <c r="AS79" s="552">
        <f t="shared" ca="1" si="212"/>
        <v>354.92780439822843</v>
      </c>
      <c r="AT79" s="552">
        <f t="shared" ca="1" si="212"/>
        <v>354.92780439822843</v>
      </c>
      <c r="AU79" s="552">
        <f t="shared" ca="1" si="212"/>
        <v>354.92780439822843</v>
      </c>
      <c r="AV79" s="552">
        <f t="shared" ca="1" si="212"/>
        <v>354.92780439822843</v>
      </c>
      <c r="AW79" s="552">
        <f t="shared" ca="1" si="212"/>
        <v>354.92780439822843</v>
      </c>
      <c r="AX79" s="552">
        <f t="shared" ca="1" si="212"/>
        <v>354.92780439822843</v>
      </c>
      <c r="AY79" s="552">
        <f t="shared" ca="1" si="212"/>
        <v>354.92780439822843</v>
      </c>
      <c r="AZ79" s="552">
        <f t="shared" ca="1" si="212"/>
        <v>354.92780439822843</v>
      </c>
      <c r="BA79" s="552">
        <f t="shared" ca="1" si="212"/>
        <v>354.92780439822843</v>
      </c>
      <c r="BB79" s="552">
        <f t="shared" ca="1" si="212"/>
        <v>354.92780439822843</v>
      </c>
      <c r="BC79" s="552">
        <f t="shared" ca="1" si="212"/>
        <v>354.92780439822843</v>
      </c>
      <c r="BD79" s="552">
        <f t="shared" ca="1" si="212"/>
        <v>354.92780439822843</v>
      </c>
      <c r="BE79" s="552">
        <f t="shared" ca="1" si="212"/>
        <v>354.92780439822843</v>
      </c>
      <c r="BF79" s="552">
        <f t="shared" ca="1" si="212"/>
        <v>354.92780439822843</v>
      </c>
      <c r="BG79" s="552">
        <f t="shared" ca="1" si="212"/>
        <v>354.92780439822843</v>
      </c>
      <c r="BH79" s="552">
        <f t="shared" ca="1" si="212"/>
        <v>354.92780439822843</v>
      </c>
      <c r="BI79" s="552">
        <f t="shared" ca="1" si="212"/>
        <v>354.92780439822843</v>
      </c>
      <c r="BJ79" s="552">
        <f t="shared" ca="1" si="212"/>
        <v>354.92780439822843</v>
      </c>
      <c r="BK79" s="552">
        <f t="shared" ca="1" si="212"/>
        <v>354.92780439822843</v>
      </c>
      <c r="BL79" s="552">
        <f t="shared" ca="1" si="212"/>
        <v>354.92780439822843</v>
      </c>
      <c r="BM79" s="552">
        <f t="shared" ca="1" si="212"/>
        <v>354.92780439822843</v>
      </c>
      <c r="BN79" s="552">
        <f t="shared" ca="1" si="212"/>
        <v>354.92780439822843</v>
      </c>
      <c r="BO79" s="552">
        <f t="shared" ca="1" si="212"/>
        <v>354.92780439822843</v>
      </c>
      <c r="BP79" s="552">
        <f t="shared" ca="1" si="212"/>
        <v>354.92780439822843</v>
      </c>
      <c r="BQ79" s="552">
        <f t="shared" ref="BQ79:CL79" ca="1" si="213">INDEX($E74:$CL77,4,MATCH($B$5,$E74:$CL74,0))</f>
        <v>354.92780439822843</v>
      </c>
      <c r="BR79" s="552">
        <f t="shared" ca="1" si="213"/>
        <v>354.92780439822843</v>
      </c>
      <c r="BS79" s="552">
        <f t="shared" ca="1" si="213"/>
        <v>354.92780439822843</v>
      </c>
      <c r="BT79" s="552">
        <f t="shared" ca="1" si="213"/>
        <v>354.92780439822843</v>
      </c>
      <c r="BU79" s="552">
        <f t="shared" ca="1" si="213"/>
        <v>354.92780439822843</v>
      </c>
      <c r="BV79" s="552">
        <f t="shared" ca="1" si="213"/>
        <v>354.92780439822843</v>
      </c>
      <c r="BW79" s="552">
        <f t="shared" ca="1" si="213"/>
        <v>354.92780439822843</v>
      </c>
      <c r="BX79" s="552">
        <f t="shared" ca="1" si="213"/>
        <v>354.92780439822843</v>
      </c>
      <c r="BY79" s="552">
        <f t="shared" ca="1" si="213"/>
        <v>354.92780439822843</v>
      </c>
      <c r="BZ79" s="552">
        <f t="shared" ca="1" si="213"/>
        <v>354.92780439822843</v>
      </c>
      <c r="CA79" s="552">
        <f t="shared" ca="1" si="213"/>
        <v>354.92780439822843</v>
      </c>
      <c r="CB79" s="552">
        <f t="shared" ca="1" si="213"/>
        <v>354.92780439822843</v>
      </c>
      <c r="CC79" s="552">
        <f t="shared" ca="1" si="213"/>
        <v>354.92780439822843</v>
      </c>
      <c r="CD79" s="552">
        <f t="shared" ca="1" si="213"/>
        <v>354.92780439822843</v>
      </c>
      <c r="CE79" s="552">
        <f t="shared" ca="1" si="213"/>
        <v>354.92780439822843</v>
      </c>
      <c r="CF79" s="552">
        <f t="shared" ca="1" si="213"/>
        <v>354.92780439822843</v>
      </c>
      <c r="CG79" s="552">
        <f t="shared" ca="1" si="213"/>
        <v>354.92780439822843</v>
      </c>
      <c r="CH79" s="552">
        <f t="shared" ca="1" si="213"/>
        <v>354.92780439822843</v>
      </c>
      <c r="CI79" s="552">
        <f t="shared" ca="1" si="213"/>
        <v>354.92780439822843</v>
      </c>
      <c r="CJ79" s="552">
        <f t="shared" ca="1" si="213"/>
        <v>354.92780439822843</v>
      </c>
      <c r="CK79" s="552">
        <f t="shared" ca="1" si="213"/>
        <v>354.92780439822843</v>
      </c>
      <c r="CL79" s="552">
        <f t="shared" ca="1" si="213"/>
        <v>354.92780439822843</v>
      </c>
      <c r="CN79" s="618"/>
      <c r="CO79" s="618"/>
      <c r="CP79" s="618"/>
    </row>
    <row r="80" spans="1:94" outlineLevel="1">
      <c r="A80" s="535" t="s">
        <v>255</v>
      </c>
      <c r="B80" s="535" t="s">
        <v>260</v>
      </c>
      <c r="C80" s="535" t="s">
        <v>360</v>
      </c>
      <c r="D80" s="535"/>
      <c r="E80" s="546" t="str">
        <f t="shared" ref="E80:BP80" si="214">IF(E74=base,ple,"")</f>
        <v/>
      </c>
      <c r="F80" s="541" t="str">
        <f t="shared" si="214"/>
        <v/>
      </c>
      <c r="G80" s="541" t="str">
        <f t="shared" si="214"/>
        <v/>
      </c>
      <c r="H80" s="541" t="str">
        <f t="shared" si="214"/>
        <v/>
      </c>
      <c r="I80" s="541" t="e">
        <f t="shared" si="214"/>
        <v>#DIV/0!</v>
      </c>
      <c r="J80" s="541" t="str">
        <f t="shared" si="214"/>
        <v/>
      </c>
      <c r="K80" s="541" t="str">
        <f t="shared" si="214"/>
        <v/>
      </c>
      <c r="L80" s="541" t="str">
        <f t="shared" si="214"/>
        <v/>
      </c>
      <c r="M80" s="541" t="str">
        <f t="shared" si="214"/>
        <v/>
      </c>
      <c r="N80" s="541" t="str">
        <f t="shared" si="214"/>
        <v/>
      </c>
      <c r="O80" s="541" t="str">
        <f t="shared" si="214"/>
        <v/>
      </c>
      <c r="P80" s="541" t="str">
        <f t="shared" si="214"/>
        <v/>
      </c>
      <c r="Q80" s="541" t="str">
        <f t="shared" si="214"/>
        <v/>
      </c>
      <c r="R80" s="541" t="str">
        <f t="shared" si="214"/>
        <v/>
      </c>
      <c r="S80" s="541" t="str">
        <f t="shared" si="214"/>
        <v/>
      </c>
      <c r="T80" s="541" t="str">
        <f t="shared" si="214"/>
        <v/>
      </c>
      <c r="U80" s="541" t="str">
        <f t="shared" si="214"/>
        <v/>
      </c>
      <c r="V80" s="541" t="str">
        <f t="shared" si="214"/>
        <v/>
      </c>
      <c r="W80" s="541" t="str">
        <f t="shared" si="214"/>
        <v/>
      </c>
      <c r="X80" s="541" t="str">
        <f t="shared" si="214"/>
        <v/>
      </c>
      <c r="Y80" s="541" t="str">
        <f t="shared" si="214"/>
        <v/>
      </c>
      <c r="Z80" s="541" t="str">
        <f t="shared" si="214"/>
        <v/>
      </c>
      <c r="AA80" s="541" t="str">
        <f t="shared" si="214"/>
        <v/>
      </c>
      <c r="AB80" s="541" t="str">
        <f t="shared" si="214"/>
        <v/>
      </c>
      <c r="AC80" s="541" t="str">
        <f t="shared" si="214"/>
        <v/>
      </c>
      <c r="AD80" s="541" t="str">
        <f t="shared" si="214"/>
        <v/>
      </c>
      <c r="AE80" s="541" t="str">
        <f t="shared" si="214"/>
        <v/>
      </c>
      <c r="AF80" s="541" t="str">
        <f t="shared" si="214"/>
        <v/>
      </c>
      <c r="AG80" s="541" t="str">
        <f t="shared" si="214"/>
        <v/>
      </c>
      <c r="AH80" s="541" t="str">
        <f t="shared" si="214"/>
        <v/>
      </c>
      <c r="AI80" s="541" t="str">
        <f t="shared" si="214"/>
        <v/>
      </c>
      <c r="AJ80" s="541" t="str">
        <f t="shared" si="214"/>
        <v/>
      </c>
      <c r="AK80" s="541" t="str">
        <f t="shared" si="214"/>
        <v/>
      </c>
      <c r="AL80" s="541" t="str">
        <f t="shared" si="214"/>
        <v/>
      </c>
      <c r="AM80" s="541" t="str">
        <f t="shared" si="214"/>
        <v/>
      </c>
      <c r="AN80" s="541" t="str">
        <f t="shared" si="214"/>
        <v/>
      </c>
      <c r="AO80" s="541" t="str">
        <f t="shared" si="214"/>
        <v/>
      </c>
      <c r="AP80" s="541" t="str">
        <f t="shared" si="214"/>
        <v/>
      </c>
      <c r="AQ80" s="541" t="str">
        <f t="shared" si="214"/>
        <v/>
      </c>
      <c r="AR80" s="541" t="str">
        <f t="shared" si="214"/>
        <v/>
      </c>
      <c r="AS80" s="541" t="str">
        <f t="shared" si="214"/>
        <v/>
      </c>
      <c r="AT80" s="541" t="str">
        <f t="shared" si="214"/>
        <v/>
      </c>
      <c r="AU80" s="541" t="str">
        <f t="shared" si="214"/>
        <v/>
      </c>
      <c r="AV80" s="541" t="str">
        <f t="shared" si="214"/>
        <v/>
      </c>
      <c r="AW80" s="541" t="str">
        <f t="shared" si="214"/>
        <v/>
      </c>
      <c r="AX80" s="541" t="str">
        <f t="shared" si="214"/>
        <v/>
      </c>
      <c r="AY80" s="541" t="str">
        <f t="shared" si="214"/>
        <v/>
      </c>
      <c r="AZ80" s="541" t="str">
        <f t="shared" si="214"/>
        <v/>
      </c>
      <c r="BA80" s="541" t="str">
        <f t="shared" si="214"/>
        <v/>
      </c>
      <c r="BB80" s="541" t="str">
        <f t="shared" si="214"/>
        <v/>
      </c>
      <c r="BC80" s="541" t="str">
        <f t="shared" si="214"/>
        <v/>
      </c>
      <c r="BD80" s="541" t="str">
        <f t="shared" si="214"/>
        <v/>
      </c>
      <c r="BE80" s="541" t="str">
        <f t="shared" si="214"/>
        <v/>
      </c>
      <c r="BF80" s="541" t="str">
        <f t="shared" si="214"/>
        <v/>
      </c>
      <c r="BG80" s="541" t="str">
        <f t="shared" si="214"/>
        <v/>
      </c>
      <c r="BH80" s="541" t="str">
        <f t="shared" si="214"/>
        <v/>
      </c>
      <c r="BI80" s="541" t="str">
        <f t="shared" si="214"/>
        <v/>
      </c>
      <c r="BJ80" s="541" t="str">
        <f t="shared" si="214"/>
        <v/>
      </c>
      <c r="BK80" s="541" t="str">
        <f t="shared" si="214"/>
        <v/>
      </c>
      <c r="BL80" s="541" t="str">
        <f t="shared" si="214"/>
        <v/>
      </c>
      <c r="BM80" s="541" t="str">
        <f t="shared" si="214"/>
        <v/>
      </c>
      <c r="BN80" s="541" t="str">
        <f t="shared" si="214"/>
        <v/>
      </c>
      <c r="BO80" s="541" t="str">
        <f t="shared" si="214"/>
        <v/>
      </c>
      <c r="BP80" s="541" t="str">
        <f t="shared" si="214"/>
        <v/>
      </c>
      <c r="BQ80" s="541" t="str">
        <f t="shared" ref="BQ80:CL80" si="215">IF(BQ74=base,ple,"")</f>
        <v/>
      </c>
      <c r="BR80" s="541" t="str">
        <f t="shared" si="215"/>
        <v/>
      </c>
      <c r="BS80" s="541" t="str">
        <f t="shared" si="215"/>
        <v/>
      </c>
      <c r="BT80" s="541" t="str">
        <f t="shared" si="215"/>
        <v/>
      </c>
      <c r="BU80" s="541" t="str">
        <f t="shared" si="215"/>
        <v/>
      </c>
      <c r="BV80" s="541" t="str">
        <f t="shared" si="215"/>
        <v/>
      </c>
      <c r="BW80" s="541" t="str">
        <f t="shared" si="215"/>
        <v/>
      </c>
      <c r="BX80" s="541" t="str">
        <f t="shared" si="215"/>
        <v/>
      </c>
      <c r="BY80" s="541" t="str">
        <f t="shared" si="215"/>
        <v/>
      </c>
      <c r="BZ80" s="541" t="str">
        <f t="shared" si="215"/>
        <v/>
      </c>
      <c r="CA80" s="541" t="str">
        <f t="shared" si="215"/>
        <v/>
      </c>
      <c r="CB80" s="541" t="str">
        <f t="shared" si="215"/>
        <v/>
      </c>
      <c r="CC80" s="541" t="str">
        <f t="shared" si="215"/>
        <v/>
      </c>
      <c r="CD80" s="541" t="str">
        <f t="shared" si="215"/>
        <v/>
      </c>
      <c r="CE80" s="541" t="str">
        <f t="shared" si="215"/>
        <v/>
      </c>
      <c r="CF80" s="541" t="str">
        <f t="shared" si="215"/>
        <v/>
      </c>
      <c r="CG80" s="541" t="str">
        <f t="shared" si="215"/>
        <v/>
      </c>
      <c r="CH80" s="541" t="str">
        <f t="shared" si="215"/>
        <v/>
      </c>
      <c r="CI80" s="541" t="str">
        <f t="shared" si="215"/>
        <v/>
      </c>
      <c r="CJ80" s="541" t="str">
        <f t="shared" si="215"/>
        <v/>
      </c>
      <c r="CK80" s="541" t="str">
        <f t="shared" si="215"/>
        <v/>
      </c>
      <c r="CL80" s="541" t="str">
        <f t="shared" si="215"/>
        <v/>
      </c>
      <c r="CN80" s="619" t="str">
        <f t="shared" ref="CN80:CN89" si="216">IFERROR((Y80/H80)^(1/17)-1,"")</f>
        <v/>
      </c>
      <c r="CO80" s="619" t="str">
        <f t="shared" ref="CO80:CO89" si="217">IFERROR((AN80/Y80)^(1/15)-1,"")</f>
        <v/>
      </c>
      <c r="CP80" s="619" t="str">
        <f t="shared" ref="CP80:CP89" si="218">IFERROR((AN80/H80)^(1/32)-1,"")</f>
        <v/>
      </c>
    </row>
    <row r="81" spans="1:94" outlineLevel="1">
      <c r="A81" s="535" t="s">
        <v>255</v>
      </c>
      <c r="B81" s="535" t="s">
        <v>259</v>
      </c>
      <c r="C81" s="535" t="s">
        <v>361</v>
      </c>
      <c r="D81" s="535"/>
      <c r="E81" s="546" t="e">
        <f t="shared" ref="E81:AJ81" si="219">IF(E8&lt;sector_base,NA(),IFERROR(IF(activity_approach="Input Activity Data Manually",IF(E8=base,pla,IF(E8=target,plf,D81+((plf-pla)/(target-base)))),pla*(1+f_CAGR)^(E8-base)),""))</f>
        <v>#N/A</v>
      </c>
      <c r="F81" s="541" t="e">
        <f t="shared" si="219"/>
        <v>#N/A</v>
      </c>
      <c r="G81" s="541" t="e">
        <f t="shared" si="219"/>
        <v>#N/A</v>
      </c>
      <c r="H81" s="541" t="e">
        <f t="shared" si="219"/>
        <v>#N/A</v>
      </c>
      <c r="I81" s="541">
        <f t="shared" si="219"/>
        <v>0</v>
      </c>
      <c r="J81" s="541">
        <f t="shared" si="219"/>
        <v>0</v>
      </c>
      <c r="K81" s="541">
        <f t="shared" si="219"/>
        <v>0</v>
      </c>
      <c r="L81" s="541">
        <f t="shared" si="219"/>
        <v>0</v>
      </c>
      <c r="M81" s="541">
        <f t="shared" si="219"/>
        <v>0</v>
      </c>
      <c r="N81" s="541">
        <f t="shared" si="219"/>
        <v>0</v>
      </c>
      <c r="O81" s="541">
        <f t="shared" si="219"/>
        <v>0</v>
      </c>
      <c r="P81" s="541">
        <f t="shared" si="219"/>
        <v>0</v>
      </c>
      <c r="Q81" s="541">
        <f t="shared" si="219"/>
        <v>0</v>
      </c>
      <c r="R81" s="541">
        <f t="shared" si="219"/>
        <v>0</v>
      </c>
      <c r="S81" s="541">
        <f t="shared" si="219"/>
        <v>0</v>
      </c>
      <c r="T81" s="541">
        <f t="shared" si="219"/>
        <v>0</v>
      </c>
      <c r="U81" s="541">
        <f t="shared" si="219"/>
        <v>0</v>
      </c>
      <c r="V81" s="541">
        <f t="shared" si="219"/>
        <v>0</v>
      </c>
      <c r="W81" s="541">
        <f t="shared" si="219"/>
        <v>0</v>
      </c>
      <c r="X81" s="541">
        <f t="shared" si="219"/>
        <v>0</v>
      </c>
      <c r="Y81" s="541">
        <f t="shared" si="219"/>
        <v>0</v>
      </c>
      <c r="Z81" s="541">
        <f t="shared" si="219"/>
        <v>0</v>
      </c>
      <c r="AA81" s="541">
        <f t="shared" si="219"/>
        <v>0</v>
      </c>
      <c r="AB81" s="541">
        <f t="shared" si="219"/>
        <v>0</v>
      </c>
      <c r="AC81" s="541">
        <f t="shared" si="219"/>
        <v>0</v>
      </c>
      <c r="AD81" s="541">
        <f t="shared" si="219"/>
        <v>0</v>
      </c>
      <c r="AE81" s="541">
        <f t="shared" si="219"/>
        <v>0</v>
      </c>
      <c r="AF81" s="541">
        <f t="shared" si="219"/>
        <v>0</v>
      </c>
      <c r="AG81" s="541">
        <f t="shared" si="219"/>
        <v>0</v>
      </c>
      <c r="AH81" s="541">
        <f t="shared" si="219"/>
        <v>0</v>
      </c>
      <c r="AI81" s="541">
        <f t="shared" si="219"/>
        <v>0</v>
      </c>
      <c r="AJ81" s="541">
        <f t="shared" si="219"/>
        <v>0</v>
      </c>
      <c r="AK81" s="541">
        <f t="shared" ref="AK81:BP81" si="220">IF(AK8&lt;sector_base,NA(),IFERROR(IF(activity_approach="Input Activity Data Manually",IF(AK8=base,pla,IF(AK8=target,plf,AJ81+((plf-pla)/(target-base)))),pla*(1+f_CAGR)^(AK8-base)),""))</f>
        <v>0</v>
      </c>
      <c r="AL81" s="541">
        <f t="shared" si="220"/>
        <v>0</v>
      </c>
      <c r="AM81" s="541">
        <f t="shared" si="220"/>
        <v>0</v>
      </c>
      <c r="AN81" s="541">
        <f t="shared" si="220"/>
        <v>0</v>
      </c>
      <c r="AO81" s="541">
        <f t="shared" si="220"/>
        <v>0</v>
      </c>
      <c r="AP81" s="541">
        <f t="shared" si="220"/>
        <v>0</v>
      </c>
      <c r="AQ81" s="541">
        <f t="shared" si="220"/>
        <v>0</v>
      </c>
      <c r="AR81" s="541">
        <f t="shared" si="220"/>
        <v>0</v>
      </c>
      <c r="AS81" s="541">
        <f t="shared" si="220"/>
        <v>0</v>
      </c>
      <c r="AT81" s="541">
        <f t="shared" si="220"/>
        <v>0</v>
      </c>
      <c r="AU81" s="541">
        <f t="shared" si="220"/>
        <v>0</v>
      </c>
      <c r="AV81" s="541">
        <f t="shared" si="220"/>
        <v>0</v>
      </c>
      <c r="AW81" s="541">
        <f t="shared" si="220"/>
        <v>0</v>
      </c>
      <c r="AX81" s="541">
        <f t="shared" si="220"/>
        <v>0</v>
      </c>
      <c r="AY81" s="541">
        <f t="shared" si="220"/>
        <v>0</v>
      </c>
      <c r="AZ81" s="541">
        <f t="shared" si="220"/>
        <v>0</v>
      </c>
      <c r="BA81" s="541">
        <f t="shared" si="220"/>
        <v>0</v>
      </c>
      <c r="BB81" s="541">
        <f t="shared" si="220"/>
        <v>0</v>
      </c>
      <c r="BC81" s="541">
        <f t="shared" si="220"/>
        <v>0</v>
      </c>
      <c r="BD81" s="541">
        <f t="shared" si="220"/>
        <v>0</v>
      </c>
      <c r="BE81" s="541">
        <f t="shared" si="220"/>
        <v>0</v>
      </c>
      <c r="BF81" s="541">
        <f t="shared" si="220"/>
        <v>0</v>
      </c>
      <c r="BG81" s="541">
        <f t="shared" si="220"/>
        <v>0</v>
      </c>
      <c r="BH81" s="541">
        <f t="shared" si="220"/>
        <v>0</v>
      </c>
      <c r="BI81" s="541">
        <f t="shared" si="220"/>
        <v>0</v>
      </c>
      <c r="BJ81" s="541">
        <f t="shared" si="220"/>
        <v>0</v>
      </c>
      <c r="BK81" s="541">
        <f t="shared" si="220"/>
        <v>0</v>
      </c>
      <c r="BL81" s="541">
        <f t="shared" si="220"/>
        <v>0</v>
      </c>
      <c r="BM81" s="541">
        <f t="shared" si="220"/>
        <v>0</v>
      </c>
      <c r="BN81" s="541">
        <f t="shared" si="220"/>
        <v>0</v>
      </c>
      <c r="BO81" s="541">
        <f t="shared" si="220"/>
        <v>0</v>
      </c>
      <c r="BP81" s="541">
        <f t="shared" si="220"/>
        <v>0</v>
      </c>
      <c r="BQ81" s="541">
        <f t="shared" ref="BQ81:CL81" si="221">IF(BQ8&lt;sector_base,NA(),IFERROR(IF(activity_approach="Input Activity Data Manually",IF(BQ8=base,pla,IF(BQ8=target,plf,BP81+((plf-pla)/(target-base)))),pla*(1+f_CAGR)^(BQ8-base)),""))</f>
        <v>0</v>
      </c>
      <c r="BR81" s="541">
        <f t="shared" si="221"/>
        <v>0</v>
      </c>
      <c r="BS81" s="541">
        <f t="shared" si="221"/>
        <v>0</v>
      </c>
      <c r="BT81" s="541">
        <f t="shared" si="221"/>
        <v>0</v>
      </c>
      <c r="BU81" s="541">
        <f t="shared" si="221"/>
        <v>0</v>
      </c>
      <c r="BV81" s="541">
        <f t="shared" si="221"/>
        <v>0</v>
      </c>
      <c r="BW81" s="541">
        <f t="shared" si="221"/>
        <v>0</v>
      </c>
      <c r="BX81" s="541">
        <f t="shared" si="221"/>
        <v>0</v>
      </c>
      <c r="BY81" s="541">
        <f t="shared" si="221"/>
        <v>0</v>
      </c>
      <c r="BZ81" s="541">
        <f t="shared" si="221"/>
        <v>0</v>
      </c>
      <c r="CA81" s="541">
        <f t="shared" si="221"/>
        <v>0</v>
      </c>
      <c r="CB81" s="541">
        <f t="shared" si="221"/>
        <v>0</v>
      </c>
      <c r="CC81" s="541">
        <f t="shared" si="221"/>
        <v>0</v>
      </c>
      <c r="CD81" s="541">
        <f t="shared" si="221"/>
        <v>0</v>
      </c>
      <c r="CE81" s="541">
        <f t="shared" si="221"/>
        <v>0</v>
      </c>
      <c r="CF81" s="541">
        <f t="shared" si="221"/>
        <v>0</v>
      </c>
      <c r="CG81" s="541">
        <f t="shared" si="221"/>
        <v>0</v>
      </c>
      <c r="CH81" s="541">
        <f t="shared" si="221"/>
        <v>0</v>
      </c>
      <c r="CI81" s="541">
        <f t="shared" si="221"/>
        <v>0</v>
      </c>
      <c r="CJ81" s="541">
        <f t="shared" si="221"/>
        <v>0</v>
      </c>
      <c r="CK81" s="541">
        <f t="shared" si="221"/>
        <v>0</v>
      </c>
      <c r="CL81" s="541">
        <f t="shared" si="221"/>
        <v>0</v>
      </c>
      <c r="CN81" s="620" t="str">
        <f t="shared" si="216"/>
        <v/>
      </c>
      <c r="CO81" s="620" t="str">
        <f t="shared" si="217"/>
        <v/>
      </c>
      <c r="CP81" s="620" t="str">
        <f t="shared" si="218"/>
        <v/>
      </c>
    </row>
    <row r="82" spans="1:94" outlineLevel="1">
      <c r="A82" s="530" t="s">
        <v>255</v>
      </c>
      <c r="B82" s="530" t="s">
        <v>258</v>
      </c>
      <c r="C82" s="535" t="s">
        <v>362</v>
      </c>
      <c r="D82" s="535" t="s">
        <v>363</v>
      </c>
      <c r="E82" s="542" t="str">
        <f>IFERROR((E80/E81)*1000,"")</f>
        <v/>
      </c>
      <c r="F82" s="531" t="str">
        <f t="shared" ref="F82:G82" si="222">IFERROR((F80/F81)*1000,"")</f>
        <v/>
      </c>
      <c r="G82" s="531" t="str">
        <f t="shared" si="222"/>
        <v/>
      </c>
      <c r="H82" s="531" t="str">
        <f>IFERROR((H80/H81)*1000,"")</f>
        <v/>
      </c>
      <c r="I82" s="531" t="str">
        <f t="shared" ref="I82:BT82" si="223">IFERROR((I80/I81)*1000,"")</f>
        <v/>
      </c>
      <c r="J82" s="531" t="str">
        <f t="shared" si="223"/>
        <v/>
      </c>
      <c r="K82" s="531" t="str">
        <f t="shared" si="223"/>
        <v/>
      </c>
      <c r="L82" s="531" t="str">
        <f t="shared" si="223"/>
        <v/>
      </c>
      <c r="M82" s="531" t="str">
        <f t="shared" si="223"/>
        <v/>
      </c>
      <c r="N82" s="531" t="str">
        <f t="shared" si="223"/>
        <v/>
      </c>
      <c r="O82" s="531" t="str">
        <f t="shared" si="223"/>
        <v/>
      </c>
      <c r="P82" s="531" t="str">
        <f t="shared" si="223"/>
        <v/>
      </c>
      <c r="Q82" s="531" t="str">
        <f t="shared" si="223"/>
        <v/>
      </c>
      <c r="R82" s="531" t="str">
        <f t="shared" si="223"/>
        <v/>
      </c>
      <c r="S82" s="531" t="str">
        <f t="shared" si="223"/>
        <v/>
      </c>
      <c r="T82" s="531" t="str">
        <f t="shared" si="223"/>
        <v/>
      </c>
      <c r="U82" s="531" t="str">
        <f t="shared" si="223"/>
        <v/>
      </c>
      <c r="V82" s="531" t="str">
        <f t="shared" si="223"/>
        <v/>
      </c>
      <c r="W82" s="531" t="str">
        <f t="shared" si="223"/>
        <v/>
      </c>
      <c r="X82" s="531" t="str">
        <f t="shared" si="223"/>
        <v/>
      </c>
      <c r="Y82" s="531" t="str">
        <f t="shared" si="223"/>
        <v/>
      </c>
      <c r="Z82" s="531" t="str">
        <f t="shared" si="223"/>
        <v/>
      </c>
      <c r="AA82" s="531" t="str">
        <f t="shared" si="223"/>
        <v/>
      </c>
      <c r="AB82" s="531" t="str">
        <f t="shared" si="223"/>
        <v/>
      </c>
      <c r="AC82" s="531" t="str">
        <f t="shared" si="223"/>
        <v/>
      </c>
      <c r="AD82" s="531" t="str">
        <f t="shared" si="223"/>
        <v/>
      </c>
      <c r="AE82" s="531" t="str">
        <f t="shared" si="223"/>
        <v/>
      </c>
      <c r="AF82" s="531" t="str">
        <f t="shared" si="223"/>
        <v/>
      </c>
      <c r="AG82" s="531" t="str">
        <f t="shared" si="223"/>
        <v/>
      </c>
      <c r="AH82" s="531" t="str">
        <f t="shared" si="223"/>
        <v/>
      </c>
      <c r="AI82" s="531" t="str">
        <f t="shared" si="223"/>
        <v/>
      </c>
      <c r="AJ82" s="531" t="str">
        <f t="shared" si="223"/>
        <v/>
      </c>
      <c r="AK82" s="531" t="str">
        <f t="shared" si="223"/>
        <v/>
      </c>
      <c r="AL82" s="531" t="str">
        <f t="shared" si="223"/>
        <v/>
      </c>
      <c r="AM82" s="531" t="str">
        <f t="shared" si="223"/>
        <v/>
      </c>
      <c r="AN82" s="531" t="str">
        <f t="shared" si="223"/>
        <v/>
      </c>
      <c r="AO82" s="531" t="str">
        <f t="shared" si="223"/>
        <v/>
      </c>
      <c r="AP82" s="531" t="str">
        <f t="shared" si="223"/>
        <v/>
      </c>
      <c r="AQ82" s="531" t="str">
        <f t="shared" si="223"/>
        <v/>
      </c>
      <c r="AR82" s="531" t="str">
        <f t="shared" si="223"/>
        <v/>
      </c>
      <c r="AS82" s="531" t="str">
        <f t="shared" si="223"/>
        <v/>
      </c>
      <c r="AT82" s="531" t="str">
        <f t="shared" si="223"/>
        <v/>
      </c>
      <c r="AU82" s="531" t="str">
        <f t="shared" si="223"/>
        <v/>
      </c>
      <c r="AV82" s="531" t="str">
        <f t="shared" si="223"/>
        <v/>
      </c>
      <c r="AW82" s="531" t="str">
        <f t="shared" si="223"/>
        <v/>
      </c>
      <c r="AX82" s="531" t="str">
        <f t="shared" si="223"/>
        <v/>
      </c>
      <c r="AY82" s="531" t="str">
        <f t="shared" si="223"/>
        <v/>
      </c>
      <c r="AZ82" s="531" t="str">
        <f t="shared" si="223"/>
        <v/>
      </c>
      <c r="BA82" s="531" t="str">
        <f t="shared" si="223"/>
        <v/>
      </c>
      <c r="BB82" s="531" t="str">
        <f t="shared" si="223"/>
        <v/>
      </c>
      <c r="BC82" s="531" t="str">
        <f t="shared" si="223"/>
        <v/>
      </c>
      <c r="BD82" s="531" t="str">
        <f t="shared" si="223"/>
        <v/>
      </c>
      <c r="BE82" s="531" t="str">
        <f t="shared" si="223"/>
        <v/>
      </c>
      <c r="BF82" s="531" t="str">
        <f t="shared" si="223"/>
        <v/>
      </c>
      <c r="BG82" s="531" t="str">
        <f t="shared" si="223"/>
        <v/>
      </c>
      <c r="BH82" s="531" t="str">
        <f t="shared" si="223"/>
        <v/>
      </c>
      <c r="BI82" s="531" t="str">
        <f t="shared" si="223"/>
        <v/>
      </c>
      <c r="BJ82" s="531" t="str">
        <f t="shared" si="223"/>
        <v/>
      </c>
      <c r="BK82" s="531" t="str">
        <f t="shared" si="223"/>
        <v/>
      </c>
      <c r="BL82" s="531" t="str">
        <f t="shared" si="223"/>
        <v/>
      </c>
      <c r="BM82" s="531" t="str">
        <f t="shared" si="223"/>
        <v/>
      </c>
      <c r="BN82" s="531" t="str">
        <f t="shared" si="223"/>
        <v/>
      </c>
      <c r="BO82" s="531" t="str">
        <f t="shared" si="223"/>
        <v/>
      </c>
      <c r="BP82" s="531" t="str">
        <f t="shared" si="223"/>
        <v/>
      </c>
      <c r="BQ82" s="531" t="str">
        <f t="shared" si="223"/>
        <v/>
      </c>
      <c r="BR82" s="531" t="str">
        <f t="shared" si="223"/>
        <v/>
      </c>
      <c r="BS82" s="531" t="str">
        <f t="shared" si="223"/>
        <v/>
      </c>
      <c r="BT82" s="531" t="str">
        <f t="shared" si="223"/>
        <v/>
      </c>
      <c r="BU82" s="531" t="str">
        <f t="shared" ref="BU82:CL82" si="224">IFERROR((BU80/BU81)*1000,"")</f>
        <v/>
      </c>
      <c r="BV82" s="531" t="str">
        <f t="shared" si="224"/>
        <v/>
      </c>
      <c r="BW82" s="531" t="str">
        <f t="shared" si="224"/>
        <v/>
      </c>
      <c r="BX82" s="531" t="str">
        <f t="shared" si="224"/>
        <v/>
      </c>
      <c r="BY82" s="531" t="str">
        <f t="shared" si="224"/>
        <v/>
      </c>
      <c r="BZ82" s="531" t="str">
        <f t="shared" si="224"/>
        <v/>
      </c>
      <c r="CA82" s="531" t="str">
        <f t="shared" si="224"/>
        <v/>
      </c>
      <c r="CB82" s="531" t="str">
        <f t="shared" si="224"/>
        <v/>
      </c>
      <c r="CC82" s="531" t="str">
        <f t="shared" si="224"/>
        <v/>
      </c>
      <c r="CD82" s="531" t="str">
        <f t="shared" si="224"/>
        <v/>
      </c>
      <c r="CE82" s="531" t="str">
        <f t="shared" si="224"/>
        <v/>
      </c>
      <c r="CF82" s="531" t="str">
        <f t="shared" si="224"/>
        <v/>
      </c>
      <c r="CG82" s="531" t="str">
        <f t="shared" si="224"/>
        <v/>
      </c>
      <c r="CH82" s="531" t="str">
        <f t="shared" si="224"/>
        <v/>
      </c>
      <c r="CI82" s="531" t="str">
        <f t="shared" si="224"/>
        <v/>
      </c>
      <c r="CJ82" s="531" t="str">
        <f t="shared" si="224"/>
        <v/>
      </c>
      <c r="CK82" s="531" t="str">
        <f t="shared" si="224"/>
        <v/>
      </c>
      <c r="CL82" s="531" t="str">
        <f t="shared" si="224"/>
        <v/>
      </c>
      <c r="CN82" s="613" t="str">
        <f t="shared" si="216"/>
        <v/>
      </c>
      <c r="CO82" s="613" t="str">
        <f t="shared" si="217"/>
        <v/>
      </c>
      <c r="CP82" s="613" t="str">
        <f t="shared" si="218"/>
        <v/>
      </c>
    </row>
    <row r="83" spans="1:94" outlineLevel="1">
      <c r="A83" s="614"/>
      <c r="B83" s="614" t="s">
        <v>124</v>
      </c>
      <c r="C83" s="543" t="s">
        <v>364</v>
      </c>
      <c r="D83" s="543" t="s">
        <v>365</v>
      </c>
      <c r="E83" s="544" t="str">
        <f t="shared" ref="E83:AJ83" ca="1" si="225">IFERROR(IF((INDEX($E74:$CL81,8,MATCH(base,$E74:$CL74,0))/INDEX($E74:$CL81,3,MATCH(sector_base,$E74:$CL74,0))/(E81/E76))&gt;=1,1,(INDEX($E74:$CL81,8,MATCH(base,$E74:$CL74,0))/INDEX($E74:$CL81,3,MATCH(base,$E74:$CL74,0))/(E81/E76))),"")</f>
        <v/>
      </c>
      <c r="F83" s="545" t="str">
        <f t="shared" ca="1" si="225"/>
        <v/>
      </c>
      <c r="G83" s="545" t="str">
        <f t="shared" ca="1" si="225"/>
        <v/>
      </c>
      <c r="H83" s="545" t="str">
        <f t="shared" ca="1" si="225"/>
        <v/>
      </c>
      <c r="I83" s="545" t="str">
        <f t="shared" ca="1" si="225"/>
        <v/>
      </c>
      <c r="J83" s="545" t="str">
        <f t="shared" ca="1" si="225"/>
        <v/>
      </c>
      <c r="K83" s="545" t="str">
        <f t="shared" ca="1" si="225"/>
        <v/>
      </c>
      <c r="L83" s="545" t="str">
        <f t="shared" ca="1" si="225"/>
        <v/>
      </c>
      <c r="M83" s="545" t="str">
        <f t="shared" ca="1" si="225"/>
        <v/>
      </c>
      <c r="N83" s="545" t="str">
        <f t="shared" ca="1" si="225"/>
        <v/>
      </c>
      <c r="O83" s="545" t="str">
        <f t="shared" ca="1" si="225"/>
        <v/>
      </c>
      <c r="P83" s="545" t="str">
        <f t="shared" ca="1" si="225"/>
        <v/>
      </c>
      <c r="Q83" s="545" t="str">
        <f t="shared" ca="1" si="225"/>
        <v/>
      </c>
      <c r="R83" s="545" t="str">
        <f t="shared" ca="1" si="225"/>
        <v/>
      </c>
      <c r="S83" s="545" t="str">
        <f t="shared" ca="1" si="225"/>
        <v/>
      </c>
      <c r="T83" s="545" t="str">
        <f t="shared" ca="1" si="225"/>
        <v/>
      </c>
      <c r="U83" s="545" t="str">
        <f t="shared" ca="1" si="225"/>
        <v/>
      </c>
      <c r="V83" s="545" t="str">
        <f t="shared" ca="1" si="225"/>
        <v/>
      </c>
      <c r="W83" s="545" t="str">
        <f t="shared" ca="1" si="225"/>
        <v/>
      </c>
      <c r="X83" s="545" t="str">
        <f t="shared" ca="1" si="225"/>
        <v/>
      </c>
      <c r="Y83" s="545" t="str">
        <f t="shared" ca="1" si="225"/>
        <v/>
      </c>
      <c r="Z83" s="545" t="str">
        <f t="shared" ca="1" si="225"/>
        <v/>
      </c>
      <c r="AA83" s="545" t="str">
        <f t="shared" ca="1" si="225"/>
        <v/>
      </c>
      <c r="AB83" s="545" t="str">
        <f t="shared" ca="1" si="225"/>
        <v/>
      </c>
      <c r="AC83" s="545" t="str">
        <f t="shared" ca="1" si="225"/>
        <v/>
      </c>
      <c r="AD83" s="545" t="str">
        <f t="shared" ca="1" si="225"/>
        <v/>
      </c>
      <c r="AE83" s="545" t="str">
        <f t="shared" ca="1" si="225"/>
        <v/>
      </c>
      <c r="AF83" s="545" t="str">
        <f t="shared" ca="1" si="225"/>
        <v/>
      </c>
      <c r="AG83" s="545" t="str">
        <f t="shared" ca="1" si="225"/>
        <v/>
      </c>
      <c r="AH83" s="545" t="str">
        <f t="shared" ca="1" si="225"/>
        <v/>
      </c>
      <c r="AI83" s="545" t="str">
        <f t="shared" ca="1" si="225"/>
        <v/>
      </c>
      <c r="AJ83" s="545" t="str">
        <f t="shared" ca="1" si="225"/>
        <v/>
      </c>
      <c r="AK83" s="545" t="str">
        <f t="shared" ref="AK83:BP83" ca="1" si="226">IFERROR(IF((INDEX($E74:$CL81,8,MATCH(base,$E74:$CL74,0))/INDEX($E74:$CL81,3,MATCH(sector_base,$E74:$CL74,0))/(AK81/AK76))&gt;=1,1,(INDEX($E74:$CL81,8,MATCH(base,$E74:$CL74,0))/INDEX($E74:$CL81,3,MATCH(base,$E74:$CL74,0))/(AK81/AK76))),"")</f>
        <v/>
      </c>
      <c r="AL83" s="545" t="str">
        <f t="shared" ca="1" si="226"/>
        <v/>
      </c>
      <c r="AM83" s="545" t="str">
        <f t="shared" ca="1" si="226"/>
        <v/>
      </c>
      <c r="AN83" s="545" t="str">
        <f t="shared" ca="1" si="226"/>
        <v/>
      </c>
      <c r="AO83" s="545" t="str">
        <f t="shared" ca="1" si="226"/>
        <v/>
      </c>
      <c r="AP83" s="545" t="str">
        <f t="shared" ca="1" si="226"/>
        <v/>
      </c>
      <c r="AQ83" s="545" t="str">
        <f t="shared" ca="1" si="226"/>
        <v/>
      </c>
      <c r="AR83" s="545" t="str">
        <f t="shared" ca="1" si="226"/>
        <v/>
      </c>
      <c r="AS83" s="545" t="str">
        <f t="shared" ca="1" si="226"/>
        <v/>
      </c>
      <c r="AT83" s="545" t="str">
        <f t="shared" ca="1" si="226"/>
        <v/>
      </c>
      <c r="AU83" s="545" t="str">
        <f t="shared" ca="1" si="226"/>
        <v/>
      </c>
      <c r="AV83" s="545" t="str">
        <f t="shared" ca="1" si="226"/>
        <v/>
      </c>
      <c r="AW83" s="545" t="str">
        <f t="shared" ca="1" si="226"/>
        <v/>
      </c>
      <c r="AX83" s="545" t="str">
        <f t="shared" ca="1" si="226"/>
        <v/>
      </c>
      <c r="AY83" s="545" t="str">
        <f t="shared" ca="1" si="226"/>
        <v/>
      </c>
      <c r="AZ83" s="545" t="str">
        <f t="shared" ca="1" si="226"/>
        <v/>
      </c>
      <c r="BA83" s="545" t="str">
        <f t="shared" ca="1" si="226"/>
        <v/>
      </c>
      <c r="BB83" s="545" t="str">
        <f t="shared" ca="1" si="226"/>
        <v/>
      </c>
      <c r="BC83" s="545" t="str">
        <f t="shared" ca="1" si="226"/>
        <v/>
      </c>
      <c r="BD83" s="545" t="str">
        <f t="shared" ca="1" si="226"/>
        <v/>
      </c>
      <c r="BE83" s="545" t="str">
        <f t="shared" ca="1" si="226"/>
        <v/>
      </c>
      <c r="BF83" s="545" t="str">
        <f t="shared" ca="1" si="226"/>
        <v/>
      </c>
      <c r="BG83" s="545" t="str">
        <f t="shared" ca="1" si="226"/>
        <v/>
      </c>
      <c r="BH83" s="545" t="str">
        <f t="shared" ca="1" si="226"/>
        <v/>
      </c>
      <c r="BI83" s="545" t="str">
        <f t="shared" ca="1" si="226"/>
        <v/>
      </c>
      <c r="BJ83" s="545" t="str">
        <f t="shared" ca="1" si="226"/>
        <v/>
      </c>
      <c r="BK83" s="545" t="str">
        <f t="shared" ca="1" si="226"/>
        <v/>
      </c>
      <c r="BL83" s="545" t="str">
        <f t="shared" ca="1" si="226"/>
        <v/>
      </c>
      <c r="BM83" s="545" t="str">
        <f t="shared" ca="1" si="226"/>
        <v/>
      </c>
      <c r="BN83" s="545" t="str">
        <f t="shared" ca="1" si="226"/>
        <v/>
      </c>
      <c r="BO83" s="545" t="str">
        <f t="shared" ca="1" si="226"/>
        <v/>
      </c>
      <c r="BP83" s="545" t="str">
        <f t="shared" ca="1" si="226"/>
        <v/>
      </c>
      <c r="BQ83" s="545" t="str">
        <f t="shared" ref="BQ83:CL83" ca="1" si="227">IFERROR(IF((INDEX($E74:$CL81,8,MATCH(base,$E74:$CL74,0))/INDEX($E74:$CL81,3,MATCH(sector_base,$E74:$CL74,0))/(BQ81/BQ76))&gt;=1,1,(INDEX($E74:$CL81,8,MATCH(base,$E74:$CL74,0))/INDEX($E74:$CL81,3,MATCH(base,$E74:$CL74,0))/(BQ81/BQ76))),"")</f>
        <v/>
      </c>
      <c r="BR83" s="545" t="str">
        <f t="shared" ca="1" si="227"/>
        <v/>
      </c>
      <c r="BS83" s="545" t="str">
        <f t="shared" ca="1" si="227"/>
        <v/>
      </c>
      <c r="BT83" s="545" t="str">
        <f t="shared" ca="1" si="227"/>
        <v/>
      </c>
      <c r="BU83" s="545" t="str">
        <f t="shared" ca="1" si="227"/>
        <v/>
      </c>
      <c r="BV83" s="545" t="str">
        <f t="shared" ca="1" si="227"/>
        <v/>
      </c>
      <c r="BW83" s="545" t="str">
        <f t="shared" ca="1" si="227"/>
        <v/>
      </c>
      <c r="BX83" s="545" t="str">
        <f t="shared" ca="1" si="227"/>
        <v/>
      </c>
      <c r="BY83" s="545" t="str">
        <f t="shared" ca="1" si="227"/>
        <v/>
      </c>
      <c r="BZ83" s="545" t="str">
        <f t="shared" ca="1" si="227"/>
        <v/>
      </c>
      <c r="CA83" s="545" t="str">
        <f t="shared" ca="1" si="227"/>
        <v/>
      </c>
      <c r="CB83" s="545" t="str">
        <f t="shared" ca="1" si="227"/>
        <v/>
      </c>
      <c r="CC83" s="545" t="str">
        <f t="shared" ca="1" si="227"/>
        <v/>
      </c>
      <c r="CD83" s="545" t="str">
        <f t="shared" ca="1" si="227"/>
        <v/>
      </c>
      <c r="CE83" s="545" t="str">
        <f t="shared" ca="1" si="227"/>
        <v/>
      </c>
      <c r="CF83" s="545" t="str">
        <f t="shared" ca="1" si="227"/>
        <v/>
      </c>
      <c r="CG83" s="545" t="str">
        <f t="shared" ca="1" si="227"/>
        <v/>
      </c>
      <c r="CH83" s="545" t="str">
        <f t="shared" ca="1" si="227"/>
        <v/>
      </c>
      <c r="CI83" s="545" t="str">
        <f t="shared" ca="1" si="227"/>
        <v/>
      </c>
      <c r="CJ83" s="545" t="str">
        <f t="shared" ca="1" si="227"/>
        <v/>
      </c>
      <c r="CK83" s="545" t="str">
        <f t="shared" ca="1" si="227"/>
        <v/>
      </c>
      <c r="CL83" s="545" t="str">
        <f t="shared" ca="1" si="227"/>
        <v/>
      </c>
      <c r="CN83" s="619" t="str">
        <f ca="1">IFERROR((Y83/H83)^(1/17)-1,"")</f>
        <v/>
      </c>
      <c r="CO83" s="619" t="str">
        <f ca="1">IFERROR((AN83/Y83)^(1/15)-1,"")</f>
        <v/>
      </c>
      <c r="CP83" s="619" t="str">
        <f ca="1">IFERROR((AN83/H83)^(1/32)-1,"")</f>
        <v/>
      </c>
    </row>
    <row r="84" spans="1:94" outlineLevel="1">
      <c r="A84" s="534"/>
      <c r="B84" s="534" t="s">
        <v>27</v>
      </c>
      <c r="C84" s="534" t="s">
        <v>366</v>
      </c>
      <c r="D84" s="534" t="s">
        <v>367</v>
      </c>
      <c r="E84" s="536" t="str">
        <f t="shared" ref="E84:BP84" ca="1" si="228">IFERROR(IF(INDEX($E74:$CL83,9,MATCH(base,$E74:$CL74,0))-E79&lt;0,"N/A",INDEX($E74:$CL83,9,MATCH(base,$E74:$CL74,0))-E79),"")</f>
        <v/>
      </c>
      <c r="F84" s="537" t="str">
        <f t="shared" ca="1" si="228"/>
        <v/>
      </c>
      <c r="G84" s="537" t="str">
        <f t="shared" ca="1" si="228"/>
        <v/>
      </c>
      <c r="H84" s="537" t="str">
        <f t="shared" ca="1" si="228"/>
        <v/>
      </c>
      <c r="I84" s="537" t="str">
        <f t="shared" ca="1" si="228"/>
        <v/>
      </c>
      <c r="J84" s="537" t="str">
        <f t="shared" ca="1" si="228"/>
        <v/>
      </c>
      <c r="K84" s="537" t="str">
        <f t="shared" ca="1" si="228"/>
        <v/>
      </c>
      <c r="L84" s="537" t="str">
        <f t="shared" ca="1" si="228"/>
        <v/>
      </c>
      <c r="M84" s="537" t="str">
        <f t="shared" ca="1" si="228"/>
        <v/>
      </c>
      <c r="N84" s="537" t="str">
        <f t="shared" ca="1" si="228"/>
        <v/>
      </c>
      <c r="O84" s="537" t="str">
        <f t="shared" ca="1" si="228"/>
        <v/>
      </c>
      <c r="P84" s="537" t="str">
        <f t="shared" ca="1" si="228"/>
        <v/>
      </c>
      <c r="Q84" s="537" t="str">
        <f t="shared" ca="1" si="228"/>
        <v/>
      </c>
      <c r="R84" s="537" t="str">
        <f t="shared" ca="1" si="228"/>
        <v/>
      </c>
      <c r="S84" s="537" t="str">
        <f t="shared" ca="1" si="228"/>
        <v/>
      </c>
      <c r="T84" s="537" t="str">
        <f t="shared" ca="1" si="228"/>
        <v/>
      </c>
      <c r="U84" s="537" t="str">
        <f t="shared" ca="1" si="228"/>
        <v/>
      </c>
      <c r="V84" s="537" t="str">
        <f t="shared" ca="1" si="228"/>
        <v/>
      </c>
      <c r="W84" s="537" t="str">
        <f t="shared" ca="1" si="228"/>
        <v/>
      </c>
      <c r="X84" s="537" t="str">
        <f t="shared" ca="1" si="228"/>
        <v/>
      </c>
      <c r="Y84" s="537" t="str">
        <f t="shared" ca="1" si="228"/>
        <v/>
      </c>
      <c r="Z84" s="537" t="str">
        <f t="shared" ca="1" si="228"/>
        <v/>
      </c>
      <c r="AA84" s="537" t="str">
        <f t="shared" ca="1" si="228"/>
        <v/>
      </c>
      <c r="AB84" s="537" t="str">
        <f t="shared" ca="1" si="228"/>
        <v/>
      </c>
      <c r="AC84" s="537" t="str">
        <f t="shared" ca="1" si="228"/>
        <v/>
      </c>
      <c r="AD84" s="537" t="str">
        <f t="shared" ca="1" si="228"/>
        <v/>
      </c>
      <c r="AE84" s="537" t="str">
        <f t="shared" ca="1" si="228"/>
        <v/>
      </c>
      <c r="AF84" s="537" t="str">
        <f t="shared" ca="1" si="228"/>
        <v/>
      </c>
      <c r="AG84" s="537" t="str">
        <f t="shared" ca="1" si="228"/>
        <v/>
      </c>
      <c r="AH84" s="537" t="str">
        <f t="shared" ca="1" si="228"/>
        <v/>
      </c>
      <c r="AI84" s="537" t="str">
        <f t="shared" ca="1" si="228"/>
        <v/>
      </c>
      <c r="AJ84" s="537" t="str">
        <f t="shared" ca="1" si="228"/>
        <v/>
      </c>
      <c r="AK84" s="537" t="str">
        <f t="shared" ca="1" si="228"/>
        <v/>
      </c>
      <c r="AL84" s="537" t="str">
        <f t="shared" ca="1" si="228"/>
        <v/>
      </c>
      <c r="AM84" s="537" t="str">
        <f t="shared" ca="1" si="228"/>
        <v/>
      </c>
      <c r="AN84" s="537" t="str">
        <f t="shared" ca="1" si="228"/>
        <v/>
      </c>
      <c r="AO84" s="537" t="str">
        <f t="shared" ca="1" si="228"/>
        <v/>
      </c>
      <c r="AP84" s="537" t="str">
        <f t="shared" ca="1" si="228"/>
        <v/>
      </c>
      <c r="AQ84" s="537" t="str">
        <f t="shared" ca="1" si="228"/>
        <v/>
      </c>
      <c r="AR84" s="537" t="str">
        <f t="shared" ca="1" si="228"/>
        <v/>
      </c>
      <c r="AS84" s="537" t="str">
        <f t="shared" ca="1" si="228"/>
        <v/>
      </c>
      <c r="AT84" s="537" t="str">
        <f t="shared" ca="1" si="228"/>
        <v/>
      </c>
      <c r="AU84" s="537" t="str">
        <f t="shared" ca="1" si="228"/>
        <v/>
      </c>
      <c r="AV84" s="537" t="str">
        <f t="shared" ca="1" si="228"/>
        <v/>
      </c>
      <c r="AW84" s="537" t="str">
        <f t="shared" ca="1" si="228"/>
        <v/>
      </c>
      <c r="AX84" s="537" t="str">
        <f t="shared" ca="1" si="228"/>
        <v/>
      </c>
      <c r="AY84" s="537" t="str">
        <f t="shared" ca="1" si="228"/>
        <v/>
      </c>
      <c r="AZ84" s="537" t="str">
        <f t="shared" ca="1" si="228"/>
        <v/>
      </c>
      <c r="BA84" s="537" t="str">
        <f t="shared" ca="1" si="228"/>
        <v/>
      </c>
      <c r="BB84" s="537" t="str">
        <f t="shared" ca="1" si="228"/>
        <v/>
      </c>
      <c r="BC84" s="537" t="str">
        <f t="shared" ca="1" si="228"/>
        <v/>
      </c>
      <c r="BD84" s="537" t="str">
        <f t="shared" ca="1" si="228"/>
        <v/>
      </c>
      <c r="BE84" s="537" t="str">
        <f t="shared" ca="1" si="228"/>
        <v/>
      </c>
      <c r="BF84" s="537" t="str">
        <f t="shared" ca="1" si="228"/>
        <v/>
      </c>
      <c r="BG84" s="537" t="str">
        <f t="shared" ca="1" si="228"/>
        <v/>
      </c>
      <c r="BH84" s="537" t="str">
        <f t="shared" ca="1" si="228"/>
        <v/>
      </c>
      <c r="BI84" s="537" t="str">
        <f t="shared" ca="1" si="228"/>
        <v/>
      </c>
      <c r="BJ84" s="537" t="str">
        <f t="shared" ca="1" si="228"/>
        <v/>
      </c>
      <c r="BK84" s="537" t="str">
        <f t="shared" ca="1" si="228"/>
        <v/>
      </c>
      <c r="BL84" s="537" t="str">
        <f t="shared" ca="1" si="228"/>
        <v/>
      </c>
      <c r="BM84" s="537" t="str">
        <f t="shared" ca="1" si="228"/>
        <v/>
      </c>
      <c r="BN84" s="537" t="str">
        <f t="shared" ca="1" si="228"/>
        <v/>
      </c>
      <c r="BO84" s="537" t="str">
        <f t="shared" ca="1" si="228"/>
        <v/>
      </c>
      <c r="BP84" s="537" t="str">
        <f t="shared" ca="1" si="228"/>
        <v/>
      </c>
      <c r="BQ84" s="537" t="str">
        <f t="shared" ref="BQ84:CL84" ca="1" si="229">IFERROR(IF(INDEX($E74:$CL83,9,MATCH(base,$E74:$CL74,0))-BQ79&lt;0,"N/A",INDEX($E74:$CL83,9,MATCH(base,$E74:$CL74,0))-BQ79),"")</f>
        <v/>
      </c>
      <c r="BR84" s="537" t="str">
        <f t="shared" ca="1" si="229"/>
        <v/>
      </c>
      <c r="BS84" s="537" t="str">
        <f t="shared" ca="1" si="229"/>
        <v/>
      </c>
      <c r="BT84" s="537" t="str">
        <f t="shared" ca="1" si="229"/>
        <v/>
      </c>
      <c r="BU84" s="537" t="str">
        <f t="shared" ca="1" si="229"/>
        <v/>
      </c>
      <c r="BV84" s="537" t="str">
        <f t="shared" ca="1" si="229"/>
        <v/>
      </c>
      <c r="BW84" s="537" t="str">
        <f t="shared" ca="1" si="229"/>
        <v/>
      </c>
      <c r="BX84" s="537" t="str">
        <f t="shared" ca="1" si="229"/>
        <v/>
      </c>
      <c r="BY84" s="537" t="str">
        <f t="shared" ca="1" si="229"/>
        <v/>
      </c>
      <c r="BZ84" s="537" t="str">
        <f t="shared" ca="1" si="229"/>
        <v/>
      </c>
      <c r="CA84" s="537" t="str">
        <f t="shared" ca="1" si="229"/>
        <v/>
      </c>
      <c r="CB84" s="537" t="str">
        <f t="shared" ca="1" si="229"/>
        <v/>
      </c>
      <c r="CC84" s="537" t="str">
        <f t="shared" ca="1" si="229"/>
        <v/>
      </c>
      <c r="CD84" s="537" t="str">
        <f t="shared" ca="1" si="229"/>
        <v/>
      </c>
      <c r="CE84" s="537" t="str">
        <f t="shared" ca="1" si="229"/>
        <v/>
      </c>
      <c r="CF84" s="537" t="str">
        <f t="shared" ca="1" si="229"/>
        <v/>
      </c>
      <c r="CG84" s="537" t="str">
        <f t="shared" ca="1" si="229"/>
        <v/>
      </c>
      <c r="CH84" s="537" t="str">
        <f t="shared" ca="1" si="229"/>
        <v/>
      </c>
      <c r="CI84" s="537" t="str">
        <f t="shared" ca="1" si="229"/>
        <v/>
      </c>
      <c r="CJ84" s="537" t="str">
        <f t="shared" ca="1" si="229"/>
        <v/>
      </c>
      <c r="CK84" s="537" t="str">
        <f t="shared" ca="1" si="229"/>
        <v/>
      </c>
      <c r="CL84" s="537" t="str">
        <f t="shared" ca="1" si="229"/>
        <v/>
      </c>
      <c r="CN84" s="618" t="str">
        <f ca="1">IFERROR((Y84/H84)^(1/17)-1,"")</f>
        <v/>
      </c>
      <c r="CO84" s="618" t="str">
        <f ca="1">IFERROR((AN84/Y84)^(1/15)-1,"")</f>
        <v/>
      </c>
      <c r="CP84" s="618" t="str">
        <f ca="1">IFERROR((AN84/H84)^(1/32)-1,"")</f>
        <v/>
      </c>
    </row>
    <row r="85" spans="1:94" outlineLevel="1">
      <c r="A85" s="538" t="s">
        <v>255</v>
      </c>
      <c r="B85" s="538" t="s">
        <v>256</v>
      </c>
      <c r="C85" s="538" t="s">
        <v>368</v>
      </c>
      <c r="D85" s="538" t="s">
        <v>369</v>
      </c>
      <c r="E85" s="540" t="e">
        <f t="shared" ref="E85:N85" si="230">IF(E8&lt;sector_base,NA(),IF($B$6="ON", IF(E8&gt;=covid_start, IF(E8&lt;covid_recovery,NA(),IFERROR(E79+(E78*E84*E83),0)),IFERROR(E79+(E78*E84*E83),0)),IFERROR(E79+(E78*E84*E83),0)))</f>
        <v>#N/A</v>
      </c>
      <c r="F85" s="540" t="e">
        <f t="shared" si="230"/>
        <v>#N/A</v>
      </c>
      <c r="G85" s="540" t="e">
        <f t="shared" si="230"/>
        <v>#N/A</v>
      </c>
      <c r="H85" s="540" t="e">
        <f>IF(H8&lt;sector_base,NA(),IF($B$6="ON", IF(H8&gt;=covid_start, IF(H8&lt;covid_recovery,NA(),IFERROR(H79+(H78*H84*H83),0)),IFERROR(H79+(H78*H84*H83),0)),IFERROR(H79+(H78*H84*H83),0)))</f>
        <v>#N/A</v>
      </c>
      <c r="I85" s="540">
        <f ca="1">IF(I8&lt;sector_base,NA(),IF($B$6="ON", IF(I8&gt;=covid_start, IF(I8&lt;covid_recovery,NA(),IFERROR(I79+(I78*I84*I83),0)),IFERROR(I79+(I78*I84*I83),0)),IFERROR(I79+(I78*I84*I83),0)))</f>
        <v>0</v>
      </c>
      <c r="J85" s="540" t="e">
        <f>IF(J8&lt;sector_base,NA(),IF($B$6="ON", IF(J8&gt;=covid_start, IF(J8&lt;covid_recovery,NA(),IFERROR(J79+(J78*J84*J83),0)),IFERROR(J79+(J78*J84*J83),0)),IFERROR(J79+(J78*J84*J83),0)))</f>
        <v>#N/A</v>
      </c>
      <c r="K85" s="540" t="e">
        <f t="shared" si="230"/>
        <v>#N/A</v>
      </c>
      <c r="L85" s="540" t="e">
        <f t="shared" si="230"/>
        <v>#N/A</v>
      </c>
      <c r="M85" s="540">
        <f t="shared" ca="1" si="230"/>
        <v>0</v>
      </c>
      <c r="N85" s="540">
        <f t="shared" ca="1" si="230"/>
        <v>0</v>
      </c>
      <c r="O85" s="540">
        <f t="shared" ref="O85:AT85" ca="1" si="231">IF(O8&lt;sector_base,NA(),IF($B$6="ON", IF(O8&gt;=covid_start, IF(O8&lt;covid_recovery,NA(),IFERROR(O79+(O78*O84*O83),0)),IFERROR(O79+(O78*O84*O83),0)),IFERROR(O79+(O78*O84*O83),0)))</f>
        <v>0</v>
      </c>
      <c r="P85" s="540">
        <f t="shared" ca="1" si="231"/>
        <v>0</v>
      </c>
      <c r="Q85" s="540">
        <f t="shared" ca="1" si="231"/>
        <v>0</v>
      </c>
      <c r="R85" s="540">
        <f t="shared" ca="1" si="231"/>
        <v>0</v>
      </c>
      <c r="S85" s="540">
        <f t="shared" ca="1" si="231"/>
        <v>0</v>
      </c>
      <c r="T85" s="540">
        <f t="shared" ca="1" si="231"/>
        <v>0</v>
      </c>
      <c r="U85" s="540">
        <f t="shared" ca="1" si="231"/>
        <v>0</v>
      </c>
      <c r="V85" s="540">
        <f t="shared" ca="1" si="231"/>
        <v>0</v>
      </c>
      <c r="W85" s="540">
        <f t="shared" ca="1" si="231"/>
        <v>0</v>
      </c>
      <c r="X85" s="540">
        <f t="shared" ca="1" si="231"/>
        <v>0</v>
      </c>
      <c r="Y85" s="540">
        <f t="shared" ca="1" si="231"/>
        <v>0</v>
      </c>
      <c r="Z85" s="540">
        <f t="shared" ca="1" si="231"/>
        <v>0</v>
      </c>
      <c r="AA85" s="540">
        <f t="shared" ca="1" si="231"/>
        <v>0</v>
      </c>
      <c r="AB85" s="540">
        <f t="shared" ca="1" si="231"/>
        <v>0</v>
      </c>
      <c r="AC85" s="540">
        <f t="shared" ca="1" si="231"/>
        <v>0</v>
      </c>
      <c r="AD85" s="540">
        <f t="shared" ca="1" si="231"/>
        <v>0</v>
      </c>
      <c r="AE85" s="540">
        <f t="shared" ca="1" si="231"/>
        <v>0</v>
      </c>
      <c r="AF85" s="540">
        <f t="shared" ca="1" si="231"/>
        <v>0</v>
      </c>
      <c r="AG85" s="540">
        <f t="shared" ca="1" si="231"/>
        <v>0</v>
      </c>
      <c r="AH85" s="540">
        <f t="shared" ca="1" si="231"/>
        <v>0</v>
      </c>
      <c r="AI85" s="540">
        <f t="shared" ca="1" si="231"/>
        <v>0</v>
      </c>
      <c r="AJ85" s="540">
        <f t="shared" ca="1" si="231"/>
        <v>0</v>
      </c>
      <c r="AK85" s="540">
        <f t="shared" ca="1" si="231"/>
        <v>0</v>
      </c>
      <c r="AL85" s="540">
        <f t="shared" ca="1" si="231"/>
        <v>0</v>
      </c>
      <c r="AM85" s="540">
        <f t="shared" ca="1" si="231"/>
        <v>0</v>
      </c>
      <c r="AN85" s="540">
        <f t="shared" ca="1" si="231"/>
        <v>0</v>
      </c>
      <c r="AO85" s="540">
        <f t="shared" ca="1" si="231"/>
        <v>0</v>
      </c>
      <c r="AP85" s="540">
        <f t="shared" ca="1" si="231"/>
        <v>0</v>
      </c>
      <c r="AQ85" s="540">
        <f t="shared" ca="1" si="231"/>
        <v>0</v>
      </c>
      <c r="AR85" s="540">
        <f t="shared" ca="1" si="231"/>
        <v>0</v>
      </c>
      <c r="AS85" s="540">
        <f t="shared" ca="1" si="231"/>
        <v>0</v>
      </c>
      <c r="AT85" s="540">
        <f t="shared" ca="1" si="231"/>
        <v>0</v>
      </c>
      <c r="AU85" s="540">
        <f t="shared" ref="AU85:BZ85" ca="1" si="232">IF(AU8&lt;sector_base,NA(),IF($B$6="ON", IF(AU8&gt;=covid_start, IF(AU8&lt;covid_recovery,NA(),IFERROR(AU79+(AU78*AU84*AU83),0)),IFERROR(AU79+(AU78*AU84*AU83),0)),IFERROR(AU79+(AU78*AU84*AU83),0)))</f>
        <v>0</v>
      </c>
      <c r="AV85" s="540">
        <f t="shared" ca="1" si="232"/>
        <v>0</v>
      </c>
      <c r="AW85" s="540">
        <f t="shared" ca="1" si="232"/>
        <v>0</v>
      </c>
      <c r="AX85" s="540">
        <f t="shared" ca="1" si="232"/>
        <v>0</v>
      </c>
      <c r="AY85" s="540">
        <f t="shared" ca="1" si="232"/>
        <v>0</v>
      </c>
      <c r="AZ85" s="540">
        <f t="shared" ca="1" si="232"/>
        <v>0</v>
      </c>
      <c r="BA85" s="540">
        <f t="shared" ca="1" si="232"/>
        <v>0</v>
      </c>
      <c r="BB85" s="540">
        <f t="shared" ca="1" si="232"/>
        <v>0</v>
      </c>
      <c r="BC85" s="540">
        <f t="shared" ca="1" si="232"/>
        <v>0</v>
      </c>
      <c r="BD85" s="540">
        <f t="shared" ca="1" si="232"/>
        <v>0</v>
      </c>
      <c r="BE85" s="540">
        <f t="shared" ca="1" si="232"/>
        <v>0</v>
      </c>
      <c r="BF85" s="540">
        <f t="shared" ca="1" si="232"/>
        <v>0</v>
      </c>
      <c r="BG85" s="540">
        <f t="shared" ca="1" si="232"/>
        <v>0</v>
      </c>
      <c r="BH85" s="540">
        <f t="shared" ca="1" si="232"/>
        <v>0</v>
      </c>
      <c r="BI85" s="540">
        <f t="shared" ca="1" si="232"/>
        <v>0</v>
      </c>
      <c r="BJ85" s="540">
        <f t="shared" ca="1" si="232"/>
        <v>0</v>
      </c>
      <c r="BK85" s="540">
        <f t="shared" ca="1" si="232"/>
        <v>0</v>
      </c>
      <c r="BL85" s="540">
        <f t="shared" ca="1" si="232"/>
        <v>0</v>
      </c>
      <c r="BM85" s="540">
        <f t="shared" ca="1" si="232"/>
        <v>0</v>
      </c>
      <c r="BN85" s="540">
        <f t="shared" ca="1" si="232"/>
        <v>0</v>
      </c>
      <c r="BO85" s="540">
        <f t="shared" ca="1" si="232"/>
        <v>0</v>
      </c>
      <c r="BP85" s="540">
        <f t="shared" ca="1" si="232"/>
        <v>0</v>
      </c>
      <c r="BQ85" s="540">
        <f t="shared" ca="1" si="232"/>
        <v>0</v>
      </c>
      <c r="BR85" s="540">
        <f t="shared" ca="1" si="232"/>
        <v>0</v>
      </c>
      <c r="BS85" s="540">
        <f t="shared" ca="1" si="232"/>
        <v>0</v>
      </c>
      <c r="BT85" s="540">
        <f t="shared" ca="1" si="232"/>
        <v>0</v>
      </c>
      <c r="BU85" s="540">
        <f t="shared" ca="1" si="232"/>
        <v>0</v>
      </c>
      <c r="BV85" s="540">
        <f t="shared" ca="1" si="232"/>
        <v>0</v>
      </c>
      <c r="BW85" s="540">
        <f t="shared" ca="1" si="232"/>
        <v>0</v>
      </c>
      <c r="BX85" s="540">
        <f t="shared" ca="1" si="232"/>
        <v>0</v>
      </c>
      <c r="BY85" s="540">
        <f t="shared" ca="1" si="232"/>
        <v>0</v>
      </c>
      <c r="BZ85" s="540">
        <f t="shared" ca="1" si="232"/>
        <v>0</v>
      </c>
      <c r="CA85" s="540">
        <f t="shared" ref="CA85:CL85" ca="1" si="233">IF(CA8&lt;sector_base,NA(),IF($B$6="ON", IF(CA8&gt;=covid_start, IF(CA8&lt;covid_recovery,NA(),IFERROR(CA79+(CA78*CA84*CA83),0)),IFERROR(CA79+(CA78*CA84*CA83),0)),IFERROR(CA79+(CA78*CA84*CA83),0)))</f>
        <v>0</v>
      </c>
      <c r="CB85" s="540">
        <f t="shared" ca="1" si="233"/>
        <v>0</v>
      </c>
      <c r="CC85" s="540">
        <f t="shared" ca="1" si="233"/>
        <v>0</v>
      </c>
      <c r="CD85" s="540">
        <f t="shared" ca="1" si="233"/>
        <v>0</v>
      </c>
      <c r="CE85" s="540">
        <f t="shared" ca="1" si="233"/>
        <v>0</v>
      </c>
      <c r="CF85" s="540">
        <f t="shared" ca="1" si="233"/>
        <v>0</v>
      </c>
      <c r="CG85" s="540">
        <f t="shared" ca="1" si="233"/>
        <v>0</v>
      </c>
      <c r="CH85" s="540">
        <f t="shared" ca="1" si="233"/>
        <v>0</v>
      </c>
      <c r="CI85" s="540">
        <f t="shared" ca="1" si="233"/>
        <v>0</v>
      </c>
      <c r="CJ85" s="540">
        <f t="shared" ca="1" si="233"/>
        <v>0</v>
      </c>
      <c r="CK85" s="540">
        <f t="shared" ca="1" si="233"/>
        <v>0</v>
      </c>
      <c r="CL85" s="540">
        <f t="shared" ca="1" si="233"/>
        <v>0</v>
      </c>
      <c r="CN85" s="619" t="str">
        <f ca="1">IFERROR((Y85/H85)^(1/17)-1,"")</f>
        <v/>
      </c>
      <c r="CO85" s="619" t="str">
        <f ca="1">IFERROR((AN85/Y85)^(1/15)-1,"")</f>
        <v/>
      </c>
      <c r="CP85" s="619" t="str">
        <f ca="1">IFERROR((AN85/H85)^(1/32)-1,"")</f>
        <v/>
      </c>
    </row>
    <row r="86" spans="1:94" outlineLevel="1">
      <c r="A86" s="535" t="s">
        <v>255</v>
      </c>
      <c r="B86" s="535" t="s">
        <v>129</v>
      </c>
      <c r="C86" s="535" t="s">
        <v>370</v>
      </c>
      <c r="D86" s="535"/>
      <c r="E86" s="546" t="e">
        <f>IF(E74=base,E85, IF(E74=target,E85,#N/A))</f>
        <v>#N/A</v>
      </c>
      <c r="F86" s="541" t="e">
        <f>IF(F82=base,F85, IF(F82=target,F85,#N/A))</f>
        <v>#N/A</v>
      </c>
      <c r="G86" s="541" t="e">
        <f>IF(G82=base,G85, IF(G82=target,G85,#N/A))</f>
        <v>#N/A</v>
      </c>
      <c r="H86" s="541" t="e">
        <f>IF(H74=base,H85, IF(H74=target,H85,#N/A))</f>
        <v>#N/A</v>
      </c>
      <c r="I86" s="541">
        <f t="shared" ref="I86:AN86" ca="1" si="234">IF(I74=base,I85, IF(I74=target,I85,#N/A))</f>
        <v>0</v>
      </c>
      <c r="J86" s="541" t="e">
        <f t="shared" si="234"/>
        <v>#N/A</v>
      </c>
      <c r="K86" s="541" t="e">
        <f t="shared" si="234"/>
        <v>#N/A</v>
      </c>
      <c r="L86" s="541" t="e">
        <f t="shared" si="234"/>
        <v>#N/A</v>
      </c>
      <c r="M86" s="541" t="e">
        <f t="shared" si="234"/>
        <v>#N/A</v>
      </c>
      <c r="N86" s="541" t="e">
        <f t="shared" si="234"/>
        <v>#N/A</v>
      </c>
      <c r="O86" s="541" t="e">
        <f t="shared" si="234"/>
        <v>#N/A</v>
      </c>
      <c r="P86" s="541" t="e">
        <f t="shared" si="234"/>
        <v>#N/A</v>
      </c>
      <c r="Q86" s="541" t="e">
        <f t="shared" si="234"/>
        <v>#N/A</v>
      </c>
      <c r="R86" s="541" t="e">
        <f t="shared" si="234"/>
        <v>#N/A</v>
      </c>
      <c r="S86" s="541" t="e">
        <f t="shared" si="234"/>
        <v>#N/A</v>
      </c>
      <c r="T86" s="541" t="e">
        <f t="shared" si="234"/>
        <v>#N/A</v>
      </c>
      <c r="U86" s="541" t="e">
        <f t="shared" si="234"/>
        <v>#N/A</v>
      </c>
      <c r="V86" s="541" t="e">
        <f t="shared" si="234"/>
        <v>#N/A</v>
      </c>
      <c r="W86" s="541" t="e">
        <f t="shared" si="234"/>
        <v>#N/A</v>
      </c>
      <c r="X86" s="541" t="e">
        <f t="shared" si="234"/>
        <v>#N/A</v>
      </c>
      <c r="Y86" s="541" t="e">
        <f>IF(Y74=base,Y85, IF(Y74=target,Y85,#N/A))</f>
        <v>#N/A</v>
      </c>
      <c r="Z86" s="541" t="e">
        <f t="shared" si="234"/>
        <v>#N/A</v>
      </c>
      <c r="AA86" s="541" t="e">
        <f t="shared" si="234"/>
        <v>#N/A</v>
      </c>
      <c r="AB86" s="541" t="e">
        <f t="shared" si="234"/>
        <v>#N/A</v>
      </c>
      <c r="AC86" s="541" t="e">
        <f t="shared" si="234"/>
        <v>#N/A</v>
      </c>
      <c r="AD86" s="541" t="e">
        <f t="shared" si="234"/>
        <v>#N/A</v>
      </c>
      <c r="AE86" s="541" t="e">
        <f t="shared" si="234"/>
        <v>#N/A</v>
      </c>
      <c r="AF86" s="541" t="e">
        <f t="shared" si="234"/>
        <v>#N/A</v>
      </c>
      <c r="AG86" s="541" t="e">
        <f t="shared" si="234"/>
        <v>#N/A</v>
      </c>
      <c r="AH86" s="541" t="e">
        <f t="shared" si="234"/>
        <v>#N/A</v>
      </c>
      <c r="AI86" s="541" t="e">
        <f t="shared" si="234"/>
        <v>#N/A</v>
      </c>
      <c r="AJ86" s="541" t="e">
        <f t="shared" si="234"/>
        <v>#N/A</v>
      </c>
      <c r="AK86" s="541" t="e">
        <f t="shared" si="234"/>
        <v>#N/A</v>
      </c>
      <c r="AL86" s="541" t="e">
        <f t="shared" si="234"/>
        <v>#N/A</v>
      </c>
      <c r="AM86" s="541" t="e">
        <f t="shared" si="234"/>
        <v>#N/A</v>
      </c>
      <c r="AN86" s="541" t="e">
        <f t="shared" si="234"/>
        <v>#N/A</v>
      </c>
      <c r="AO86" s="541">
        <f t="shared" ref="AO86:CL86" ca="1" si="235">IF(AO82=base,AO85, IF(AO82=target,AO85,#N/A))</f>
        <v>0</v>
      </c>
      <c r="AP86" s="541">
        <f t="shared" ca="1" si="235"/>
        <v>0</v>
      </c>
      <c r="AQ86" s="541">
        <f t="shared" ca="1" si="235"/>
        <v>0</v>
      </c>
      <c r="AR86" s="541">
        <f t="shared" ca="1" si="235"/>
        <v>0</v>
      </c>
      <c r="AS86" s="541">
        <f t="shared" ca="1" si="235"/>
        <v>0</v>
      </c>
      <c r="AT86" s="541">
        <f t="shared" ca="1" si="235"/>
        <v>0</v>
      </c>
      <c r="AU86" s="541">
        <f t="shared" ca="1" si="235"/>
        <v>0</v>
      </c>
      <c r="AV86" s="541">
        <f t="shared" ca="1" si="235"/>
        <v>0</v>
      </c>
      <c r="AW86" s="541">
        <f t="shared" ca="1" si="235"/>
        <v>0</v>
      </c>
      <c r="AX86" s="541">
        <f t="shared" ca="1" si="235"/>
        <v>0</v>
      </c>
      <c r="AY86" s="541">
        <f t="shared" ca="1" si="235"/>
        <v>0</v>
      </c>
      <c r="AZ86" s="541">
        <f t="shared" ca="1" si="235"/>
        <v>0</v>
      </c>
      <c r="BA86" s="541">
        <f t="shared" ca="1" si="235"/>
        <v>0</v>
      </c>
      <c r="BB86" s="541">
        <f t="shared" ca="1" si="235"/>
        <v>0</v>
      </c>
      <c r="BC86" s="541">
        <f t="shared" ca="1" si="235"/>
        <v>0</v>
      </c>
      <c r="BD86" s="541">
        <f t="shared" ca="1" si="235"/>
        <v>0</v>
      </c>
      <c r="BE86" s="541">
        <f t="shared" ca="1" si="235"/>
        <v>0</v>
      </c>
      <c r="BF86" s="541">
        <f t="shared" ca="1" si="235"/>
        <v>0</v>
      </c>
      <c r="BG86" s="541">
        <f t="shared" ca="1" si="235"/>
        <v>0</v>
      </c>
      <c r="BH86" s="541">
        <f t="shared" ca="1" si="235"/>
        <v>0</v>
      </c>
      <c r="BI86" s="541">
        <f t="shared" ca="1" si="235"/>
        <v>0</v>
      </c>
      <c r="BJ86" s="541">
        <f t="shared" ca="1" si="235"/>
        <v>0</v>
      </c>
      <c r="BK86" s="541">
        <f t="shared" ca="1" si="235"/>
        <v>0</v>
      </c>
      <c r="BL86" s="541">
        <f t="shared" ca="1" si="235"/>
        <v>0</v>
      </c>
      <c r="BM86" s="541">
        <f t="shared" ca="1" si="235"/>
        <v>0</v>
      </c>
      <c r="BN86" s="541">
        <f t="shared" ca="1" si="235"/>
        <v>0</v>
      </c>
      <c r="BO86" s="541">
        <f t="shared" ca="1" si="235"/>
        <v>0</v>
      </c>
      <c r="BP86" s="541">
        <f t="shared" ca="1" si="235"/>
        <v>0</v>
      </c>
      <c r="BQ86" s="541">
        <f t="shared" ca="1" si="235"/>
        <v>0</v>
      </c>
      <c r="BR86" s="541">
        <f t="shared" ca="1" si="235"/>
        <v>0</v>
      </c>
      <c r="BS86" s="541">
        <f t="shared" ca="1" si="235"/>
        <v>0</v>
      </c>
      <c r="BT86" s="541">
        <f t="shared" ca="1" si="235"/>
        <v>0</v>
      </c>
      <c r="BU86" s="541">
        <f t="shared" ca="1" si="235"/>
        <v>0</v>
      </c>
      <c r="BV86" s="541">
        <f t="shared" ca="1" si="235"/>
        <v>0</v>
      </c>
      <c r="BW86" s="541">
        <f t="shared" ca="1" si="235"/>
        <v>0</v>
      </c>
      <c r="BX86" s="541">
        <f t="shared" ca="1" si="235"/>
        <v>0</v>
      </c>
      <c r="BY86" s="541">
        <f t="shared" ca="1" si="235"/>
        <v>0</v>
      </c>
      <c r="BZ86" s="541">
        <f t="shared" ca="1" si="235"/>
        <v>0</v>
      </c>
      <c r="CA86" s="541">
        <f t="shared" ca="1" si="235"/>
        <v>0</v>
      </c>
      <c r="CB86" s="541">
        <f t="shared" ca="1" si="235"/>
        <v>0</v>
      </c>
      <c r="CC86" s="541">
        <f t="shared" ca="1" si="235"/>
        <v>0</v>
      </c>
      <c r="CD86" s="541">
        <f t="shared" ca="1" si="235"/>
        <v>0</v>
      </c>
      <c r="CE86" s="541">
        <f t="shared" ca="1" si="235"/>
        <v>0</v>
      </c>
      <c r="CF86" s="541">
        <f t="shared" ca="1" si="235"/>
        <v>0</v>
      </c>
      <c r="CG86" s="541">
        <f t="shared" ca="1" si="235"/>
        <v>0</v>
      </c>
      <c r="CH86" s="541">
        <f t="shared" ca="1" si="235"/>
        <v>0</v>
      </c>
      <c r="CI86" s="541">
        <f t="shared" ca="1" si="235"/>
        <v>0</v>
      </c>
      <c r="CJ86" s="541">
        <f t="shared" ca="1" si="235"/>
        <v>0</v>
      </c>
      <c r="CK86" s="541">
        <f t="shared" ca="1" si="235"/>
        <v>0</v>
      </c>
      <c r="CL86" s="541">
        <f t="shared" ca="1" si="235"/>
        <v>0</v>
      </c>
      <c r="CN86" s="620" t="str">
        <f>IFERROR((Y86/H86)^(1/17)-1,"")</f>
        <v/>
      </c>
      <c r="CO86" s="620" t="str">
        <f>IFERROR((AN86/Y86)^(1/15)-1,"")</f>
        <v/>
      </c>
      <c r="CP86" s="620" t="str">
        <f>IFERROR((AN86/H86)^(1/32)-1,"")</f>
        <v/>
      </c>
    </row>
    <row r="87" spans="1:94" outlineLevel="1">
      <c r="A87" s="538" t="s">
        <v>255</v>
      </c>
      <c r="B87" s="538" t="s">
        <v>257</v>
      </c>
      <c r="C87" s="538" t="s">
        <v>371</v>
      </c>
      <c r="D87" s="538" t="s">
        <v>372</v>
      </c>
      <c r="E87" s="539">
        <f t="shared" ref="E87:BP87" si="236">IFERROR((E85*E81)/1000,0)</f>
        <v>0</v>
      </c>
      <c r="F87" s="540">
        <f t="shared" si="236"/>
        <v>0</v>
      </c>
      <c r="G87" s="540">
        <f t="shared" si="236"/>
        <v>0</v>
      </c>
      <c r="H87" s="540">
        <f>IFERROR((H85*H81)/1000,0)</f>
        <v>0</v>
      </c>
      <c r="I87" s="540">
        <f ca="1">IFERROR((I85*I81)/1000,0)</f>
        <v>0</v>
      </c>
      <c r="J87" s="540">
        <f t="shared" si="236"/>
        <v>0</v>
      </c>
      <c r="K87" s="540">
        <f t="shared" si="236"/>
        <v>0</v>
      </c>
      <c r="L87" s="540">
        <f t="shared" si="236"/>
        <v>0</v>
      </c>
      <c r="M87" s="540">
        <f t="shared" ca="1" si="236"/>
        <v>0</v>
      </c>
      <c r="N87" s="540">
        <f t="shared" ca="1" si="236"/>
        <v>0</v>
      </c>
      <c r="O87" s="540">
        <f t="shared" ca="1" si="236"/>
        <v>0</v>
      </c>
      <c r="P87" s="540">
        <f t="shared" ca="1" si="236"/>
        <v>0</v>
      </c>
      <c r="Q87" s="540">
        <f t="shared" ca="1" si="236"/>
        <v>0</v>
      </c>
      <c r="R87" s="540">
        <f t="shared" ca="1" si="236"/>
        <v>0</v>
      </c>
      <c r="S87" s="549">
        <f t="shared" ca="1" si="236"/>
        <v>0</v>
      </c>
      <c r="T87" s="549">
        <f t="shared" ca="1" si="236"/>
        <v>0</v>
      </c>
      <c r="U87" s="549">
        <f t="shared" ca="1" si="236"/>
        <v>0</v>
      </c>
      <c r="V87" s="540">
        <f t="shared" ca="1" si="236"/>
        <v>0</v>
      </c>
      <c r="W87" s="540">
        <f t="shared" ca="1" si="236"/>
        <v>0</v>
      </c>
      <c r="X87" s="540">
        <f t="shared" ca="1" si="236"/>
        <v>0</v>
      </c>
      <c r="Y87" s="540">
        <f t="shared" ca="1" si="236"/>
        <v>0</v>
      </c>
      <c r="Z87" s="540">
        <f t="shared" ca="1" si="236"/>
        <v>0</v>
      </c>
      <c r="AA87" s="540">
        <f t="shared" ca="1" si="236"/>
        <v>0</v>
      </c>
      <c r="AB87" s="540">
        <f t="shared" ca="1" si="236"/>
        <v>0</v>
      </c>
      <c r="AC87" s="540">
        <f t="shared" ca="1" si="236"/>
        <v>0</v>
      </c>
      <c r="AD87" s="540">
        <f t="shared" ca="1" si="236"/>
        <v>0</v>
      </c>
      <c r="AE87" s="540">
        <f t="shared" ca="1" si="236"/>
        <v>0</v>
      </c>
      <c r="AF87" s="540">
        <f t="shared" ca="1" si="236"/>
        <v>0</v>
      </c>
      <c r="AG87" s="540">
        <f t="shared" ca="1" si="236"/>
        <v>0</v>
      </c>
      <c r="AH87" s="540">
        <f t="shared" ca="1" si="236"/>
        <v>0</v>
      </c>
      <c r="AI87" s="540">
        <f t="shared" ca="1" si="236"/>
        <v>0</v>
      </c>
      <c r="AJ87" s="540">
        <f t="shared" ca="1" si="236"/>
        <v>0</v>
      </c>
      <c r="AK87" s="540">
        <f t="shared" ca="1" si="236"/>
        <v>0</v>
      </c>
      <c r="AL87" s="540">
        <f t="shared" ca="1" si="236"/>
        <v>0</v>
      </c>
      <c r="AM87" s="540">
        <f t="shared" ca="1" si="236"/>
        <v>0</v>
      </c>
      <c r="AN87" s="540">
        <f t="shared" ca="1" si="236"/>
        <v>0</v>
      </c>
      <c r="AO87" s="540">
        <f t="shared" ca="1" si="236"/>
        <v>0</v>
      </c>
      <c r="AP87" s="540">
        <f t="shared" ca="1" si="236"/>
        <v>0</v>
      </c>
      <c r="AQ87" s="540">
        <f t="shared" ca="1" si="236"/>
        <v>0</v>
      </c>
      <c r="AR87" s="540">
        <f t="shared" ca="1" si="236"/>
        <v>0</v>
      </c>
      <c r="AS87" s="540">
        <f t="shared" ca="1" si="236"/>
        <v>0</v>
      </c>
      <c r="AT87" s="540">
        <f t="shared" ca="1" si="236"/>
        <v>0</v>
      </c>
      <c r="AU87" s="540">
        <f t="shared" ca="1" si="236"/>
        <v>0</v>
      </c>
      <c r="AV87" s="540">
        <f t="shared" ca="1" si="236"/>
        <v>0</v>
      </c>
      <c r="AW87" s="540">
        <f t="shared" ca="1" si="236"/>
        <v>0</v>
      </c>
      <c r="AX87" s="540">
        <f t="shared" ca="1" si="236"/>
        <v>0</v>
      </c>
      <c r="AY87" s="540">
        <f t="shared" ca="1" si="236"/>
        <v>0</v>
      </c>
      <c r="AZ87" s="540">
        <f t="shared" ca="1" si="236"/>
        <v>0</v>
      </c>
      <c r="BA87" s="540">
        <f t="shared" ca="1" si="236"/>
        <v>0</v>
      </c>
      <c r="BB87" s="540">
        <f t="shared" ca="1" si="236"/>
        <v>0</v>
      </c>
      <c r="BC87" s="540">
        <f t="shared" ca="1" si="236"/>
        <v>0</v>
      </c>
      <c r="BD87" s="540">
        <f t="shared" ca="1" si="236"/>
        <v>0</v>
      </c>
      <c r="BE87" s="540">
        <f t="shared" ca="1" si="236"/>
        <v>0</v>
      </c>
      <c r="BF87" s="540">
        <f t="shared" ca="1" si="236"/>
        <v>0</v>
      </c>
      <c r="BG87" s="540">
        <f t="shared" ca="1" si="236"/>
        <v>0</v>
      </c>
      <c r="BH87" s="540">
        <f t="shared" ca="1" si="236"/>
        <v>0</v>
      </c>
      <c r="BI87" s="540">
        <f t="shared" ca="1" si="236"/>
        <v>0</v>
      </c>
      <c r="BJ87" s="540">
        <f t="shared" ca="1" si="236"/>
        <v>0</v>
      </c>
      <c r="BK87" s="540">
        <f t="shared" ca="1" si="236"/>
        <v>0</v>
      </c>
      <c r="BL87" s="540">
        <f t="shared" ca="1" si="236"/>
        <v>0</v>
      </c>
      <c r="BM87" s="540">
        <f t="shared" ca="1" si="236"/>
        <v>0</v>
      </c>
      <c r="BN87" s="540">
        <f t="shared" ca="1" si="236"/>
        <v>0</v>
      </c>
      <c r="BO87" s="540">
        <f t="shared" ca="1" si="236"/>
        <v>0</v>
      </c>
      <c r="BP87" s="540">
        <f t="shared" ca="1" si="236"/>
        <v>0</v>
      </c>
      <c r="BQ87" s="540">
        <f t="shared" ref="BQ87:CL87" ca="1" si="237">IFERROR((BQ85*BQ81)/1000,0)</f>
        <v>0</v>
      </c>
      <c r="BR87" s="540">
        <f t="shared" ca="1" si="237"/>
        <v>0</v>
      </c>
      <c r="BS87" s="540">
        <f t="shared" ca="1" si="237"/>
        <v>0</v>
      </c>
      <c r="BT87" s="540">
        <f t="shared" ca="1" si="237"/>
        <v>0</v>
      </c>
      <c r="BU87" s="540">
        <f t="shared" ca="1" si="237"/>
        <v>0</v>
      </c>
      <c r="BV87" s="540">
        <f t="shared" ca="1" si="237"/>
        <v>0</v>
      </c>
      <c r="BW87" s="540">
        <f t="shared" ca="1" si="237"/>
        <v>0</v>
      </c>
      <c r="BX87" s="540">
        <f t="shared" ca="1" si="237"/>
        <v>0</v>
      </c>
      <c r="BY87" s="540">
        <f t="shared" ca="1" si="237"/>
        <v>0</v>
      </c>
      <c r="BZ87" s="540">
        <f t="shared" ca="1" si="237"/>
        <v>0</v>
      </c>
      <c r="CA87" s="540">
        <f t="shared" ca="1" si="237"/>
        <v>0</v>
      </c>
      <c r="CB87" s="540">
        <f t="shared" ca="1" si="237"/>
        <v>0</v>
      </c>
      <c r="CC87" s="540">
        <f t="shared" ca="1" si="237"/>
        <v>0</v>
      </c>
      <c r="CD87" s="540">
        <f t="shared" ca="1" si="237"/>
        <v>0</v>
      </c>
      <c r="CE87" s="540">
        <f t="shared" ca="1" si="237"/>
        <v>0</v>
      </c>
      <c r="CF87" s="540">
        <f t="shared" ca="1" si="237"/>
        <v>0</v>
      </c>
      <c r="CG87" s="540">
        <f t="shared" ca="1" si="237"/>
        <v>0</v>
      </c>
      <c r="CH87" s="540">
        <f t="shared" ca="1" si="237"/>
        <v>0</v>
      </c>
      <c r="CI87" s="540">
        <f t="shared" ca="1" si="237"/>
        <v>0</v>
      </c>
      <c r="CJ87" s="540">
        <f t="shared" ca="1" si="237"/>
        <v>0</v>
      </c>
      <c r="CK87" s="540">
        <f t="shared" ca="1" si="237"/>
        <v>0</v>
      </c>
      <c r="CL87" s="540">
        <f t="shared" ca="1" si="237"/>
        <v>0</v>
      </c>
      <c r="CN87" s="619" t="str">
        <f ca="1">IFERROR((Y87/H87)^(1/17)-1,"")</f>
        <v/>
      </c>
      <c r="CO87" s="619" t="str">
        <f ca="1">IFERROR((AN87/Y87)^(1/15)-1,"")</f>
        <v/>
      </c>
      <c r="CP87" s="619" t="str">
        <f ca="1">IFERROR((AN87/H87)^(1/32)-1,"")</f>
        <v/>
      </c>
    </row>
    <row r="88" spans="1:94" outlineLevel="1">
      <c r="A88" s="547" t="s">
        <v>382</v>
      </c>
      <c r="B88" s="547" t="s">
        <v>384</v>
      </c>
      <c r="C88" s="547"/>
      <c r="D88" s="547"/>
      <c r="E88" s="548" t="e">
        <f t="shared" ref="E88:AN88" si="238">IF($B$6="ON",IF(E74=covid_start-1,E77,IF(E74=covid_recovery,E77,IF(E74&gt;=covid_start,IF(E74&lt;covid_recovery,D88-(INDEX($E74:$CH87,4,MATCH(covid_start-1,$E74:$CL74,0))-INDEX($E74:$CL87,4,MATCH(covid_recovery,$E74:$CL74,0)))/(covid_recovery-covid_start+1),NA()),NA()))),NA())</f>
        <v>#N/A</v>
      </c>
      <c r="F88" s="548" t="e">
        <f t="shared" si="238"/>
        <v>#N/A</v>
      </c>
      <c r="G88" s="548" t="e">
        <f t="shared" si="238"/>
        <v>#N/A</v>
      </c>
      <c r="H88" s="548" t="e">
        <f t="shared" si="238"/>
        <v>#N/A</v>
      </c>
      <c r="I88" s="548">
        <f t="shared" ca="1" si="238"/>
        <v>1019.4512923512447</v>
      </c>
      <c r="J88" s="548">
        <f ca="1">IF($B$6="ON",IF(J74=covid_start-1,J77,IF(J74=covid_recovery,J77,IF(J74&gt;=covid_start,IF(J74&lt;covid_recovery,I88-(INDEX($E74:$CH87,4,MATCH(covid_start-1,$E74:$CL74,0))-INDEX($E74:$CL87,4,MATCH(covid_recovery,$E74:$CL74,0)))/(covid_recovery-covid_start+1),NA()),NA()))),NA())</f>
        <v>986.53757648972146</v>
      </c>
      <c r="K88" s="548">
        <f t="shared" ca="1" si="238"/>
        <v>953.62386062819826</v>
      </c>
      <c r="L88" s="548">
        <f t="shared" ca="1" si="238"/>
        <v>920.71014476667506</v>
      </c>
      <c r="M88" s="548">
        <f t="shared" ca="1" si="238"/>
        <v>887.79642890515197</v>
      </c>
      <c r="N88" s="548" t="e">
        <f t="shared" si="238"/>
        <v>#N/A</v>
      </c>
      <c r="O88" s="548" t="e">
        <f t="shared" si="238"/>
        <v>#N/A</v>
      </c>
      <c r="P88" s="548" t="e">
        <f t="shared" si="238"/>
        <v>#N/A</v>
      </c>
      <c r="Q88" s="548" t="e">
        <f t="shared" si="238"/>
        <v>#N/A</v>
      </c>
      <c r="R88" s="548" t="e">
        <f t="shared" si="238"/>
        <v>#N/A</v>
      </c>
      <c r="S88" s="548" t="e">
        <f t="shared" si="238"/>
        <v>#N/A</v>
      </c>
      <c r="T88" s="548" t="e">
        <f t="shared" si="238"/>
        <v>#N/A</v>
      </c>
      <c r="U88" s="548" t="e">
        <f t="shared" si="238"/>
        <v>#N/A</v>
      </c>
      <c r="V88" s="548" t="e">
        <f t="shared" si="238"/>
        <v>#N/A</v>
      </c>
      <c r="W88" s="548" t="e">
        <f t="shared" si="238"/>
        <v>#N/A</v>
      </c>
      <c r="X88" s="548" t="e">
        <f t="shared" si="238"/>
        <v>#N/A</v>
      </c>
      <c r="Y88" s="548" t="e">
        <f t="shared" si="238"/>
        <v>#N/A</v>
      </c>
      <c r="Z88" s="548" t="e">
        <f t="shared" si="238"/>
        <v>#N/A</v>
      </c>
      <c r="AA88" s="548" t="e">
        <f t="shared" si="238"/>
        <v>#N/A</v>
      </c>
      <c r="AB88" s="548" t="e">
        <f t="shared" si="238"/>
        <v>#N/A</v>
      </c>
      <c r="AC88" s="548" t="e">
        <f t="shared" si="238"/>
        <v>#N/A</v>
      </c>
      <c r="AD88" s="548" t="e">
        <f t="shared" si="238"/>
        <v>#N/A</v>
      </c>
      <c r="AE88" s="548" t="e">
        <f t="shared" si="238"/>
        <v>#N/A</v>
      </c>
      <c r="AF88" s="548" t="e">
        <f t="shared" si="238"/>
        <v>#N/A</v>
      </c>
      <c r="AG88" s="548" t="e">
        <f t="shared" si="238"/>
        <v>#N/A</v>
      </c>
      <c r="AH88" s="548" t="e">
        <f t="shared" si="238"/>
        <v>#N/A</v>
      </c>
      <c r="AI88" s="548" t="e">
        <f t="shared" si="238"/>
        <v>#N/A</v>
      </c>
      <c r="AJ88" s="548" t="e">
        <f t="shared" si="238"/>
        <v>#N/A</v>
      </c>
      <c r="AK88" s="548" t="e">
        <f t="shared" si="238"/>
        <v>#N/A</v>
      </c>
      <c r="AL88" s="548" t="e">
        <f t="shared" si="238"/>
        <v>#N/A</v>
      </c>
      <c r="AM88" s="548" t="e">
        <f t="shared" si="238"/>
        <v>#N/A</v>
      </c>
      <c r="AN88" s="548" t="e">
        <f t="shared" si="238"/>
        <v>#N/A</v>
      </c>
      <c r="AO88" s="541"/>
      <c r="AP88" s="541"/>
      <c r="AQ88" s="541"/>
      <c r="AR88" s="541"/>
      <c r="AS88" s="541"/>
      <c r="AT88" s="541"/>
      <c r="AU88" s="541"/>
      <c r="AV88" s="541"/>
      <c r="AW88" s="541"/>
      <c r="AX88" s="541"/>
      <c r="AY88" s="541"/>
      <c r="AZ88" s="541"/>
      <c r="BA88" s="541"/>
      <c r="BB88" s="541"/>
      <c r="BC88" s="541"/>
      <c r="BD88" s="541"/>
      <c r="BE88" s="541"/>
      <c r="BF88" s="541"/>
      <c r="BG88" s="541"/>
      <c r="BH88" s="541"/>
      <c r="BI88" s="541"/>
      <c r="BJ88" s="541"/>
      <c r="BK88" s="541"/>
      <c r="BL88" s="541"/>
      <c r="BM88" s="541"/>
      <c r="BN88" s="541"/>
      <c r="BO88" s="541"/>
      <c r="BP88" s="541"/>
      <c r="BQ88" s="541"/>
      <c r="BR88" s="541"/>
      <c r="BS88" s="541"/>
      <c r="BT88" s="541"/>
      <c r="BU88" s="541"/>
      <c r="BV88" s="541"/>
      <c r="BW88" s="541"/>
      <c r="BX88" s="541"/>
      <c r="BY88" s="541"/>
      <c r="BZ88" s="541"/>
      <c r="CA88" s="541"/>
      <c r="CB88" s="541"/>
      <c r="CC88" s="541"/>
      <c r="CD88" s="541"/>
      <c r="CE88" s="541"/>
      <c r="CF88" s="541"/>
      <c r="CG88" s="541"/>
      <c r="CH88" s="541"/>
      <c r="CI88" s="541"/>
      <c r="CJ88" s="541"/>
      <c r="CK88" s="541"/>
      <c r="CL88" s="541"/>
      <c r="CN88" s="621" t="str">
        <f t="shared" si="216"/>
        <v/>
      </c>
      <c r="CO88" s="621" t="str">
        <f t="shared" si="217"/>
        <v/>
      </c>
      <c r="CP88" s="621" t="str">
        <f t="shared" si="218"/>
        <v/>
      </c>
    </row>
    <row r="89" spans="1:94" outlineLevel="1">
      <c r="A89" s="535" t="s">
        <v>383</v>
      </c>
      <c r="B89" s="535" t="s">
        <v>384</v>
      </c>
      <c r="C89" s="535"/>
      <c r="D89" s="535"/>
      <c r="E89" s="541" t="e">
        <f t="shared" ref="E89:AN89" si="239">IF($B$6="ON",IF(E74=covid_start-1,E85,IF(E74=covid_recovery,E85,IF(E74&gt;=covid_start,IF(E74&lt;covid_recovery,D89-(INDEX($E74:$CH87,12,MATCH(covid_start-1,$E74:$CL74,0))-INDEX($E74:$CL87,12,MATCH(covid_recovery,$E74:$CL74,0)))/(covid_recovery-covid_start+1),NA()),NA()))),NA())</f>
        <v>#N/A</v>
      </c>
      <c r="F89" s="541" t="e">
        <f t="shared" si="239"/>
        <v>#N/A</v>
      </c>
      <c r="G89" s="541" t="e">
        <f t="shared" si="239"/>
        <v>#N/A</v>
      </c>
      <c r="H89" s="541" t="e">
        <f t="shared" si="239"/>
        <v>#N/A</v>
      </c>
      <c r="I89" s="541">
        <f t="shared" ca="1" si="239"/>
        <v>0</v>
      </c>
      <c r="J89" s="541">
        <f t="shared" ca="1" si="239"/>
        <v>0</v>
      </c>
      <c r="K89" s="541">
        <f t="shared" ca="1" si="239"/>
        <v>0</v>
      </c>
      <c r="L89" s="541">
        <f t="shared" ca="1" si="239"/>
        <v>0</v>
      </c>
      <c r="M89" s="541">
        <f t="shared" ca="1" si="239"/>
        <v>0</v>
      </c>
      <c r="N89" s="541" t="e">
        <f t="shared" si="239"/>
        <v>#N/A</v>
      </c>
      <c r="O89" s="541" t="e">
        <f t="shared" si="239"/>
        <v>#N/A</v>
      </c>
      <c r="P89" s="541" t="e">
        <f t="shared" si="239"/>
        <v>#N/A</v>
      </c>
      <c r="Q89" s="541" t="e">
        <f t="shared" si="239"/>
        <v>#N/A</v>
      </c>
      <c r="R89" s="541" t="e">
        <f t="shared" si="239"/>
        <v>#N/A</v>
      </c>
      <c r="S89" s="541" t="e">
        <f t="shared" si="239"/>
        <v>#N/A</v>
      </c>
      <c r="T89" s="541" t="e">
        <f t="shared" si="239"/>
        <v>#N/A</v>
      </c>
      <c r="U89" s="541" t="e">
        <f t="shared" si="239"/>
        <v>#N/A</v>
      </c>
      <c r="V89" s="541" t="e">
        <f t="shared" si="239"/>
        <v>#N/A</v>
      </c>
      <c r="W89" s="541" t="e">
        <f t="shared" si="239"/>
        <v>#N/A</v>
      </c>
      <c r="X89" s="541" t="e">
        <f t="shared" si="239"/>
        <v>#N/A</v>
      </c>
      <c r="Y89" s="541" t="e">
        <f t="shared" si="239"/>
        <v>#N/A</v>
      </c>
      <c r="Z89" s="541" t="e">
        <f t="shared" si="239"/>
        <v>#N/A</v>
      </c>
      <c r="AA89" s="541" t="e">
        <f t="shared" si="239"/>
        <v>#N/A</v>
      </c>
      <c r="AB89" s="541" t="e">
        <f t="shared" si="239"/>
        <v>#N/A</v>
      </c>
      <c r="AC89" s="541" t="e">
        <f t="shared" si="239"/>
        <v>#N/A</v>
      </c>
      <c r="AD89" s="541" t="e">
        <f t="shared" si="239"/>
        <v>#N/A</v>
      </c>
      <c r="AE89" s="541" t="e">
        <f t="shared" si="239"/>
        <v>#N/A</v>
      </c>
      <c r="AF89" s="541" t="e">
        <f t="shared" si="239"/>
        <v>#N/A</v>
      </c>
      <c r="AG89" s="541" t="e">
        <f t="shared" si="239"/>
        <v>#N/A</v>
      </c>
      <c r="AH89" s="541" t="e">
        <f t="shared" si="239"/>
        <v>#N/A</v>
      </c>
      <c r="AI89" s="541" t="e">
        <f t="shared" si="239"/>
        <v>#N/A</v>
      </c>
      <c r="AJ89" s="541" t="e">
        <f t="shared" si="239"/>
        <v>#N/A</v>
      </c>
      <c r="AK89" s="541" t="e">
        <f t="shared" si="239"/>
        <v>#N/A</v>
      </c>
      <c r="AL89" s="541" t="e">
        <f t="shared" si="239"/>
        <v>#N/A</v>
      </c>
      <c r="AM89" s="541" t="e">
        <f t="shared" si="239"/>
        <v>#N/A</v>
      </c>
      <c r="AN89" s="541" t="e">
        <f t="shared" si="239"/>
        <v>#N/A</v>
      </c>
      <c r="AO89" s="541"/>
      <c r="AP89" s="541"/>
      <c r="AQ89" s="541"/>
      <c r="AR89" s="541"/>
      <c r="AS89" s="541"/>
      <c r="AT89" s="541"/>
      <c r="AU89" s="541"/>
      <c r="AV89" s="541"/>
      <c r="AW89" s="541"/>
      <c r="AX89" s="541"/>
      <c r="AY89" s="541"/>
      <c r="AZ89" s="541"/>
      <c r="BA89" s="541"/>
      <c r="BB89" s="541"/>
      <c r="BC89" s="541"/>
      <c r="BD89" s="541"/>
      <c r="BE89" s="541"/>
      <c r="BF89" s="541"/>
      <c r="BG89" s="541"/>
      <c r="BH89" s="541"/>
      <c r="BI89" s="541"/>
      <c r="BJ89" s="541"/>
      <c r="BK89" s="541"/>
      <c r="BL89" s="541"/>
      <c r="BM89" s="541"/>
      <c r="BN89" s="541"/>
      <c r="BO89" s="541"/>
      <c r="BP89" s="541"/>
      <c r="BQ89" s="541"/>
      <c r="BR89" s="541"/>
      <c r="BS89" s="541"/>
      <c r="BT89" s="541"/>
      <c r="BU89" s="541"/>
      <c r="BV89" s="541"/>
      <c r="BW89" s="541"/>
      <c r="BX89" s="541"/>
      <c r="BY89" s="541"/>
      <c r="BZ89" s="541"/>
      <c r="CA89" s="541"/>
      <c r="CB89" s="541"/>
      <c r="CC89" s="541"/>
      <c r="CD89" s="541"/>
      <c r="CE89" s="541"/>
      <c r="CF89" s="541"/>
      <c r="CG89" s="541"/>
      <c r="CH89" s="541"/>
      <c r="CI89" s="541"/>
      <c r="CJ89" s="541"/>
      <c r="CK89" s="541"/>
      <c r="CL89" s="541"/>
      <c r="CN89" s="620" t="str">
        <f t="shared" si="216"/>
        <v/>
      </c>
      <c r="CO89" s="620" t="str">
        <f t="shared" si="217"/>
        <v/>
      </c>
      <c r="CP89" s="620" t="str">
        <f t="shared" si="218"/>
        <v/>
      </c>
    </row>
    <row r="90" spans="1:94" ht="16.5" thickBot="1">
      <c r="A90" s="553" t="s">
        <v>415</v>
      </c>
      <c r="B90" s="553"/>
      <c r="C90" s="553"/>
      <c r="D90" s="553"/>
      <c r="E90" s="554">
        <v>2015</v>
      </c>
      <c r="F90" s="554">
        <f>E90+1</f>
        <v>2016</v>
      </c>
      <c r="G90" s="554">
        <f t="shared" ref="G90:I90" si="240">F90+1</f>
        <v>2017</v>
      </c>
      <c r="H90" s="554">
        <f t="shared" si="240"/>
        <v>2018</v>
      </c>
      <c r="I90" s="554">
        <f t="shared" si="240"/>
        <v>2019</v>
      </c>
      <c r="J90" s="554">
        <f>E90+5</f>
        <v>2020</v>
      </c>
      <c r="K90" s="554">
        <f>J90+1</f>
        <v>2021</v>
      </c>
      <c r="L90" s="554">
        <f t="shared" ref="L90:N90" si="241">K90+1</f>
        <v>2022</v>
      </c>
      <c r="M90" s="554">
        <f t="shared" si="241"/>
        <v>2023</v>
      </c>
      <c r="N90" s="554">
        <f t="shared" si="241"/>
        <v>2024</v>
      </c>
      <c r="O90" s="554">
        <f>J90+5</f>
        <v>2025</v>
      </c>
      <c r="P90" s="554">
        <f>O90+1</f>
        <v>2026</v>
      </c>
      <c r="Q90" s="554">
        <f t="shared" ref="Q90:S90" si="242">P90+1</f>
        <v>2027</v>
      </c>
      <c r="R90" s="554">
        <f t="shared" si="242"/>
        <v>2028</v>
      </c>
      <c r="S90" s="554">
        <f t="shared" si="242"/>
        <v>2029</v>
      </c>
      <c r="T90" s="554">
        <f>O90+5</f>
        <v>2030</v>
      </c>
      <c r="U90" s="554">
        <f>T90+1</f>
        <v>2031</v>
      </c>
      <c r="V90" s="554">
        <f t="shared" ref="V90:X90" si="243">U90+1</f>
        <v>2032</v>
      </c>
      <c r="W90" s="554">
        <f t="shared" si="243"/>
        <v>2033</v>
      </c>
      <c r="X90" s="554">
        <f t="shared" si="243"/>
        <v>2034</v>
      </c>
      <c r="Y90" s="554">
        <f>T90+5</f>
        <v>2035</v>
      </c>
      <c r="Z90" s="554">
        <f>Y90+1</f>
        <v>2036</v>
      </c>
      <c r="AA90" s="554">
        <f t="shared" ref="AA90:AC90" si="244">Z90+1</f>
        <v>2037</v>
      </c>
      <c r="AB90" s="554">
        <f t="shared" si="244"/>
        <v>2038</v>
      </c>
      <c r="AC90" s="554">
        <f t="shared" si="244"/>
        <v>2039</v>
      </c>
      <c r="AD90" s="554">
        <f>Y90+5</f>
        <v>2040</v>
      </c>
      <c r="AE90" s="554">
        <f>AD90+1</f>
        <v>2041</v>
      </c>
      <c r="AF90" s="554">
        <f t="shared" ref="AF90:AH90" si="245">AE90+1</f>
        <v>2042</v>
      </c>
      <c r="AG90" s="554">
        <f t="shared" si="245"/>
        <v>2043</v>
      </c>
      <c r="AH90" s="554">
        <f t="shared" si="245"/>
        <v>2044</v>
      </c>
      <c r="AI90" s="554">
        <f>AD90+5</f>
        <v>2045</v>
      </c>
      <c r="AJ90" s="554">
        <f>AI90+1</f>
        <v>2046</v>
      </c>
      <c r="AK90" s="554">
        <f t="shared" ref="AK90:AM90" si="246">AJ90+1</f>
        <v>2047</v>
      </c>
      <c r="AL90" s="554">
        <f t="shared" si="246"/>
        <v>2048</v>
      </c>
      <c r="AM90" s="554">
        <f t="shared" si="246"/>
        <v>2049</v>
      </c>
      <c r="AN90" s="554">
        <f>AI90+5</f>
        <v>2050</v>
      </c>
      <c r="AO90" s="553">
        <f>AN90+1</f>
        <v>2051</v>
      </c>
      <c r="AP90" s="553">
        <f t="shared" ref="AP90:AR90" si="247">AO90+1</f>
        <v>2052</v>
      </c>
      <c r="AQ90" s="553">
        <f t="shared" si="247"/>
        <v>2053</v>
      </c>
      <c r="AR90" s="553">
        <f t="shared" si="247"/>
        <v>2054</v>
      </c>
      <c r="AS90" s="553">
        <f>AN90+5</f>
        <v>2055</v>
      </c>
      <c r="AT90" s="553">
        <f>AS90+1</f>
        <v>2056</v>
      </c>
      <c r="AU90" s="553">
        <f t="shared" ref="AU90:AW90" si="248">AT90+1</f>
        <v>2057</v>
      </c>
      <c r="AV90" s="553">
        <f t="shared" si="248"/>
        <v>2058</v>
      </c>
      <c r="AW90" s="553">
        <f t="shared" si="248"/>
        <v>2059</v>
      </c>
      <c r="AX90" s="553">
        <f>AS90+5</f>
        <v>2060</v>
      </c>
      <c r="AY90" s="553">
        <f>AX90+1</f>
        <v>2061</v>
      </c>
      <c r="AZ90" s="553">
        <f t="shared" ref="AZ90:BB90" si="249">AY90+1</f>
        <v>2062</v>
      </c>
      <c r="BA90" s="553">
        <f t="shared" si="249"/>
        <v>2063</v>
      </c>
      <c r="BB90" s="553">
        <f t="shared" si="249"/>
        <v>2064</v>
      </c>
      <c r="BC90" s="553">
        <f>AX90+5</f>
        <v>2065</v>
      </c>
      <c r="BD90" s="553">
        <f>BC90+1</f>
        <v>2066</v>
      </c>
      <c r="BE90" s="553">
        <f t="shared" ref="BE90:BG90" si="250">BD90+1</f>
        <v>2067</v>
      </c>
      <c r="BF90" s="553">
        <f t="shared" si="250"/>
        <v>2068</v>
      </c>
      <c r="BG90" s="553">
        <f t="shared" si="250"/>
        <v>2069</v>
      </c>
      <c r="BH90" s="554">
        <f>BC90+5</f>
        <v>2070</v>
      </c>
      <c r="BI90" s="554">
        <f>BH90+1</f>
        <v>2071</v>
      </c>
      <c r="BJ90" s="554">
        <f t="shared" ref="BJ90:BL90" si="251">BI90+1</f>
        <v>2072</v>
      </c>
      <c r="BK90" s="554">
        <f t="shared" si="251"/>
        <v>2073</v>
      </c>
      <c r="BL90" s="554">
        <f t="shared" si="251"/>
        <v>2074</v>
      </c>
      <c r="BM90" s="554">
        <f>BH90+5</f>
        <v>2075</v>
      </c>
      <c r="BN90" s="554">
        <f>BM90+1</f>
        <v>2076</v>
      </c>
      <c r="BO90" s="554">
        <f t="shared" ref="BO90:BQ90" si="252">BN90+1</f>
        <v>2077</v>
      </c>
      <c r="BP90" s="554">
        <f t="shared" si="252"/>
        <v>2078</v>
      </c>
      <c r="BQ90" s="554">
        <f t="shared" si="252"/>
        <v>2079</v>
      </c>
      <c r="BR90" s="554">
        <f>BM90+5</f>
        <v>2080</v>
      </c>
      <c r="BS90" s="554">
        <f>BR90+1</f>
        <v>2081</v>
      </c>
      <c r="BT90" s="554">
        <f t="shared" ref="BT90:BV90" si="253">BS90+1</f>
        <v>2082</v>
      </c>
      <c r="BU90" s="554">
        <f t="shared" si="253"/>
        <v>2083</v>
      </c>
      <c r="BV90" s="554">
        <f t="shared" si="253"/>
        <v>2084</v>
      </c>
      <c r="BW90" s="554">
        <f>BR90+5</f>
        <v>2085</v>
      </c>
      <c r="BX90" s="554">
        <f>BW90+1</f>
        <v>2086</v>
      </c>
      <c r="BY90" s="554">
        <f t="shared" ref="BY90:CA90" si="254">BX90+1</f>
        <v>2087</v>
      </c>
      <c r="BZ90" s="554">
        <f t="shared" si="254"/>
        <v>2088</v>
      </c>
      <c r="CA90" s="554">
        <f t="shared" si="254"/>
        <v>2089</v>
      </c>
      <c r="CB90" s="554">
        <f>BW90+5</f>
        <v>2090</v>
      </c>
      <c r="CC90" s="554">
        <f>CB90+1</f>
        <v>2091</v>
      </c>
      <c r="CD90" s="554">
        <f t="shared" ref="CD90:CF90" si="255">CC90+1</f>
        <v>2092</v>
      </c>
      <c r="CE90" s="554">
        <f t="shared" si="255"/>
        <v>2093</v>
      </c>
      <c r="CF90" s="554">
        <f t="shared" si="255"/>
        <v>2094</v>
      </c>
      <c r="CG90" s="554">
        <f>CB90+5</f>
        <v>2095</v>
      </c>
      <c r="CH90" s="554">
        <f>CG90+1</f>
        <v>2096</v>
      </c>
      <c r="CI90" s="554">
        <f t="shared" ref="CI90:CK90" si="256">CH90+1</f>
        <v>2097</v>
      </c>
      <c r="CJ90" s="554">
        <f t="shared" si="256"/>
        <v>2098</v>
      </c>
      <c r="CK90" s="554">
        <f t="shared" si="256"/>
        <v>2099</v>
      </c>
      <c r="CL90" s="554">
        <f>CG90+5</f>
        <v>2100</v>
      </c>
      <c r="CN90" s="623" t="s">
        <v>409</v>
      </c>
      <c r="CO90" s="623" t="s">
        <v>411</v>
      </c>
      <c r="CP90" s="623" t="s">
        <v>410</v>
      </c>
    </row>
    <row r="91" spans="1:94" ht="16.5" outlineLevel="1" thickTop="1">
      <c r="A91" s="555" t="s">
        <v>255</v>
      </c>
      <c r="B91" s="555" t="s">
        <v>2</v>
      </c>
      <c r="C91" s="555"/>
      <c r="D91" s="556"/>
      <c r="E91" s="542" t="e">
        <f t="shared" ref="E91:L91" si="257">IF(E8&lt;sector_base,NA(),IF($B$6="ON", IF(E74&gt;=covid_start, IF(E74&lt;covid_recovery,NA(),(E87+E71+E55+E39+E23)),(E87+E71+E55+E39+E23)),(E87+E71+E55+E39+E23)))</f>
        <v>#N/A</v>
      </c>
      <c r="F91" s="531" t="e">
        <f t="shared" si="257"/>
        <v>#N/A</v>
      </c>
      <c r="G91" s="531" t="e">
        <f t="shared" si="257"/>
        <v>#N/A</v>
      </c>
      <c r="H91" s="531" t="e">
        <f>IF(H8&lt;sector_base,NA(),IF($B$6="ON", IF(H74&gt;=covid_start, IF(H74&lt;covid_recovery,NA(),(H87+H71+H55+H39+H23)),(H87+H71+H55+H39+H23)),(H87+H71+H55+H39+H23)))</f>
        <v>#N/A</v>
      </c>
      <c r="I91" s="531">
        <f ca="1">IF(I8&lt;sector_base,NA(),IF($B$6="ON", IF(I74&gt;=covid_start, IF(I74&lt;covid_recovery,NA(),(I87+I71+I55+I39+I23)),(I87+I71+I55+I39+I23)),(I87+I71+I55+I39+I23)))</f>
        <v>0</v>
      </c>
      <c r="J91" s="531" t="e">
        <f t="shared" si="257"/>
        <v>#N/A</v>
      </c>
      <c r="K91" s="531" t="e">
        <f t="shared" si="257"/>
        <v>#N/A</v>
      </c>
      <c r="L91" s="531" t="e">
        <f t="shared" si="257"/>
        <v>#N/A</v>
      </c>
      <c r="M91" s="531">
        <f t="shared" ref="M91:AT91" ca="1" si="258">IF(M8&lt;sector_base,NA(),IF($B$6="ON", IF(M74&gt;=covid_start, IF(M74&lt;covid_recovery,NA(),(M87+M71+M55+M39+M23)),(M87+M71+M55+M39+M23)),(M87+M71+M55+M39+M23)))</f>
        <v>0</v>
      </c>
      <c r="N91" s="531">
        <f t="shared" ca="1" si="258"/>
        <v>0</v>
      </c>
      <c r="O91" s="531">
        <f t="shared" ca="1" si="258"/>
        <v>0</v>
      </c>
      <c r="P91" s="531">
        <f t="shared" ca="1" si="258"/>
        <v>0</v>
      </c>
      <c r="Q91" s="531">
        <f t="shared" ca="1" si="258"/>
        <v>0</v>
      </c>
      <c r="R91" s="531">
        <f t="shared" ca="1" si="258"/>
        <v>0</v>
      </c>
      <c r="S91" s="531">
        <f t="shared" ca="1" si="258"/>
        <v>0</v>
      </c>
      <c r="T91" s="531">
        <f t="shared" ca="1" si="258"/>
        <v>0</v>
      </c>
      <c r="U91" s="531">
        <f t="shared" ca="1" si="258"/>
        <v>0</v>
      </c>
      <c r="V91" s="531">
        <f t="shared" ca="1" si="258"/>
        <v>0</v>
      </c>
      <c r="W91" s="531">
        <f t="shared" ca="1" si="258"/>
        <v>0</v>
      </c>
      <c r="X91" s="531">
        <f t="shared" ca="1" si="258"/>
        <v>0</v>
      </c>
      <c r="Y91" s="531">
        <f t="shared" ca="1" si="258"/>
        <v>0</v>
      </c>
      <c r="Z91" s="531">
        <f t="shared" ca="1" si="258"/>
        <v>0</v>
      </c>
      <c r="AA91" s="531">
        <f t="shared" ca="1" si="258"/>
        <v>0</v>
      </c>
      <c r="AB91" s="531">
        <f t="shared" ca="1" si="258"/>
        <v>0</v>
      </c>
      <c r="AC91" s="531">
        <f t="shared" ca="1" si="258"/>
        <v>0</v>
      </c>
      <c r="AD91" s="531">
        <f t="shared" ca="1" si="258"/>
        <v>0</v>
      </c>
      <c r="AE91" s="531">
        <f t="shared" ca="1" si="258"/>
        <v>0</v>
      </c>
      <c r="AF91" s="531">
        <f t="shared" ca="1" si="258"/>
        <v>0</v>
      </c>
      <c r="AG91" s="531">
        <f t="shared" ca="1" si="258"/>
        <v>0</v>
      </c>
      <c r="AH91" s="531">
        <f t="shared" ca="1" si="258"/>
        <v>0</v>
      </c>
      <c r="AI91" s="531">
        <f t="shared" ca="1" si="258"/>
        <v>0</v>
      </c>
      <c r="AJ91" s="531">
        <f t="shared" ca="1" si="258"/>
        <v>0</v>
      </c>
      <c r="AK91" s="531">
        <f t="shared" ca="1" si="258"/>
        <v>0</v>
      </c>
      <c r="AL91" s="531">
        <f t="shared" ca="1" si="258"/>
        <v>0</v>
      </c>
      <c r="AM91" s="531">
        <f t="shared" ca="1" si="258"/>
        <v>0</v>
      </c>
      <c r="AN91" s="531">
        <f t="shared" ca="1" si="258"/>
        <v>0</v>
      </c>
      <c r="AO91" s="531">
        <f t="shared" ca="1" si="258"/>
        <v>0</v>
      </c>
      <c r="AP91" s="531">
        <f t="shared" ca="1" si="258"/>
        <v>0</v>
      </c>
      <c r="AQ91" s="531">
        <f t="shared" ca="1" si="258"/>
        <v>0</v>
      </c>
      <c r="AR91" s="531">
        <f t="shared" ca="1" si="258"/>
        <v>0</v>
      </c>
      <c r="AS91" s="531">
        <f t="shared" ca="1" si="258"/>
        <v>0</v>
      </c>
      <c r="AT91" s="531">
        <f t="shared" ca="1" si="258"/>
        <v>0</v>
      </c>
      <c r="AU91" s="531">
        <f t="shared" ref="AU91:BZ91" ca="1" si="259">IF(AU8&lt;sector_base,NA(),IF($B$6="ON", IF(AU74&gt;=covid_start, IF(AU74&lt;covid_recovery,NA(),(AU87+AU71+AU55+AU39+AU23)),(AU87+AU71+AU55+AU39+AU23)),(AU87+AU71+AU55+AU39+AU23)))</f>
        <v>0</v>
      </c>
      <c r="AV91" s="531">
        <f t="shared" ca="1" si="259"/>
        <v>0</v>
      </c>
      <c r="AW91" s="531">
        <f t="shared" ca="1" si="259"/>
        <v>0</v>
      </c>
      <c r="AX91" s="531">
        <f t="shared" ca="1" si="259"/>
        <v>0</v>
      </c>
      <c r="AY91" s="531">
        <f t="shared" ca="1" si="259"/>
        <v>0</v>
      </c>
      <c r="AZ91" s="531">
        <f t="shared" ca="1" si="259"/>
        <v>0</v>
      </c>
      <c r="BA91" s="531">
        <f t="shared" ca="1" si="259"/>
        <v>0</v>
      </c>
      <c r="BB91" s="531">
        <f t="shared" ca="1" si="259"/>
        <v>0</v>
      </c>
      <c r="BC91" s="531">
        <f t="shared" ca="1" si="259"/>
        <v>0</v>
      </c>
      <c r="BD91" s="531">
        <f t="shared" ca="1" si="259"/>
        <v>0</v>
      </c>
      <c r="BE91" s="531">
        <f t="shared" ca="1" si="259"/>
        <v>0</v>
      </c>
      <c r="BF91" s="531">
        <f t="shared" ca="1" si="259"/>
        <v>0</v>
      </c>
      <c r="BG91" s="531">
        <f t="shared" ca="1" si="259"/>
        <v>0</v>
      </c>
      <c r="BH91" s="531">
        <f t="shared" ca="1" si="259"/>
        <v>0</v>
      </c>
      <c r="BI91" s="531">
        <f t="shared" ca="1" si="259"/>
        <v>0</v>
      </c>
      <c r="BJ91" s="531">
        <f t="shared" ca="1" si="259"/>
        <v>0</v>
      </c>
      <c r="BK91" s="531">
        <f t="shared" ca="1" si="259"/>
        <v>0</v>
      </c>
      <c r="BL91" s="531">
        <f t="shared" ca="1" si="259"/>
        <v>0</v>
      </c>
      <c r="BM91" s="531">
        <f t="shared" ca="1" si="259"/>
        <v>0</v>
      </c>
      <c r="BN91" s="531">
        <f t="shared" ca="1" si="259"/>
        <v>0</v>
      </c>
      <c r="BO91" s="531">
        <f t="shared" ca="1" si="259"/>
        <v>0</v>
      </c>
      <c r="BP91" s="531">
        <f t="shared" ca="1" si="259"/>
        <v>0</v>
      </c>
      <c r="BQ91" s="531">
        <f t="shared" ca="1" si="259"/>
        <v>0</v>
      </c>
      <c r="BR91" s="531">
        <f t="shared" ca="1" si="259"/>
        <v>0</v>
      </c>
      <c r="BS91" s="531">
        <f t="shared" ca="1" si="259"/>
        <v>0</v>
      </c>
      <c r="BT91" s="531">
        <f t="shared" ca="1" si="259"/>
        <v>0</v>
      </c>
      <c r="BU91" s="531">
        <f t="shared" ca="1" si="259"/>
        <v>0</v>
      </c>
      <c r="BV91" s="531">
        <f t="shared" ca="1" si="259"/>
        <v>0</v>
      </c>
      <c r="BW91" s="531">
        <f t="shared" ca="1" si="259"/>
        <v>0</v>
      </c>
      <c r="BX91" s="531">
        <f t="shared" ca="1" si="259"/>
        <v>0</v>
      </c>
      <c r="BY91" s="531">
        <f t="shared" ca="1" si="259"/>
        <v>0</v>
      </c>
      <c r="BZ91" s="531">
        <f t="shared" ca="1" si="259"/>
        <v>0</v>
      </c>
      <c r="CA91" s="531">
        <f t="shared" ref="CA91:CL91" ca="1" si="260">IF(CA8&lt;sector_base,NA(),IF($B$6="ON", IF(CA74&gt;=covid_start, IF(CA74&lt;covid_recovery,NA(),(CA87+CA71+CA55+CA39+CA23)),(CA87+CA71+CA55+CA39+CA23)),(CA87+CA71+CA55+CA39+CA23)))</f>
        <v>0</v>
      </c>
      <c r="CB91" s="531">
        <f t="shared" ca="1" si="260"/>
        <v>0</v>
      </c>
      <c r="CC91" s="531">
        <f t="shared" ca="1" si="260"/>
        <v>0</v>
      </c>
      <c r="CD91" s="531">
        <f t="shared" ca="1" si="260"/>
        <v>0</v>
      </c>
      <c r="CE91" s="531">
        <f t="shared" ca="1" si="260"/>
        <v>0</v>
      </c>
      <c r="CF91" s="531">
        <f t="shared" ca="1" si="260"/>
        <v>0</v>
      </c>
      <c r="CG91" s="531">
        <f t="shared" ca="1" si="260"/>
        <v>0</v>
      </c>
      <c r="CH91" s="531">
        <f t="shared" ca="1" si="260"/>
        <v>0</v>
      </c>
      <c r="CI91" s="531">
        <f t="shared" ca="1" si="260"/>
        <v>0</v>
      </c>
      <c r="CJ91" s="531">
        <f t="shared" ca="1" si="260"/>
        <v>0</v>
      </c>
      <c r="CK91" s="531">
        <f t="shared" ca="1" si="260"/>
        <v>0</v>
      </c>
      <c r="CL91" s="531">
        <f t="shared" ca="1" si="260"/>
        <v>0</v>
      </c>
      <c r="CN91" s="613" t="str">
        <f ca="1">IFERROR((Y91/H91)^(1/17)-1,"")</f>
        <v/>
      </c>
      <c r="CO91" s="613" t="str">
        <f ca="1">IFERROR((AN91/Y91)^(1/15)-1,"")</f>
        <v/>
      </c>
      <c r="CP91" s="613" t="str">
        <f ca="1">IFERROR((AN91/H91)^(1/32)-1,"")</f>
        <v/>
      </c>
    </row>
    <row r="92" spans="1:94" outlineLevel="1">
      <c r="A92" s="530" t="s">
        <v>255</v>
      </c>
      <c r="B92" s="530" t="s">
        <v>25</v>
      </c>
      <c r="C92" s="530"/>
      <c r="D92" s="557"/>
      <c r="E92" s="558" t="e">
        <f t="shared" ref="E92:I92" si="261">SUM(E81,E65,E49,E33,E17)</f>
        <v>#N/A</v>
      </c>
      <c r="F92" s="559" t="e">
        <f t="shared" si="261"/>
        <v>#N/A</v>
      </c>
      <c r="G92" s="559" t="e">
        <f t="shared" si="261"/>
        <v>#N/A</v>
      </c>
      <c r="H92" s="531" t="e">
        <f t="shared" si="261"/>
        <v>#N/A</v>
      </c>
      <c r="I92" s="559">
        <f t="shared" si="261"/>
        <v>0</v>
      </c>
      <c r="J92" s="559">
        <f>SUM(J81,J65,J49,J33,J17)</f>
        <v>0</v>
      </c>
      <c r="K92" s="559">
        <f t="shared" ref="K92:BV92" si="262">SUM(K81,K65,K49,K33,K17)</f>
        <v>0</v>
      </c>
      <c r="L92" s="559">
        <f t="shared" si="262"/>
        <v>0</v>
      </c>
      <c r="M92" s="559">
        <f t="shared" si="262"/>
        <v>0</v>
      </c>
      <c r="N92" s="559">
        <f t="shared" si="262"/>
        <v>0</v>
      </c>
      <c r="O92" s="559">
        <f t="shared" si="262"/>
        <v>0</v>
      </c>
      <c r="P92" s="559">
        <f t="shared" si="262"/>
        <v>0</v>
      </c>
      <c r="Q92" s="559">
        <f t="shared" si="262"/>
        <v>0</v>
      </c>
      <c r="R92" s="559">
        <f t="shared" si="262"/>
        <v>0</v>
      </c>
      <c r="S92" s="559">
        <f t="shared" si="262"/>
        <v>0</v>
      </c>
      <c r="T92" s="559">
        <f t="shared" si="262"/>
        <v>0</v>
      </c>
      <c r="U92" s="559">
        <f t="shared" si="262"/>
        <v>0</v>
      </c>
      <c r="V92" s="559">
        <f t="shared" si="262"/>
        <v>0</v>
      </c>
      <c r="W92" s="559">
        <f t="shared" si="262"/>
        <v>0</v>
      </c>
      <c r="X92" s="559">
        <f t="shared" si="262"/>
        <v>0</v>
      </c>
      <c r="Y92" s="559">
        <f t="shared" si="262"/>
        <v>0</v>
      </c>
      <c r="Z92" s="559">
        <f t="shared" si="262"/>
        <v>0</v>
      </c>
      <c r="AA92" s="559">
        <f t="shared" si="262"/>
        <v>0</v>
      </c>
      <c r="AB92" s="559">
        <f t="shared" si="262"/>
        <v>0</v>
      </c>
      <c r="AC92" s="559">
        <f t="shared" si="262"/>
        <v>0</v>
      </c>
      <c r="AD92" s="559">
        <f t="shared" si="262"/>
        <v>0</v>
      </c>
      <c r="AE92" s="559">
        <f t="shared" si="262"/>
        <v>0</v>
      </c>
      <c r="AF92" s="559">
        <f t="shared" si="262"/>
        <v>0</v>
      </c>
      <c r="AG92" s="559">
        <f t="shared" si="262"/>
        <v>0</v>
      </c>
      <c r="AH92" s="559">
        <f t="shared" si="262"/>
        <v>0</v>
      </c>
      <c r="AI92" s="559">
        <f t="shared" si="262"/>
        <v>0</v>
      </c>
      <c r="AJ92" s="559">
        <f t="shared" si="262"/>
        <v>0</v>
      </c>
      <c r="AK92" s="559">
        <f t="shared" si="262"/>
        <v>0</v>
      </c>
      <c r="AL92" s="559">
        <f t="shared" si="262"/>
        <v>0</v>
      </c>
      <c r="AM92" s="559">
        <f t="shared" si="262"/>
        <v>0</v>
      </c>
      <c r="AN92" s="559">
        <f t="shared" si="262"/>
        <v>0</v>
      </c>
      <c r="AO92" s="559">
        <f t="shared" si="262"/>
        <v>0</v>
      </c>
      <c r="AP92" s="559">
        <f t="shared" si="262"/>
        <v>0</v>
      </c>
      <c r="AQ92" s="559">
        <f t="shared" si="262"/>
        <v>0</v>
      </c>
      <c r="AR92" s="559">
        <f t="shared" si="262"/>
        <v>0</v>
      </c>
      <c r="AS92" s="559">
        <f t="shared" si="262"/>
        <v>0</v>
      </c>
      <c r="AT92" s="559">
        <f t="shared" si="262"/>
        <v>0</v>
      </c>
      <c r="AU92" s="559">
        <f t="shared" si="262"/>
        <v>0</v>
      </c>
      <c r="AV92" s="559">
        <f t="shared" si="262"/>
        <v>0</v>
      </c>
      <c r="AW92" s="559">
        <f t="shared" si="262"/>
        <v>0</v>
      </c>
      <c r="AX92" s="559">
        <f t="shared" si="262"/>
        <v>0</v>
      </c>
      <c r="AY92" s="559">
        <f t="shared" si="262"/>
        <v>0</v>
      </c>
      <c r="AZ92" s="559">
        <f t="shared" si="262"/>
        <v>0</v>
      </c>
      <c r="BA92" s="559">
        <f t="shared" si="262"/>
        <v>0</v>
      </c>
      <c r="BB92" s="559">
        <f t="shared" si="262"/>
        <v>0</v>
      </c>
      <c r="BC92" s="559">
        <f t="shared" si="262"/>
        <v>0</v>
      </c>
      <c r="BD92" s="559">
        <f t="shared" si="262"/>
        <v>0</v>
      </c>
      <c r="BE92" s="559">
        <f t="shared" si="262"/>
        <v>0</v>
      </c>
      <c r="BF92" s="559">
        <f t="shared" si="262"/>
        <v>0</v>
      </c>
      <c r="BG92" s="559">
        <f t="shared" si="262"/>
        <v>0</v>
      </c>
      <c r="BH92" s="559">
        <f t="shared" si="262"/>
        <v>0</v>
      </c>
      <c r="BI92" s="559">
        <f t="shared" si="262"/>
        <v>0</v>
      </c>
      <c r="BJ92" s="559">
        <f t="shared" si="262"/>
        <v>0</v>
      </c>
      <c r="BK92" s="559">
        <f t="shared" si="262"/>
        <v>0</v>
      </c>
      <c r="BL92" s="559">
        <f t="shared" si="262"/>
        <v>0</v>
      </c>
      <c r="BM92" s="559">
        <f t="shared" si="262"/>
        <v>0</v>
      </c>
      <c r="BN92" s="559">
        <f t="shared" si="262"/>
        <v>0</v>
      </c>
      <c r="BO92" s="559">
        <f t="shared" si="262"/>
        <v>0</v>
      </c>
      <c r="BP92" s="559">
        <f t="shared" si="262"/>
        <v>0</v>
      </c>
      <c r="BQ92" s="559">
        <f t="shared" si="262"/>
        <v>0</v>
      </c>
      <c r="BR92" s="559">
        <f t="shared" si="262"/>
        <v>0</v>
      </c>
      <c r="BS92" s="559">
        <f t="shared" si="262"/>
        <v>0</v>
      </c>
      <c r="BT92" s="559">
        <f t="shared" si="262"/>
        <v>0</v>
      </c>
      <c r="BU92" s="559">
        <f t="shared" si="262"/>
        <v>0</v>
      </c>
      <c r="BV92" s="559">
        <f t="shared" si="262"/>
        <v>0</v>
      </c>
      <c r="BW92" s="559">
        <f t="shared" ref="BW92:CL92" si="263">SUM(BW81,BW65,BW49,BW33,BW17)</f>
        <v>0</v>
      </c>
      <c r="BX92" s="559">
        <f t="shared" si="263"/>
        <v>0</v>
      </c>
      <c r="BY92" s="559">
        <f t="shared" si="263"/>
        <v>0</v>
      </c>
      <c r="BZ92" s="559">
        <f t="shared" si="263"/>
        <v>0</v>
      </c>
      <c r="CA92" s="559">
        <f t="shared" si="263"/>
        <v>0</v>
      </c>
      <c r="CB92" s="559">
        <f t="shared" si="263"/>
        <v>0</v>
      </c>
      <c r="CC92" s="559">
        <f t="shared" si="263"/>
        <v>0</v>
      </c>
      <c r="CD92" s="559">
        <f t="shared" si="263"/>
        <v>0</v>
      </c>
      <c r="CE92" s="559">
        <f t="shared" si="263"/>
        <v>0</v>
      </c>
      <c r="CF92" s="559">
        <f t="shared" si="263"/>
        <v>0</v>
      </c>
      <c r="CG92" s="559">
        <f t="shared" si="263"/>
        <v>0</v>
      </c>
      <c r="CH92" s="559">
        <f t="shared" si="263"/>
        <v>0</v>
      </c>
      <c r="CI92" s="559">
        <f t="shared" si="263"/>
        <v>0</v>
      </c>
      <c r="CJ92" s="559">
        <f t="shared" si="263"/>
        <v>0</v>
      </c>
      <c r="CK92" s="559">
        <f t="shared" si="263"/>
        <v>0</v>
      </c>
      <c r="CL92" s="559">
        <f t="shared" si="263"/>
        <v>0</v>
      </c>
      <c r="CN92" s="613" t="str">
        <f t="shared" ref="CN92" si="264">IFERROR((Y92/H92)^(1/17)-1,"")</f>
        <v/>
      </c>
      <c r="CO92" s="613" t="str">
        <f t="shared" ref="CO92" si="265">IFERROR((AN92/Y92)^(1/15)-1,"")</f>
        <v/>
      </c>
      <c r="CP92" s="613" t="str">
        <f t="shared" ref="CP92" si="266">IFERROR((AN92/H92)^(1/32)-1,"")</f>
        <v/>
      </c>
    </row>
    <row r="93" spans="1:94" ht="16.5" outlineLevel="1" thickBot="1">
      <c r="A93" s="560" t="s">
        <v>255</v>
      </c>
      <c r="B93" s="560" t="s">
        <v>127</v>
      </c>
      <c r="C93" s="560"/>
      <c r="D93" s="561"/>
      <c r="E93" s="562" t="e">
        <f t="shared" ref="E93:BP93" si="267">IF($B$6="ON", IF(E74&gt;=covid_start, IF(E74&lt;covid_recovery,NA(),(E91/E92)*1000),(E91/E92)*1000),(E91/E92)*1000)</f>
        <v>#N/A</v>
      </c>
      <c r="F93" s="563" t="e">
        <f t="shared" si="267"/>
        <v>#N/A</v>
      </c>
      <c r="G93" s="563" t="e">
        <f t="shared" si="267"/>
        <v>#N/A</v>
      </c>
      <c r="H93" s="563" t="e">
        <f>IF($B$6="ON", IF(H74&gt;=covid_start, IF(H74&lt;covid_recovery,NA(),(H91/H92)*1000),(H91/H92)*1000),(H91/H92)*1000)</f>
        <v>#N/A</v>
      </c>
      <c r="I93" s="563" t="e">
        <f ca="1">IF($B$6="ON", IF(I74&gt;=covid_start, IF(I74&lt;covid_recovery,NA(),(I91/I92)*1000),(I91/I92)*1000),(I91/I92)*1000)</f>
        <v>#DIV/0!</v>
      </c>
      <c r="J93" s="563" t="e">
        <f t="shared" si="267"/>
        <v>#N/A</v>
      </c>
      <c r="K93" s="563" t="e">
        <f t="shared" si="267"/>
        <v>#N/A</v>
      </c>
      <c r="L93" s="563" t="e">
        <f t="shared" si="267"/>
        <v>#N/A</v>
      </c>
      <c r="M93" s="563" t="e">
        <f t="shared" ca="1" si="267"/>
        <v>#DIV/0!</v>
      </c>
      <c r="N93" s="563" t="e">
        <f t="shared" ca="1" si="267"/>
        <v>#DIV/0!</v>
      </c>
      <c r="O93" s="563" t="e">
        <f t="shared" ca="1" si="267"/>
        <v>#DIV/0!</v>
      </c>
      <c r="P93" s="563" t="e">
        <f t="shared" ca="1" si="267"/>
        <v>#DIV/0!</v>
      </c>
      <c r="Q93" s="563" t="e">
        <f t="shared" ca="1" si="267"/>
        <v>#DIV/0!</v>
      </c>
      <c r="R93" s="563" t="e">
        <f t="shared" ca="1" si="267"/>
        <v>#DIV/0!</v>
      </c>
      <c r="S93" s="563" t="e">
        <f t="shared" ca="1" si="267"/>
        <v>#DIV/0!</v>
      </c>
      <c r="T93" s="563" t="e">
        <f t="shared" ca="1" si="267"/>
        <v>#DIV/0!</v>
      </c>
      <c r="U93" s="563" t="e">
        <f t="shared" ca="1" si="267"/>
        <v>#DIV/0!</v>
      </c>
      <c r="V93" s="563" t="e">
        <f t="shared" ca="1" si="267"/>
        <v>#DIV/0!</v>
      </c>
      <c r="W93" s="563" t="e">
        <f t="shared" ca="1" si="267"/>
        <v>#DIV/0!</v>
      </c>
      <c r="X93" s="563" t="e">
        <f t="shared" ca="1" si="267"/>
        <v>#DIV/0!</v>
      </c>
      <c r="Y93" s="563" t="e">
        <f t="shared" ca="1" si="267"/>
        <v>#DIV/0!</v>
      </c>
      <c r="Z93" s="563" t="e">
        <f t="shared" ca="1" si="267"/>
        <v>#DIV/0!</v>
      </c>
      <c r="AA93" s="563" t="e">
        <f t="shared" ca="1" si="267"/>
        <v>#DIV/0!</v>
      </c>
      <c r="AB93" s="563" t="e">
        <f t="shared" ca="1" si="267"/>
        <v>#DIV/0!</v>
      </c>
      <c r="AC93" s="563" t="e">
        <f t="shared" ca="1" si="267"/>
        <v>#DIV/0!</v>
      </c>
      <c r="AD93" s="563" t="e">
        <f t="shared" ca="1" si="267"/>
        <v>#DIV/0!</v>
      </c>
      <c r="AE93" s="563" t="e">
        <f t="shared" ca="1" si="267"/>
        <v>#DIV/0!</v>
      </c>
      <c r="AF93" s="563" t="e">
        <f t="shared" ca="1" si="267"/>
        <v>#DIV/0!</v>
      </c>
      <c r="AG93" s="563" t="e">
        <f t="shared" ca="1" si="267"/>
        <v>#DIV/0!</v>
      </c>
      <c r="AH93" s="563" t="e">
        <f t="shared" ca="1" si="267"/>
        <v>#DIV/0!</v>
      </c>
      <c r="AI93" s="563" t="e">
        <f t="shared" ca="1" si="267"/>
        <v>#DIV/0!</v>
      </c>
      <c r="AJ93" s="563" t="e">
        <f t="shared" ca="1" si="267"/>
        <v>#DIV/0!</v>
      </c>
      <c r="AK93" s="563" t="e">
        <f t="shared" ca="1" si="267"/>
        <v>#DIV/0!</v>
      </c>
      <c r="AL93" s="563" t="e">
        <f t="shared" ca="1" si="267"/>
        <v>#DIV/0!</v>
      </c>
      <c r="AM93" s="563" t="e">
        <f t="shared" ca="1" si="267"/>
        <v>#DIV/0!</v>
      </c>
      <c r="AN93" s="563" t="e">
        <f t="shared" ca="1" si="267"/>
        <v>#DIV/0!</v>
      </c>
      <c r="AO93" s="563" t="e">
        <f t="shared" ca="1" si="267"/>
        <v>#DIV/0!</v>
      </c>
      <c r="AP93" s="563" t="e">
        <f t="shared" ca="1" si="267"/>
        <v>#DIV/0!</v>
      </c>
      <c r="AQ93" s="563" t="e">
        <f t="shared" ca="1" si="267"/>
        <v>#DIV/0!</v>
      </c>
      <c r="AR93" s="563" t="e">
        <f t="shared" ca="1" si="267"/>
        <v>#DIV/0!</v>
      </c>
      <c r="AS93" s="563" t="e">
        <f t="shared" ca="1" si="267"/>
        <v>#DIV/0!</v>
      </c>
      <c r="AT93" s="563" t="e">
        <f t="shared" ca="1" si="267"/>
        <v>#DIV/0!</v>
      </c>
      <c r="AU93" s="563" t="e">
        <f t="shared" ca="1" si="267"/>
        <v>#DIV/0!</v>
      </c>
      <c r="AV93" s="563" t="e">
        <f t="shared" ca="1" si="267"/>
        <v>#DIV/0!</v>
      </c>
      <c r="AW93" s="563" t="e">
        <f t="shared" ca="1" si="267"/>
        <v>#DIV/0!</v>
      </c>
      <c r="AX93" s="563" t="e">
        <f t="shared" ca="1" si="267"/>
        <v>#DIV/0!</v>
      </c>
      <c r="AY93" s="563" t="e">
        <f t="shared" ca="1" si="267"/>
        <v>#DIV/0!</v>
      </c>
      <c r="AZ93" s="563" t="e">
        <f t="shared" ca="1" si="267"/>
        <v>#DIV/0!</v>
      </c>
      <c r="BA93" s="563" t="e">
        <f t="shared" ca="1" si="267"/>
        <v>#DIV/0!</v>
      </c>
      <c r="BB93" s="563" t="e">
        <f t="shared" ca="1" si="267"/>
        <v>#DIV/0!</v>
      </c>
      <c r="BC93" s="563" t="e">
        <f t="shared" ca="1" si="267"/>
        <v>#DIV/0!</v>
      </c>
      <c r="BD93" s="563" t="e">
        <f t="shared" ca="1" si="267"/>
        <v>#DIV/0!</v>
      </c>
      <c r="BE93" s="563" t="e">
        <f t="shared" ca="1" si="267"/>
        <v>#DIV/0!</v>
      </c>
      <c r="BF93" s="563" t="e">
        <f t="shared" ca="1" si="267"/>
        <v>#DIV/0!</v>
      </c>
      <c r="BG93" s="563" t="e">
        <f t="shared" ca="1" si="267"/>
        <v>#DIV/0!</v>
      </c>
      <c r="BH93" s="563" t="e">
        <f t="shared" ca="1" si="267"/>
        <v>#DIV/0!</v>
      </c>
      <c r="BI93" s="563" t="e">
        <f t="shared" ca="1" si="267"/>
        <v>#DIV/0!</v>
      </c>
      <c r="BJ93" s="563" t="e">
        <f t="shared" ca="1" si="267"/>
        <v>#DIV/0!</v>
      </c>
      <c r="BK93" s="563" t="e">
        <f t="shared" ca="1" si="267"/>
        <v>#DIV/0!</v>
      </c>
      <c r="BL93" s="563" t="e">
        <f t="shared" ca="1" si="267"/>
        <v>#DIV/0!</v>
      </c>
      <c r="BM93" s="563" t="e">
        <f t="shared" ca="1" si="267"/>
        <v>#DIV/0!</v>
      </c>
      <c r="BN93" s="563" t="e">
        <f t="shared" ca="1" si="267"/>
        <v>#DIV/0!</v>
      </c>
      <c r="BO93" s="563" t="e">
        <f t="shared" ca="1" si="267"/>
        <v>#DIV/0!</v>
      </c>
      <c r="BP93" s="563" t="e">
        <f t="shared" ca="1" si="267"/>
        <v>#DIV/0!</v>
      </c>
      <c r="BQ93" s="563" t="e">
        <f t="shared" ref="BQ93:CL93" ca="1" si="268">IF($B$6="ON", IF(BQ74&gt;=covid_start, IF(BQ74&lt;covid_recovery,NA(),(BQ91/BQ92)*1000),(BQ91/BQ92)*1000),(BQ91/BQ92)*1000)</f>
        <v>#DIV/0!</v>
      </c>
      <c r="BR93" s="563" t="e">
        <f t="shared" ca="1" si="268"/>
        <v>#DIV/0!</v>
      </c>
      <c r="BS93" s="563" t="e">
        <f t="shared" ca="1" si="268"/>
        <v>#DIV/0!</v>
      </c>
      <c r="BT93" s="563" t="e">
        <f t="shared" ca="1" si="268"/>
        <v>#DIV/0!</v>
      </c>
      <c r="BU93" s="563" t="e">
        <f t="shared" ca="1" si="268"/>
        <v>#DIV/0!</v>
      </c>
      <c r="BV93" s="563" t="e">
        <f t="shared" ca="1" si="268"/>
        <v>#DIV/0!</v>
      </c>
      <c r="BW93" s="563" t="e">
        <f t="shared" ca="1" si="268"/>
        <v>#DIV/0!</v>
      </c>
      <c r="BX93" s="563" t="e">
        <f t="shared" ca="1" si="268"/>
        <v>#DIV/0!</v>
      </c>
      <c r="BY93" s="563" t="e">
        <f t="shared" ca="1" si="268"/>
        <v>#DIV/0!</v>
      </c>
      <c r="BZ93" s="563" t="e">
        <f t="shared" ca="1" si="268"/>
        <v>#DIV/0!</v>
      </c>
      <c r="CA93" s="563" t="e">
        <f t="shared" ca="1" si="268"/>
        <v>#DIV/0!</v>
      </c>
      <c r="CB93" s="563" t="e">
        <f t="shared" ca="1" si="268"/>
        <v>#DIV/0!</v>
      </c>
      <c r="CC93" s="563" t="e">
        <f t="shared" ca="1" si="268"/>
        <v>#DIV/0!</v>
      </c>
      <c r="CD93" s="563" t="e">
        <f t="shared" ca="1" si="268"/>
        <v>#DIV/0!</v>
      </c>
      <c r="CE93" s="563" t="e">
        <f t="shared" ca="1" si="268"/>
        <v>#DIV/0!</v>
      </c>
      <c r="CF93" s="563" t="e">
        <f t="shared" ca="1" si="268"/>
        <v>#DIV/0!</v>
      </c>
      <c r="CG93" s="563" t="e">
        <f t="shared" ca="1" si="268"/>
        <v>#DIV/0!</v>
      </c>
      <c r="CH93" s="563" t="e">
        <f t="shared" ca="1" si="268"/>
        <v>#DIV/0!</v>
      </c>
      <c r="CI93" s="563" t="e">
        <f t="shared" ca="1" si="268"/>
        <v>#DIV/0!</v>
      </c>
      <c r="CJ93" s="563" t="e">
        <f t="shared" ca="1" si="268"/>
        <v>#DIV/0!</v>
      </c>
      <c r="CK93" s="563" t="e">
        <f t="shared" ca="1" si="268"/>
        <v>#DIV/0!</v>
      </c>
      <c r="CL93" s="563" t="e">
        <f t="shared" ca="1" si="268"/>
        <v>#DIV/0!</v>
      </c>
      <c r="CN93" s="624" t="str">
        <f ca="1">IFERROR((Y93/H93)^(1/17)-1,"")</f>
        <v/>
      </c>
      <c r="CO93" s="624" t="str">
        <f ca="1">IFERROR((AN93/Y93)^(1/15)-1,"")</f>
        <v/>
      </c>
      <c r="CP93" s="624" t="str">
        <f ca="1">IFERROR((AN93/H93)^(1/32)-1,"")</f>
        <v/>
      </c>
    </row>
    <row r="94" spans="1:94" ht="16.5" outlineLevel="1" thickTop="1">
      <c r="A94" s="535" t="s">
        <v>255</v>
      </c>
      <c r="B94" s="535" t="s">
        <v>129</v>
      </c>
      <c r="C94" s="535"/>
      <c r="D94" s="535"/>
      <c r="E94" s="546" t="e">
        <f t="shared" ref="E94:BP94" si="269">IF(E90=target,E93,#N/A)</f>
        <v>#N/A</v>
      </c>
      <c r="F94" s="541" t="e">
        <f t="shared" si="269"/>
        <v>#N/A</v>
      </c>
      <c r="G94" s="541" t="e">
        <f t="shared" si="269"/>
        <v>#N/A</v>
      </c>
      <c r="H94" s="541" t="e">
        <f t="shared" si="269"/>
        <v>#N/A</v>
      </c>
      <c r="I94" s="541" t="e">
        <f t="shared" si="269"/>
        <v>#N/A</v>
      </c>
      <c r="J94" s="541" t="e">
        <f t="shared" si="269"/>
        <v>#N/A</v>
      </c>
      <c r="K94" s="541" t="e">
        <f t="shared" si="269"/>
        <v>#N/A</v>
      </c>
      <c r="L94" s="541" t="e">
        <f t="shared" si="269"/>
        <v>#N/A</v>
      </c>
      <c r="M94" s="541" t="e">
        <f t="shared" si="269"/>
        <v>#N/A</v>
      </c>
      <c r="N94" s="541" t="e">
        <f t="shared" si="269"/>
        <v>#N/A</v>
      </c>
      <c r="O94" s="541" t="e">
        <f t="shared" si="269"/>
        <v>#N/A</v>
      </c>
      <c r="P94" s="541" t="e">
        <f t="shared" si="269"/>
        <v>#N/A</v>
      </c>
      <c r="Q94" s="541" t="e">
        <f t="shared" si="269"/>
        <v>#N/A</v>
      </c>
      <c r="R94" s="541" t="e">
        <f t="shared" si="269"/>
        <v>#N/A</v>
      </c>
      <c r="S94" s="541" t="e">
        <f t="shared" si="269"/>
        <v>#N/A</v>
      </c>
      <c r="T94" s="541" t="e">
        <f t="shared" si="269"/>
        <v>#N/A</v>
      </c>
      <c r="U94" s="541" t="e">
        <f t="shared" si="269"/>
        <v>#N/A</v>
      </c>
      <c r="V94" s="541" t="e">
        <f t="shared" si="269"/>
        <v>#N/A</v>
      </c>
      <c r="W94" s="541" t="e">
        <f t="shared" si="269"/>
        <v>#N/A</v>
      </c>
      <c r="X94" s="541" t="e">
        <f t="shared" si="269"/>
        <v>#N/A</v>
      </c>
      <c r="Y94" s="541" t="e">
        <f>IF(Y90=target,Y93,#N/A)</f>
        <v>#N/A</v>
      </c>
      <c r="Z94" s="541" t="e">
        <f t="shared" si="269"/>
        <v>#N/A</v>
      </c>
      <c r="AA94" s="541" t="e">
        <f t="shared" si="269"/>
        <v>#N/A</v>
      </c>
      <c r="AB94" s="541" t="e">
        <f t="shared" si="269"/>
        <v>#N/A</v>
      </c>
      <c r="AC94" s="541" t="e">
        <f t="shared" si="269"/>
        <v>#N/A</v>
      </c>
      <c r="AD94" s="541" t="e">
        <f t="shared" si="269"/>
        <v>#N/A</v>
      </c>
      <c r="AE94" s="541" t="e">
        <f t="shared" si="269"/>
        <v>#N/A</v>
      </c>
      <c r="AF94" s="541" t="e">
        <f t="shared" si="269"/>
        <v>#N/A</v>
      </c>
      <c r="AG94" s="541" t="e">
        <f t="shared" si="269"/>
        <v>#N/A</v>
      </c>
      <c r="AH94" s="541" t="e">
        <f t="shared" si="269"/>
        <v>#N/A</v>
      </c>
      <c r="AI94" s="541" t="e">
        <f t="shared" si="269"/>
        <v>#N/A</v>
      </c>
      <c r="AJ94" s="541" t="e">
        <f t="shared" si="269"/>
        <v>#N/A</v>
      </c>
      <c r="AK94" s="541" t="e">
        <f t="shared" si="269"/>
        <v>#N/A</v>
      </c>
      <c r="AL94" s="541" t="e">
        <f t="shared" si="269"/>
        <v>#N/A</v>
      </c>
      <c r="AM94" s="541" t="e">
        <f t="shared" si="269"/>
        <v>#N/A</v>
      </c>
      <c r="AN94" s="541" t="e">
        <f t="shared" si="269"/>
        <v>#N/A</v>
      </c>
      <c r="AO94" s="541" t="e">
        <f t="shared" si="269"/>
        <v>#N/A</v>
      </c>
      <c r="AP94" s="541" t="e">
        <f t="shared" si="269"/>
        <v>#N/A</v>
      </c>
      <c r="AQ94" s="541" t="e">
        <f t="shared" si="269"/>
        <v>#N/A</v>
      </c>
      <c r="AR94" s="541" t="e">
        <f t="shared" si="269"/>
        <v>#N/A</v>
      </c>
      <c r="AS94" s="541" t="e">
        <f t="shared" si="269"/>
        <v>#N/A</v>
      </c>
      <c r="AT94" s="541" t="e">
        <f t="shared" si="269"/>
        <v>#N/A</v>
      </c>
      <c r="AU94" s="541" t="e">
        <f t="shared" si="269"/>
        <v>#N/A</v>
      </c>
      <c r="AV94" s="541" t="e">
        <f t="shared" si="269"/>
        <v>#N/A</v>
      </c>
      <c r="AW94" s="541" t="e">
        <f t="shared" si="269"/>
        <v>#N/A</v>
      </c>
      <c r="AX94" s="541" t="e">
        <f t="shared" si="269"/>
        <v>#N/A</v>
      </c>
      <c r="AY94" s="541" t="e">
        <f t="shared" si="269"/>
        <v>#N/A</v>
      </c>
      <c r="AZ94" s="541" t="e">
        <f t="shared" si="269"/>
        <v>#N/A</v>
      </c>
      <c r="BA94" s="541" t="e">
        <f t="shared" si="269"/>
        <v>#N/A</v>
      </c>
      <c r="BB94" s="541" t="e">
        <f t="shared" si="269"/>
        <v>#N/A</v>
      </c>
      <c r="BC94" s="541" t="e">
        <f t="shared" si="269"/>
        <v>#N/A</v>
      </c>
      <c r="BD94" s="541" t="e">
        <f t="shared" si="269"/>
        <v>#N/A</v>
      </c>
      <c r="BE94" s="541" t="e">
        <f t="shared" si="269"/>
        <v>#N/A</v>
      </c>
      <c r="BF94" s="541" t="e">
        <f t="shared" si="269"/>
        <v>#N/A</v>
      </c>
      <c r="BG94" s="541" t="e">
        <f t="shared" si="269"/>
        <v>#N/A</v>
      </c>
      <c r="BH94" s="541" t="e">
        <f t="shared" si="269"/>
        <v>#N/A</v>
      </c>
      <c r="BI94" s="541" t="e">
        <f t="shared" si="269"/>
        <v>#N/A</v>
      </c>
      <c r="BJ94" s="541" t="e">
        <f t="shared" si="269"/>
        <v>#N/A</v>
      </c>
      <c r="BK94" s="541" t="e">
        <f t="shared" si="269"/>
        <v>#N/A</v>
      </c>
      <c r="BL94" s="541" t="e">
        <f t="shared" si="269"/>
        <v>#N/A</v>
      </c>
      <c r="BM94" s="541" t="e">
        <f t="shared" si="269"/>
        <v>#N/A</v>
      </c>
      <c r="BN94" s="541" t="e">
        <f t="shared" si="269"/>
        <v>#N/A</v>
      </c>
      <c r="BO94" s="541" t="e">
        <f t="shared" si="269"/>
        <v>#N/A</v>
      </c>
      <c r="BP94" s="541" t="e">
        <f t="shared" si="269"/>
        <v>#N/A</v>
      </c>
      <c r="BQ94" s="541" t="e">
        <f t="shared" ref="BQ94:CL94" si="270">IF(BQ90=target,BQ93,#N/A)</f>
        <v>#N/A</v>
      </c>
      <c r="BR94" s="541" t="e">
        <f t="shared" si="270"/>
        <v>#N/A</v>
      </c>
      <c r="BS94" s="541" t="e">
        <f t="shared" si="270"/>
        <v>#N/A</v>
      </c>
      <c r="BT94" s="541" t="e">
        <f t="shared" si="270"/>
        <v>#N/A</v>
      </c>
      <c r="BU94" s="541" t="e">
        <f t="shared" si="270"/>
        <v>#N/A</v>
      </c>
      <c r="BV94" s="541" t="e">
        <f t="shared" si="270"/>
        <v>#N/A</v>
      </c>
      <c r="BW94" s="541" t="e">
        <f t="shared" si="270"/>
        <v>#N/A</v>
      </c>
      <c r="BX94" s="541" t="e">
        <f t="shared" si="270"/>
        <v>#N/A</v>
      </c>
      <c r="BY94" s="541" t="e">
        <f t="shared" si="270"/>
        <v>#N/A</v>
      </c>
      <c r="BZ94" s="541" t="e">
        <f t="shared" si="270"/>
        <v>#N/A</v>
      </c>
      <c r="CA94" s="541" t="e">
        <f t="shared" si="270"/>
        <v>#N/A</v>
      </c>
      <c r="CB94" s="541" t="e">
        <f t="shared" si="270"/>
        <v>#N/A</v>
      </c>
      <c r="CC94" s="541" t="e">
        <f t="shared" si="270"/>
        <v>#N/A</v>
      </c>
      <c r="CD94" s="541" t="e">
        <f t="shared" si="270"/>
        <v>#N/A</v>
      </c>
      <c r="CE94" s="541" t="e">
        <f t="shared" si="270"/>
        <v>#N/A</v>
      </c>
      <c r="CF94" s="541" t="e">
        <f t="shared" si="270"/>
        <v>#N/A</v>
      </c>
      <c r="CG94" s="541" t="e">
        <f t="shared" si="270"/>
        <v>#N/A</v>
      </c>
      <c r="CH94" s="541" t="e">
        <f t="shared" si="270"/>
        <v>#N/A</v>
      </c>
      <c r="CI94" s="541" t="e">
        <f t="shared" si="270"/>
        <v>#N/A</v>
      </c>
      <c r="CJ94" s="541" t="e">
        <f t="shared" si="270"/>
        <v>#N/A</v>
      </c>
      <c r="CK94" s="541" t="e">
        <f t="shared" si="270"/>
        <v>#N/A</v>
      </c>
      <c r="CL94" s="541" t="e">
        <f t="shared" si="270"/>
        <v>#N/A</v>
      </c>
      <c r="CN94" s="618"/>
      <c r="CO94" s="618"/>
      <c r="CP94" s="618"/>
    </row>
    <row r="95" spans="1:94" ht="16.5" outlineLevel="1" thickBot="1">
      <c r="A95" s="564" t="s">
        <v>255</v>
      </c>
      <c r="B95" s="564" t="s">
        <v>130</v>
      </c>
      <c r="C95" s="564"/>
      <c r="D95" s="565"/>
      <c r="E95" s="566" t="e">
        <f t="shared" ref="E95:BP95" si="271">IF(E90=target,E91,#N/A)</f>
        <v>#N/A</v>
      </c>
      <c r="F95" s="567" t="e">
        <f t="shared" si="271"/>
        <v>#N/A</v>
      </c>
      <c r="G95" s="567" t="e">
        <f t="shared" si="271"/>
        <v>#N/A</v>
      </c>
      <c r="H95" s="567" t="e">
        <f t="shared" si="271"/>
        <v>#N/A</v>
      </c>
      <c r="I95" s="567" t="e">
        <f t="shared" si="271"/>
        <v>#N/A</v>
      </c>
      <c r="J95" s="567" t="e">
        <f t="shared" si="271"/>
        <v>#N/A</v>
      </c>
      <c r="K95" s="567" t="e">
        <f t="shared" si="271"/>
        <v>#N/A</v>
      </c>
      <c r="L95" s="567" t="e">
        <f t="shared" si="271"/>
        <v>#N/A</v>
      </c>
      <c r="M95" s="567" t="e">
        <f t="shared" si="271"/>
        <v>#N/A</v>
      </c>
      <c r="N95" s="567" t="e">
        <f t="shared" si="271"/>
        <v>#N/A</v>
      </c>
      <c r="O95" s="567" t="e">
        <f t="shared" si="271"/>
        <v>#N/A</v>
      </c>
      <c r="P95" s="567" t="e">
        <f t="shared" si="271"/>
        <v>#N/A</v>
      </c>
      <c r="Q95" s="567" t="e">
        <f t="shared" si="271"/>
        <v>#N/A</v>
      </c>
      <c r="R95" s="567" t="e">
        <f t="shared" si="271"/>
        <v>#N/A</v>
      </c>
      <c r="S95" s="567" t="e">
        <f t="shared" si="271"/>
        <v>#N/A</v>
      </c>
      <c r="T95" s="567" t="e">
        <f t="shared" si="271"/>
        <v>#N/A</v>
      </c>
      <c r="U95" s="567" t="e">
        <f t="shared" si="271"/>
        <v>#N/A</v>
      </c>
      <c r="V95" s="567" t="e">
        <f t="shared" si="271"/>
        <v>#N/A</v>
      </c>
      <c r="W95" s="567" t="e">
        <f t="shared" si="271"/>
        <v>#N/A</v>
      </c>
      <c r="X95" s="567" t="e">
        <f t="shared" si="271"/>
        <v>#N/A</v>
      </c>
      <c r="Y95" s="567" t="e">
        <f>IF(Y90=target,Y91,#N/A)</f>
        <v>#N/A</v>
      </c>
      <c r="Z95" s="567" t="e">
        <f t="shared" si="271"/>
        <v>#N/A</v>
      </c>
      <c r="AA95" s="567" t="e">
        <f t="shared" si="271"/>
        <v>#N/A</v>
      </c>
      <c r="AB95" s="567" t="e">
        <f t="shared" si="271"/>
        <v>#N/A</v>
      </c>
      <c r="AC95" s="567" t="e">
        <f t="shared" si="271"/>
        <v>#N/A</v>
      </c>
      <c r="AD95" s="567" t="e">
        <f t="shared" si="271"/>
        <v>#N/A</v>
      </c>
      <c r="AE95" s="567" t="e">
        <f t="shared" si="271"/>
        <v>#N/A</v>
      </c>
      <c r="AF95" s="567" t="e">
        <f t="shared" si="271"/>
        <v>#N/A</v>
      </c>
      <c r="AG95" s="567" t="e">
        <f t="shared" si="271"/>
        <v>#N/A</v>
      </c>
      <c r="AH95" s="567" t="e">
        <f t="shared" si="271"/>
        <v>#N/A</v>
      </c>
      <c r="AI95" s="567" t="e">
        <f t="shared" si="271"/>
        <v>#N/A</v>
      </c>
      <c r="AJ95" s="567" t="e">
        <f t="shared" si="271"/>
        <v>#N/A</v>
      </c>
      <c r="AK95" s="567" t="e">
        <f t="shared" si="271"/>
        <v>#N/A</v>
      </c>
      <c r="AL95" s="567" t="e">
        <f t="shared" si="271"/>
        <v>#N/A</v>
      </c>
      <c r="AM95" s="567" t="e">
        <f t="shared" si="271"/>
        <v>#N/A</v>
      </c>
      <c r="AN95" s="567" t="e">
        <f t="shared" si="271"/>
        <v>#N/A</v>
      </c>
      <c r="AO95" s="567" t="e">
        <f t="shared" si="271"/>
        <v>#N/A</v>
      </c>
      <c r="AP95" s="567" t="e">
        <f t="shared" si="271"/>
        <v>#N/A</v>
      </c>
      <c r="AQ95" s="567" t="e">
        <f t="shared" si="271"/>
        <v>#N/A</v>
      </c>
      <c r="AR95" s="567" t="e">
        <f t="shared" si="271"/>
        <v>#N/A</v>
      </c>
      <c r="AS95" s="567" t="e">
        <f t="shared" si="271"/>
        <v>#N/A</v>
      </c>
      <c r="AT95" s="567" t="e">
        <f t="shared" si="271"/>
        <v>#N/A</v>
      </c>
      <c r="AU95" s="567" t="e">
        <f t="shared" si="271"/>
        <v>#N/A</v>
      </c>
      <c r="AV95" s="567" t="e">
        <f t="shared" si="271"/>
        <v>#N/A</v>
      </c>
      <c r="AW95" s="567" t="e">
        <f t="shared" si="271"/>
        <v>#N/A</v>
      </c>
      <c r="AX95" s="567" t="e">
        <f t="shared" si="271"/>
        <v>#N/A</v>
      </c>
      <c r="AY95" s="567" t="e">
        <f t="shared" si="271"/>
        <v>#N/A</v>
      </c>
      <c r="AZ95" s="567" t="e">
        <f t="shared" si="271"/>
        <v>#N/A</v>
      </c>
      <c r="BA95" s="567" t="e">
        <f t="shared" si="271"/>
        <v>#N/A</v>
      </c>
      <c r="BB95" s="567" t="e">
        <f t="shared" si="271"/>
        <v>#N/A</v>
      </c>
      <c r="BC95" s="567" t="e">
        <f t="shared" si="271"/>
        <v>#N/A</v>
      </c>
      <c r="BD95" s="567" t="e">
        <f t="shared" si="271"/>
        <v>#N/A</v>
      </c>
      <c r="BE95" s="567" t="e">
        <f t="shared" si="271"/>
        <v>#N/A</v>
      </c>
      <c r="BF95" s="567" t="e">
        <f t="shared" si="271"/>
        <v>#N/A</v>
      </c>
      <c r="BG95" s="567" t="e">
        <f t="shared" si="271"/>
        <v>#N/A</v>
      </c>
      <c r="BH95" s="567" t="e">
        <f t="shared" si="271"/>
        <v>#N/A</v>
      </c>
      <c r="BI95" s="567" t="e">
        <f t="shared" si="271"/>
        <v>#N/A</v>
      </c>
      <c r="BJ95" s="567" t="e">
        <f t="shared" si="271"/>
        <v>#N/A</v>
      </c>
      <c r="BK95" s="567" t="e">
        <f t="shared" si="271"/>
        <v>#N/A</v>
      </c>
      <c r="BL95" s="567" t="e">
        <f t="shared" si="271"/>
        <v>#N/A</v>
      </c>
      <c r="BM95" s="567" t="e">
        <f t="shared" si="271"/>
        <v>#N/A</v>
      </c>
      <c r="BN95" s="567" t="e">
        <f t="shared" si="271"/>
        <v>#N/A</v>
      </c>
      <c r="BO95" s="567" t="e">
        <f t="shared" si="271"/>
        <v>#N/A</v>
      </c>
      <c r="BP95" s="567" t="e">
        <f t="shared" si="271"/>
        <v>#N/A</v>
      </c>
      <c r="BQ95" s="567" t="e">
        <f t="shared" ref="BQ95:CL95" si="272">IF(BQ90=target,BQ91,#N/A)</f>
        <v>#N/A</v>
      </c>
      <c r="BR95" s="567" t="e">
        <f t="shared" si="272"/>
        <v>#N/A</v>
      </c>
      <c r="BS95" s="567" t="e">
        <f t="shared" si="272"/>
        <v>#N/A</v>
      </c>
      <c r="BT95" s="567" t="e">
        <f t="shared" si="272"/>
        <v>#N/A</v>
      </c>
      <c r="BU95" s="567" t="e">
        <f t="shared" si="272"/>
        <v>#N/A</v>
      </c>
      <c r="BV95" s="567" t="e">
        <f t="shared" si="272"/>
        <v>#N/A</v>
      </c>
      <c r="BW95" s="567" t="e">
        <f t="shared" si="272"/>
        <v>#N/A</v>
      </c>
      <c r="BX95" s="567" t="e">
        <f t="shared" si="272"/>
        <v>#N/A</v>
      </c>
      <c r="BY95" s="567" t="e">
        <f t="shared" si="272"/>
        <v>#N/A</v>
      </c>
      <c r="BZ95" s="567" t="e">
        <f t="shared" si="272"/>
        <v>#N/A</v>
      </c>
      <c r="CA95" s="567" t="e">
        <f t="shared" si="272"/>
        <v>#N/A</v>
      </c>
      <c r="CB95" s="567" t="e">
        <f t="shared" si="272"/>
        <v>#N/A</v>
      </c>
      <c r="CC95" s="567" t="e">
        <f t="shared" si="272"/>
        <v>#N/A</v>
      </c>
      <c r="CD95" s="567" t="e">
        <f t="shared" si="272"/>
        <v>#N/A</v>
      </c>
      <c r="CE95" s="567" t="e">
        <f t="shared" si="272"/>
        <v>#N/A</v>
      </c>
      <c r="CF95" s="567" t="e">
        <f t="shared" si="272"/>
        <v>#N/A</v>
      </c>
      <c r="CG95" s="567" t="e">
        <f t="shared" si="272"/>
        <v>#N/A</v>
      </c>
      <c r="CH95" s="567" t="e">
        <f t="shared" si="272"/>
        <v>#N/A</v>
      </c>
      <c r="CI95" s="567" t="e">
        <f t="shared" si="272"/>
        <v>#N/A</v>
      </c>
      <c r="CJ95" s="567" t="e">
        <f t="shared" si="272"/>
        <v>#N/A</v>
      </c>
      <c r="CK95" s="567" t="e">
        <f t="shared" si="272"/>
        <v>#N/A</v>
      </c>
      <c r="CL95" s="567" t="e">
        <f t="shared" si="272"/>
        <v>#N/A</v>
      </c>
      <c r="CN95" s="625"/>
      <c r="CO95" s="625"/>
      <c r="CP95" s="625"/>
    </row>
    <row r="96" spans="1:94" ht="16.5" outlineLevel="1" thickTop="1">
      <c r="A96" s="529" t="s">
        <v>414</v>
      </c>
      <c r="B96" s="529" t="s">
        <v>412</v>
      </c>
      <c r="C96" s="529"/>
      <c r="D96" s="568"/>
      <c r="E96" s="569" t="e">
        <f t="shared" ref="E96:AJ96" si="273">IF(E8&lt;sector_base, NA(),IF(E8&lt;sector_base,E106,(((E81/E92)*E77)+((E65/E92)*E61)+((E49/E92)*E45)+((E33/E92)*E29)+((E17/E92)*E13))))</f>
        <v>#N/A</v>
      </c>
      <c r="F96" s="570" t="e">
        <f t="shared" si="273"/>
        <v>#N/A</v>
      </c>
      <c r="G96" s="570" t="e">
        <f t="shared" si="273"/>
        <v>#N/A</v>
      </c>
      <c r="H96" s="570" t="e">
        <f t="shared" si="273"/>
        <v>#N/A</v>
      </c>
      <c r="I96" s="570" t="e">
        <f t="shared" ca="1" si="273"/>
        <v>#DIV/0!</v>
      </c>
      <c r="J96" s="570" t="e">
        <f t="shared" ca="1" si="273"/>
        <v>#DIV/0!</v>
      </c>
      <c r="K96" s="570" t="e">
        <f t="shared" ca="1" si="273"/>
        <v>#DIV/0!</v>
      </c>
      <c r="L96" s="570" t="e">
        <f t="shared" ca="1" si="273"/>
        <v>#DIV/0!</v>
      </c>
      <c r="M96" s="570" t="e">
        <f t="shared" ca="1" si="273"/>
        <v>#DIV/0!</v>
      </c>
      <c r="N96" s="570" t="e">
        <f t="shared" ca="1" si="273"/>
        <v>#DIV/0!</v>
      </c>
      <c r="O96" s="570" t="e">
        <f t="shared" ca="1" si="273"/>
        <v>#DIV/0!</v>
      </c>
      <c r="P96" s="570" t="e">
        <f t="shared" ca="1" si="273"/>
        <v>#DIV/0!</v>
      </c>
      <c r="Q96" s="570" t="e">
        <f t="shared" ca="1" si="273"/>
        <v>#DIV/0!</v>
      </c>
      <c r="R96" s="570" t="e">
        <f t="shared" ca="1" si="273"/>
        <v>#DIV/0!</v>
      </c>
      <c r="S96" s="570" t="e">
        <f t="shared" ca="1" si="273"/>
        <v>#DIV/0!</v>
      </c>
      <c r="T96" s="570" t="e">
        <f t="shared" ca="1" si="273"/>
        <v>#DIV/0!</v>
      </c>
      <c r="U96" s="570" t="e">
        <f t="shared" ca="1" si="273"/>
        <v>#DIV/0!</v>
      </c>
      <c r="V96" s="570" t="e">
        <f t="shared" ca="1" si="273"/>
        <v>#DIV/0!</v>
      </c>
      <c r="W96" s="570" t="e">
        <f t="shared" ca="1" si="273"/>
        <v>#DIV/0!</v>
      </c>
      <c r="X96" s="570" t="e">
        <f t="shared" ca="1" si="273"/>
        <v>#DIV/0!</v>
      </c>
      <c r="Y96" s="570" t="e">
        <f t="shared" ca="1" si="273"/>
        <v>#DIV/0!</v>
      </c>
      <c r="Z96" s="570" t="e">
        <f t="shared" ca="1" si="273"/>
        <v>#DIV/0!</v>
      </c>
      <c r="AA96" s="570" t="e">
        <f t="shared" ca="1" si="273"/>
        <v>#DIV/0!</v>
      </c>
      <c r="AB96" s="570" t="e">
        <f t="shared" ca="1" si="273"/>
        <v>#DIV/0!</v>
      </c>
      <c r="AC96" s="570" t="e">
        <f t="shared" ca="1" si="273"/>
        <v>#DIV/0!</v>
      </c>
      <c r="AD96" s="570" t="e">
        <f t="shared" ca="1" si="273"/>
        <v>#DIV/0!</v>
      </c>
      <c r="AE96" s="570" t="e">
        <f t="shared" ca="1" si="273"/>
        <v>#DIV/0!</v>
      </c>
      <c r="AF96" s="570" t="e">
        <f t="shared" ca="1" si="273"/>
        <v>#DIV/0!</v>
      </c>
      <c r="AG96" s="570" t="e">
        <f t="shared" ca="1" si="273"/>
        <v>#DIV/0!</v>
      </c>
      <c r="AH96" s="570" t="e">
        <f t="shared" ca="1" si="273"/>
        <v>#DIV/0!</v>
      </c>
      <c r="AI96" s="570" t="e">
        <f t="shared" ca="1" si="273"/>
        <v>#DIV/0!</v>
      </c>
      <c r="AJ96" s="570" t="e">
        <f t="shared" ca="1" si="273"/>
        <v>#DIV/0!</v>
      </c>
      <c r="AK96" s="570" t="e">
        <f t="shared" ref="AK96:BP96" ca="1" si="274">IF(AK8&lt;sector_base, NA(),IF(AK8&lt;sector_base,AK106,(((AK81/AK92)*AK77)+((AK65/AK92)*AK61)+((AK49/AK92)*AK45)+((AK33/AK92)*AK29)+((AK17/AK92)*AK13))))</f>
        <v>#DIV/0!</v>
      </c>
      <c r="AL96" s="570" t="e">
        <f t="shared" ca="1" si="274"/>
        <v>#DIV/0!</v>
      </c>
      <c r="AM96" s="570" t="e">
        <f t="shared" ca="1" si="274"/>
        <v>#DIV/0!</v>
      </c>
      <c r="AN96" s="570" t="e">
        <f t="shared" ca="1" si="274"/>
        <v>#DIV/0!</v>
      </c>
      <c r="AO96" s="570" t="e">
        <f t="shared" ca="1" si="274"/>
        <v>#DIV/0!</v>
      </c>
      <c r="AP96" s="570" t="e">
        <f t="shared" ca="1" si="274"/>
        <v>#DIV/0!</v>
      </c>
      <c r="AQ96" s="570" t="e">
        <f t="shared" ca="1" si="274"/>
        <v>#DIV/0!</v>
      </c>
      <c r="AR96" s="570" t="e">
        <f t="shared" ca="1" si="274"/>
        <v>#DIV/0!</v>
      </c>
      <c r="AS96" s="570" t="e">
        <f t="shared" ca="1" si="274"/>
        <v>#DIV/0!</v>
      </c>
      <c r="AT96" s="570" t="e">
        <f t="shared" ca="1" si="274"/>
        <v>#DIV/0!</v>
      </c>
      <c r="AU96" s="570" t="e">
        <f t="shared" ca="1" si="274"/>
        <v>#DIV/0!</v>
      </c>
      <c r="AV96" s="570" t="e">
        <f t="shared" ca="1" si="274"/>
        <v>#DIV/0!</v>
      </c>
      <c r="AW96" s="570" t="e">
        <f t="shared" ca="1" si="274"/>
        <v>#DIV/0!</v>
      </c>
      <c r="AX96" s="570" t="e">
        <f t="shared" ca="1" si="274"/>
        <v>#DIV/0!</v>
      </c>
      <c r="AY96" s="570" t="e">
        <f t="shared" ca="1" si="274"/>
        <v>#DIV/0!</v>
      </c>
      <c r="AZ96" s="570" t="e">
        <f t="shared" ca="1" si="274"/>
        <v>#DIV/0!</v>
      </c>
      <c r="BA96" s="570" t="e">
        <f t="shared" ca="1" si="274"/>
        <v>#DIV/0!</v>
      </c>
      <c r="BB96" s="570" t="e">
        <f t="shared" ca="1" si="274"/>
        <v>#DIV/0!</v>
      </c>
      <c r="BC96" s="570" t="e">
        <f t="shared" ca="1" si="274"/>
        <v>#DIV/0!</v>
      </c>
      <c r="BD96" s="570" t="e">
        <f t="shared" ca="1" si="274"/>
        <v>#DIV/0!</v>
      </c>
      <c r="BE96" s="570" t="e">
        <f t="shared" ca="1" si="274"/>
        <v>#DIV/0!</v>
      </c>
      <c r="BF96" s="570" t="e">
        <f t="shared" ca="1" si="274"/>
        <v>#DIV/0!</v>
      </c>
      <c r="BG96" s="570" t="e">
        <f t="shared" ca="1" si="274"/>
        <v>#DIV/0!</v>
      </c>
      <c r="BH96" s="570" t="e">
        <f t="shared" ca="1" si="274"/>
        <v>#DIV/0!</v>
      </c>
      <c r="BI96" s="570" t="e">
        <f t="shared" ca="1" si="274"/>
        <v>#DIV/0!</v>
      </c>
      <c r="BJ96" s="570" t="e">
        <f t="shared" ca="1" si="274"/>
        <v>#DIV/0!</v>
      </c>
      <c r="BK96" s="570" t="e">
        <f t="shared" ca="1" si="274"/>
        <v>#DIV/0!</v>
      </c>
      <c r="BL96" s="570" t="e">
        <f t="shared" ca="1" si="274"/>
        <v>#DIV/0!</v>
      </c>
      <c r="BM96" s="570" t="e">
        <f t="shared" ca="1" si="274"/>
        <v>#DIV/0!</v>
      </c>
      <c r="BN96" s="570" t="e">
        <f t="shared" ca="1" si="274"/>
        <v>#DIV/0!</v>
      </c>
      <c r="BO96" s="570" t="e">
        <f t="shared" ca="1" si="274"/>
        <v>#DIV/0!</v>
      </c>
      <c r="BP96" s="570" t="e">
        <f t="shared" ca="1" si="274"/>
        <v>#DIV/0!</v>
      </c>
      <c r="BQ96" s="570" t="e">
        <f t="shared" ref="BQ96:CL96" ca="1" si="275">IF(BQ8&lt;sector_base, NA(),IF(BQ8&lt;sector_base,BQ106,(((BQ81/BQ92)*BQ77)+((BQ65/BQ92)*BQ61)+((BQ49/BQ92)*BQ45)+((BQ33/BQ92)*BQ29)+((BQ17/BQ92)*BQ13))))</f>
        <v>#DIV/0!</v>
      </c>
      <c r="BR96" s="570" t="e">
        <f t="shared" ca="1" si="275"/>
        <v>#DIV/0!</v>
      </c>
      <c r="BS96" s="570" t="e">
        <f t="shared" ca="1" si="275"/>
        <v>#DIV/0!</v>
      </c>
      <c r="BT96" s="570" t="e">
        <f t="shared" ca="1" si="275"/>
        <v>#DIV/0!</v>
      </c>
      <c r="BU96" s="570" t="e">
        <f t="shared" ca="1" si="275"/>
        <v>#DIV/0!</v>
      </c>
      <c r="BV96" s="570" t="e">
        <f t="shared" ca="1" si="275"/>
        <v>#DIV/0!</v>
      </c>
      <c r="BW96" s="570" t="e">
        <f t="shared" ca="1" si="275"/>
        <v>#DIV/0!</v>
      </c>
      <c r="BX96" s="570" t="e">
        <f t="shared" ca="1" si="275"/>
        <v>#DIV/0!</v>
      </c>
      <c r="BY96" s="570" t="e">
        <f t="shared" ca="1" si="275"/>
        <v>#DIV/0!</v>
      </c>
      <c r="BZ96" s="570" t="e">
        <f t="shared" ca="1" si="275"/>
        <v>#DIV/0!</v>
      </c>
      <c r="CA96" s="570" t="e">
        <f t="shared" ca="1" si="275"/>
        <v>#DIV/0!</v>
      </c>
      <c r="CB96" s="570" t="e">
        <f t="shared" ca="1" si="275"/>
        <v>#DIV/0!</v>
      </c>
      <c r="CC96" s="570" t="e">
        <f t="shared" ca="1" si="275"/>
        <v>#DIV/0!</v>
      </c>
      <c r="CD96" s="570" t="e">
        <f t="shared" ca="1" si="275"/>
        <v>#DIV/0!</v>
      </c>
      <c r="CE96" s="570" t="e">
        <f t="shared" ca="1" si="275"/>
        <v>#DIV/0!</v>
      </c>
      <c r="CF96" s="570" t="e">
        <f t="shared" ca="1" si="275"/>
        <v>#DIV/0!</v>
      </c>
      <c r="CG96" s="570" t="e">
        <f t="shared" ca="1" si="275"/>
        <v>#DIV/0!</v>
      </c>
      <c r="CH96" s="570" t="e">
        <f t="shared" ca="1" si="275"/>
        <v>#DIV/0!</v>
      </c>
      <c r="CI96" s="570" t="e">
        <f t="shared" ca="1" si="275"/>
        <v>#DIV/0!</v>
      </c>
      <c r="CJ96" s="570" t="e">
        <f t="shared" ca="1" si="275"/>
        <v>#DIV/0!</v>
      </c>
      <c r="CK96" s="570" t="e">
        <f t="shared" ca="1" si="275"/>
        <v>#DIV/0!</v>
      </c>
      <c r="CL96" s="570" t="e">
        <f t="shared" ca="1" si="275"/>
        <v>#DIV/0!</v>
      </c>
      <c r="CN96" s="613" t="str">
        <f ca="1">IFERROR((Y96/H96)^(1/17)-1,"")</f>
        <v/>
      </c>
      <c r="CO96" s="613" t="str">
        <f ca="1">IFERROR((AN96/Y96)^(1/15)-1,"")</f>
        <v/>
      </c>
      <c r="CP96" s="613" t="str">
        <f ca="1">IFERROR((AN96/H96)^(1/32)-1,"")</f>
        <v/>
      </c>
    </row>
    <row r="97" spans="1:94" outlineLevel="1">
      <c r="A97" s="532" t="s">
        <v>414</v>
      </c>
      <c r="B97" s="532" t="s">
        <v>407</v>
      </c>
      <c r="C97" s="532"/>
      <c r="D97" s="532"/>
      <c r="E97" s="571" t="e">
        <f ca="1">IF(E8&lt;sector_base,E104*(F97/F104),(SUM(((E81/E92)*E75),((E65/E92)*E59),((E49/E92)*E43),((E33/E92)*E27),((E17/E92)*E11))))</f>
        <v>#DIV/0!</v>
      </c>
      <c r="F97" s="571" t="e">
        <f ca="1">IF(F8&lt;sector_base,F104*(G97/G104),(SUM(((F81/F92)*F75),((F65/F92)*F59),((F49/F92)*F43),((F33/F92)*F27),((F17/F92)*F11))))</f>
        <v>#DIV/0!</v>
      </c>
      <c r="G97" s="571" t="e">
        <f ca="1">IF(G8&lt;sector_base,G104*(H97/H104),(SUM(((G81/G92)*G75),((G65/G92)*G59),((G49/G92)*G43),((G33/G92)*G27),((G17/G92)*G11))))</f>
        <v>#DIV/0!</v>
      </c>
      <c r="H97" s="571" t="e">
        <f ca="1">IF(H8&lt;sector_base,H104*(I97/I104),(SUM(((H81/H92)*H75),((H65/H92)*H59),((H49/H92)*H43),((H33/H92)*H27),((H17/H92)*H11))))</f>
        <v>#DIV/0!</v>
      </c>
      <c r="I97" s="571" t="e">
        <f ca="1">IF(I8&lt;sector_base,I106,(SUM(((I81/I92)*I75),((I65/I92)*I59),((I49/I92)*I43),((I33/I92)*I27),((I17/I92)*I11))))</f>
        <v>#DIV/0!</v>
      </c>
      <c r="J97" s="571" t="e">
        <f t="shared" ref="J97:AN97" ca="1" si="276">IF(J8&lt;sector_base,J106,(SUM(((J81/J92)*J75),((J65/J92)*J59),((J49/J92)*J43),((J33/J92)*J27),((J17/J92)*J11))))</f>
        <v>#DIV/0!</v>
      </c>
      <c r="K97" s="571" t="e">
        <f t="shared" ca="1" si="276"/>
        <v>#DIV/0!</v>
      </c>
      <c r="L97" s="571" t="e">
        <f t="shared" ca="1" si="276"/>
        <v>#DIV/0!</v>
      </c>
      <c r="M97" s="571" t="e">
        <f t="shared" ca="1" si="276"/>
        <v>#DIV/0!</v>
      </c>
      <c r="N97" s="571" t="e">
        <f t="shared" ca="1" si="276"/>
        <v>#DIV/0!</v>
      </c>
      <c r="O97" s="571" t="e">
        <f t="shared" ca="1" si="276"/>
        <v>#DIV/0!</v>
      </c>
      <c r="P97" s="571" t="e">
        <f t="shared" ca="1" si="276"/>
        <v>#DIV/0!</v>
      </c>
      <c r="Q97" s="571" t="e">
        <f t="shared" ca="1" si="276"/>
        <v>#DIV/0!</v>
      </c>
      <c r="R97" s="571" t="e">
        <f t="shared" ca="1" si="276"/>
        <v>#DIV/0!</v>
      </c>
      <c r="S97" s="571" t="e">
        <f t="shared" ca="1" si="276"/>
        <v>#DIV/0!</v>
      </c>
      <c r="T97" s="571" t="e">
        <f t="shared" ca="1" si="276"/>
        <v>#DIV/0!</v>
      </c>
      <c r="U97" s="571" t="e">
        <f t="shared" ca="1" si="276"/>
        <v>#DIV/0!</v>
      </c>
      <c r="V97" s="571" t="e">
        <f t="shared" ca="1" si="276"/>
        <v>#DIV/0!</v>
      </c>
      <c r="W97" s="571" t="e">
        <f t="shared" ca="1" si="276"/>
        <v>#DIV/0!</v>
      </c>
      <c r="X97" s="571" t="e">
        <f t="shared" ca="1" si="276"/>
        <v>#DIV/0!</v>
      </c>
      <c r="Y97" s="571" t="e">
        <f t="shared" ca="1" si="276"/>
        <v>#DIV/0!</v>
      </c>
      <c r="Z97" s="571" t="e">
        <f t="shared" ca="1" si="276"/>
        <v>#DIV/0!</v>
      </c>
      <c r="AA97" s="571" t="e">
        <f t="shared" ca="1" si="276"/>
        <v>#DIV/0!</v>
      </c>
      <c r="AB97" s="571" t="e">
        <f t="shared" ca="1" si="276"/>
        <v>#DIV/0!</v>
      </c>
      <c r="AC97" s="571" t="e">
        <f t="shared" ca="1" si="276"/>
        <v>#DIV/0!</v>
      </c>
      <c r="AD97" s="571" t="e">
        <f t="shared" ca="1" si="276"/>
        <v>#DIV/0!</v>
      </c>
      <c r="AE97" s="571" t="e">
        <f t="shared" ca="1" si="276"/>
        <v>#DIV/0!</v>
      </c>
      <c r="AF97" s="571" t="e">
        <f t="shared" ca="1" si="276"/>
        <v>#DIV/0!</v>
      </c>
      <c r="AG97" s="571" t="e">
        <f t="shared" ca="1" si="276"/>
        <v>#DIV/0!</v>
      </c>
      <c r="AH97" s="571" t="e">
        <f t="shared" ca="1" si="276"/>
        <v>#DIV/0!</v>
      </c>
      <c r="AI97" s="571" t="e">
        <f t="shared" ca="1" si="276"/>
        <v>#DIV/0!</v>
      </c>
      <c r="AJ97" s="571" t="e">
        <f t="shared" ca="1" si="276"/>
        <v>#DIV/0!</v>
      </c>
      <c r="AK97" s="571" t="e">
        <f t="shared" ca="1" si="276"/>
        <v>#DIV/0!</v>
      </c>
      <c r="AL97" s="571" t="e">
        <f t="shared" ca="1" si="276"/>
        <v>#DIV/0!</v>
      </c>
      <c r="AM97" s="571" t="e">
        <f t="shared" ca="1" si="276"/>
        <v>#DIV/0!</v>
      </c>
      <c r="AN97" s="571" t="e">
        <f t="shared" ca="1" si="276"/>
        <v>#DIV/0!</v>
      </c>
      <c r="AO97" s="571" t="e">
        <f t="shared" ref="AO97:BT97" ca="1" si="277">IF(AO8&lt;sector_base,AO106,(SUM(((AO81/AO92)*AO75),((AO65/AO92)*AO59),((AO49/AO92)*AO43),((AO33/AO92)*AO27),((AO17/AO92)*AO11))))</f>
        <v>#DIV/0!</v>
      </c>
      <c r="AP97" s="571" t="e">
        <f t="shared" ca="1" si="277"/>
        <v>#DIV/0!</v>
      </c>
      <c r="AQ97" s="571" t="e">
        <f t="shared" ca="1" si="277"/>
        <v>#DIV/0!</v>
      </c>
      <c r="AR97" s="571" t="e">
        <f t="shared" ca="1" si="277"/>
        <v>#DIV/0!</v>
      </c>
      <c r="AS97" s="571" t="e">
        <f t="shared" ca="1" si="277"/>
        <v>#DIV/0!</v>
      </c>
      <c r="AT97" s="571" t="e">
        <f t="shared" ca="1" si="277"/>
        <v>#DIV/0!</v>
      </c>
      <c r="AU97" s="571" t="e">
        <f t="shared" ca="1" si="277"/>
        <v>#DIV/0!</v>
      </c>
      <c r="AV97" s="571" t="e">
        <f t="shared" ca="1" si="277"/>
        <v>#DIV/0!</v>
      </c>
      <c r="AW97" s="571" t="e">
        <f t="shared" ca="1" si="277"/>
        <v>#DIV/0!</v>
      </c>
      <c r="AX97" s="571" t="e">
        <f t="shared" ca="1" si="277"/>
        <v>#DIV/0!</v>
      </c>
      <c r="AY97" s="571" t="e">
        <f t="shared" ca="1" si="277"/>
        <v>#DIV/0!</v>
      </c>
      <c r="AZ97" s="571" t="e">
        <f t="shared" ca="1" si="277"/>
        <v>#DIV/0!</v>
      </c>
      <c r="BA97" s="571" t="e">
        <f t="shared" ca="1" si="277"/>
        <v>#DIV/0!</v>
      </c>
      <c r="BB97" s="571" t="e">
        <f t="shared" ca="1" si="277"/>
        <v>#DIV/0!</v>
      </c>
      <c r="BC97" s="571" t="e">
        <f t="shared" ca="1" si="277"/>
        <v>#DIV/0!</v>
      </c>
      <c r="BD97" s="571" t="e">
        <f t="shared" ca="1" si="277"/>
        <v>#DIV/0!</v>
      </c>
      <c r="BE97" s="571" t="e">
        <f t="shared" ca="1" si="277"/>
        <v>#DIV/0!</v>
      </c>
      <c r="BF97" s="571" t="e">
        <f t="shared" ca="1" si="277"/>
        <v>#DIV/0!</v>
      </c>
      <c r="BG97" s="571" t="e">
        <f t="shared" ca="1" si="277"/>
        <v>#DIV/0!</v>
      </c>
      <c r="BH97" s="571" t="e">
        <f t="shared" ca="1" si="277"/>
        <v>#DIV/0!</v>
      </c>
      <c r="BI97" s="571" t="e">
        <f t="shared" ca="1" si="277"/>
        <v>#DIV/0!</v>
      </c>
      <c r="BJ97" s="571" t="e">
        <f t="shared" ca="1" si="277"/>
        <v>#DIV/0!</v>
      </c>
      <c r="BK97" s="571" t="e">
        <f t="shared" ca="1" si="277"/>
        <v>#DIV/0!</v>
      </c>
      <c r="BL97" s="571" t="e">
        <f t="shared" ca="1" si="277"/>
        <v>#DIV/0!</v>
      </c>
      <c r="BM97" s="571" t="e">
        <f t="shared" ca="1" si="277"/>
        <v>#DIV/0!</v>
      </c>
      <c r="BN97" s="571" t="e">
        <f t="shared" ca="1" si="277"/>
        <v>#DIV/0!</v>
      </c>
      <c r="BO97" s="571" t="e">
        <f t="shared" ca="1" si="277"/>
        <v>#DIV/0!</v>
      </c>
      <c r="BP97" s="571" t="e">
        <f t="shared" ca="1" si="277"/>
        <v>#DIV/0!</v>
      </c>
      <c r="BQ97" s="571" t="e">
        <f t="shared" ca="1" si="277"/>
        <v>#DIV/0!</v>
      </c>
      <c r="BR97" s="571" t="e">
        <f t="shared" ca="1" si="277"/>
        <v>#DIV/0!</v>
      </c>
      <c r="BS97" s="571" t="e">
        <f t="shared" ca="1" si="277"/>
        <v>#DIV/0!</v>
      </c>
      <c r="BT97" s="571" t="e">
        <f t="shared" ca="1" si="277"/>
        <v>#DIV/0!</v>
      </c>
      <c r="BU97" s="571" t="e">
        <f t="shared" ref="BU97:CL97" ca="1" si="278">IF(BU8&lt;sector_base,BU106,(SUM(((BU81/BU92)*BU75),((BU65/BU92)*BU59),((BU49/BU92)*BU43),((BU33/BU92)*BU27),((BU17/BU92)*BU11))))</f>
        <v>#DIV/0!</v>
      </c>
      <c r="BV97" s="571" t="e">
        <f t="shared" ca="1" si="278"/>
        <v>#DIV/0!</v>
      </c>
      <c r="BW97" s="571" t="e">
        <f t="shared" ca="1" si="278"/>
        <v>#DIV/0!</v>
      </c>
      <c r="BX97" s="571" t="e">
        <f t="shared" ca="1" si="278"/>
        <v>#DIV/0!</v>
      </c>
      <c r="BY97" s="571" t="e">
        <f t="shared" ca="1" si="278"/>
        <v>#DIV/0!</v>
      </c>
      <c r="BZ97" s="571" t="e">
        <f t="shared" ca="1" si="278"/>
        <v>#DIV/0!</v>
      </c>
      <c r="CA97" s="571" t="e">
        <f t="shared" ca="1" si="278"/>
        <v>#DIV/0!</v>
      </c>
      <c r="CB97" s="571" t="e">
        <f t="shared" ca="1" si="278"/>
        <v>#DIV/0!</v>
      </c>
      <c r="CC97" s="571" t="e">
        <f t="shared" ca="1" si="278"/>
        <v>#DIV/0!</v>
      </c>
      <c r="CD97" s="571" t="e">
        <f t="shared" ca="1" si="278"/>
        <v>#DIV/0!</v>
      </c>
      <c r="CE97" s="571" t="e">
        <f t="shared" ca="1" si="278"/>
        <v>#DIV/0!</v>
      </c>
      <c r="CF97" s="571" t="e">
        <f t="shared" ca="1" si="278"/>
        <v>#DIV/0!</v>
      </c>
      <c r="CG97" s="571" t="e">
        <f t="shared" ca="1" si="278"/>
        <v>#DIV/0!</v>
      </c>
      <c r="CH97" s="571" t="e">
        <f t="shared" ca="1" si="278"/>
        <v>#DIV/0!</v>
      </c>
      <c r="CI97" s="571" t="e">
        <f t="shared" ca="1" si="278"/>
        <v>#DIV/0!</v>
      </c>
      <c r="CJ97" s="571" t="e">
        <f t="shared" ca="1" si="278"/>
        <v>#DIV/0!</v>
      </c>
      <c r="CK97" s="571" t="e">
        <f t="shared" ca="1" si="278"/>
        <v>#DIV/0!</v>
      </c>
      <c r="CL97" s="571" t="e">
        <f t="shared" ca="1" si="278"/>
        <v>#DIV/0!</v>
      </c>
      <c r="CN97" s="626" t="str">
        <f ca="1">IFERROR((Y97/H97)^(1/17)-1,"")</f>
        <v/>
      </c>
      <c r="CO97" s="626" t="str">
        <f ca="1">IFERROR((AN97/Y97)^(1/15)-1,"")</f>
        <v/>
      </c>
      <c r="CP97" s="626" t="str">
        <f ca="1">IFERROR((AN97/H97)^(1/32)-1,"")</f>
        <v/>
      </c>
    </row>
    <row r="98" spans="1:94" ht="16.5" outlineLevel="1" thickBot="1">
      <c r="A98" s="572" t="s">
        <v>414</v>
      </c>
      <c r="B98" s="572" t="s">
        <v>413</v>
      </c>
      <c r="C98" s="572"/>
      <c r="D98" s="572"/>
      <c r="E98" s="573" t="e">
        <f t="shared" ref="E98:AJ98" ca="1" si="279">IF(E8&lt;sector_base,E105*(F98/F105),(SUM(((E81/E92)*E76),((E65/E92)*E60),((E49/E92)*E44),((E33/E92)*E28),((E17/E92)*E12))))</f>
        <v>#DIV/0!</v>
      </c>
      <c r="F98" s="573" t="e">
        <f t="shared" ca="1" si="279"/>
        <v>#DIV/0!</v>
      </c>
      <c r="G98" s="573" t="e">
        <f t="shared" ca="1" si="279"/>
        <v>#DIV/0!</v>
      </c>
      <c r="H98" s="573" t="e">
        <f t="shared" ca="1" si="279"/>
        <v>#DIV/0!</v>
      </c>
      <c r="I98" s="573" t="e">
        <f t="shared" ca="1" si="279"/>
        <v>#DIV/0!</v>
      </c>
      <c r="J98" s="573" t="e">
        <f t="shared" ca="1" si="279"/>
        <v>#DIV/0!</v>
      </c>
      <c r="K98" s="573" t="e">
        <f t="shared" ca="1" si="279"/>
        <v>#DIV/0!</v>
      </c>
      <c r="L98" s="573" t="e">
        <f t="shared" ca="1" si="279"/>
        <v>#DIV/0!</v>
      </c>
      <c r="M98" s="573" t="e">
        <f t="shared" ca="1" si="279"/>
        <v>#DIV/0!</v>
      </c>
      <c r="N98" s="573" t="e">
        <f t="shared" ca="1" si="279"/>
        <v>#DIV/0!</v>
      </c>
      <c r="O98" s="573" t="e">
        <f t="shared" ca="1" si="279"/>
        <v>#DIV/0!</v>
      </c>
      <c r="P98" s="573" t="e">
        <f t="shared" ca="1" si="279"/>
        <v>#DIV/0!</v>
      </c>
      <c r="Q98" s="573" t="e">
        <f t="shared" ca="1" si="279"/>
        <v>#DIV/0!</v>
      </c>
      <c r="R98" s="573" t="e">
        <f t="shared" ca="1" si="279"/>
        <v>#DIV/0!</v>
      </c>
      <c r="S98" s="573" t="e">
        <f t="shared" ca="1" si="279"/>
        <v>#DIV/0!</v>
      </c>
      <c r="T98" s="573" t="e">
        <f t="shared" ca="1" si="279"/>
        <v>#DIV/0!</v>
      </c>
      <c r="U98" s="573" t="e">
        <f t="shared" ca="1" si="279"/>
        <v>#DIV/0!</v>
      </c>
      <c r="V98" s="573" t="e">
        <f t="shared" ca="1" si="279"/>
        <v>#DIV/0!</v>
      </c>
      <c r="W98" s="573" t="e">
        <f t="shared" ca="1" si="279"/>
        <v>#DIV/0!</v>
      </c>
      <c r="X98" s="573" t="e">
        <f t="shared" ca="1" si="279"/>
        <v>#DIV/0!</v>
      </c>
      <c r="Y98" s="573" t="e">
        <f t="shared" ca="1" si="279"/>
        <v>#DIV/0!</v>
      </c>
      <c r="Z98" s="573" t="e">
        <f t="shared" ca="1" si="279"/>
        <v>#DIV/0!</v>
      </c>
      <c r="AA98" s="573" t="e">
        <f t="shared" ca="1" si="279"/>
        <v>#DIV/0!</v>
      </c>
      <c r="AB98" s="573" t="e">
        <f t="shared" ca="1" si="279"/>
        <v>#DIV/0!</v>
      </c>
      <c r="AC98" s="573" t="e">
        <f t="shared" ca="1" si="279"/>
        <v>#DIV/0!</v>
      </c>
      <c r="AD98" s="573" t="e">
        <f t="shared" ca="1" si="279"/>
        <v>#DIV/0!</v>
      </c>
      <c r="AE98" s="573" t="e">
        <f t="shared" ca="1" si="279"/>
        <v>#DIV/0!</v>
      </c>
      <c r="AF98" s="573" t="e">
        <f t="shared" ca="1" si="279"/>
        <v>#DIV/0!</v>
      </c>
      <c r="AG98" s="573" t="e">
        <f t="shared" ca="1" si="279"/>
        <v>#DIV/0!</v>
      </c>
      <c r="AH98" s="573" t="e">
        <f t="shared" ca="1" si="279"/>
        <v>#DIV/0!</v>
      </c>
      <c r="AI98" s="573" t="e">
        <f t="shared" ca="1" si="279"/>
        <v>#DIV/0!</v>
      </c>
      <c r="AJ98" s="573" t="e">
        <f t="shared" ca="1" si="279"/>
        <v>#DIV/0!</v>
      </c>
      <c r="AK98" s="573" t="e">
        <f t="shared" ref="AK98:BP98" ca="1" si="280">IF(AK8&lt;sector_base,AK105*(AL98/AL105),(SUM(((AK81/AK92)*AK76),((AK65/AK92)*AK60),((AK49/AK92)*AK44),((AK33/AK92)*AK28),((AK17/AK92)*AK12))))</f>
        <v>#DIV/0!</v>
      </c>
      <c r="AL98" s="573" t="e">
        <f t="shared" ca="1" si="280"/>
        <v>#DIV/0!</v>
      </c>
      <c r="AM98" s="573" t="e">
        <f t="shared" ca="1" si="280"/>
        <v>#DIV/0!</v>
      </c>
      <c r="AN98" s="573" t="e">
        <f t="shared" ca="1" si="280"/>
        <v>#DIV/0!</v>
      </c>
      <c r="AO98" s="573" t="e">
        <f t="shared" ca="1" si="280"/>
        <v>#DIV/0!</v>
      </c>
      <c r="AP98" s="573" t="e">
        <f t="shared" ca="1" si="280"/>
        <v>#DIV/0!</v>
      </c>
      <c r="AQ98" s="573" t="e">
        <f t="shared" ca="1" si="280"/>
        <v>#DIV/0!</v>
      </c>
      <c r="AR98" s="573" t="e">
        <f t="shared" ca="1" si="280"/>
        <v>#DIV/0!</v>
      </c>
      <c r="AS98" s="573" t="e">
        <f t="shared" ca="1" si="280"/>
        <v>#DIV/0!</v>
      </c>
      <c r="AT98" s="573" t="e">
        <f t="shared" ca="1" si="280"/>
        <v>#DIV/0!</v>
      </c>
      <c r="AU98" s="573" t="e">
        <f t="shared" ca="1" si="280"/>
        <v>#DIV/0!</v>
      </c>
      <c r="AV98" s="573" t="e">
        <f t="shared" ca="1" si="280"/>
        <v>#DIV/0!</v>
      </c>
      <c r="AW98" s="573" t="e">
        <f t="shared" ca="1" si="280"/>
        <v>#DIV/0!</v>
      </c>
      <c r="AX98" s="573" t="e">
        <f t="shared" ca="1" si="280"/>
        <v>#DIV/0!</v>
      </c>
      <c r="AY98" s="573" t="e">
        <f t="shared" ca="1" si="280"/>
        <v>#DIV/0!</v>
      </c>
      <c r="AZ98" s="573" t="e">
        <f t="shared" ca="1" si="280"/>
        <v>#DIV/0!</v>
      </c>
      <c r="BA98" s="573" t="e">
        <f t="shared" ca="1" si="280"/>
        <v>#DIV/0!</v>
      </c>
      <c r="BB98" s="573" t="e">
        <f t="shared" ca="1" si="280"/>
        <v>#DIV/0!</v>
      </c>
      <c r="BC98" s="573" t="e">
        <f t="shared" ca="1" si="280"/>
        <v>#DIV/0!</v>
      </c>
      <c r="BD98" s="573" t="e">
        <f t="shared" ca="1" si="280"/>
        <v>#DIV/0!</v>
      </c>
      <c r="BE98" s="573" t="e">
        <f t="shared" ca="1" si="280"/>
        <v>#DIV/0!</v>
      </c>
      <c r="BF98" s="573" t="e">
        <f t="shared" ca="1" si="280"/>
        <v>#DIV/0!</v>
      </c>
      <c r="BG98" s="573" t="e">
        <f t="shared" ca="1" si="280"/>
        <v>#DIV/0!</v>
      </c>
      <c r="BH98" s="573" t="e">
        <f t="shared" ca="1" si="280"/>
        <v>#DIV/0!</v>
      </c>
      <c r="BI98" s="573" t="e">
        <f t="shared" ca="1" si="280"/>
        <v>#DIV/0!</v>
      </c>
      <c r="BJ98" s="573" t="e">
        <f t="shared" ca="1" si="280"/>
        <v>#DIV/0!</v>
      </c>
      <c r="BK98" s="573" t="e">
        <f t="shared" ca="1" si="280"/>
        <v>#DIV/0!</v>
      </c>
      <c r="BL98" s="573" t="e">
        <f t="shared" ca="1" si="280"/>
        <v>#DIV/0!</v>
      </c>
      <c r="BM98" s="573" t="e">
        <f t="shared" ca="1" si="280"/>
        <v>#DIV/0!</v>
      </c>
      <c r="BN98" s="573" t="e">
        <f t="shared" ca="1" si="280"/>
        <v>#DIV/0!</v>
      </c>
      <c r="BO98" s="573" t="e">
        <f t="shared" ca="1" si="280"/>
        <v>#DIV/0!</v>
      </c>
      <c r="BP98" s="573" t="e">
        <f t="shared" ca="1" si="280"/>
        <v>#DIV/0!</v>
      </c>
      <c r="BQ98" s="573" t="e">
        <f t="shared" ref="BQ98:CL98" ca="1" si="281">IF(BQ8&lt;sector_base,BQ105*(BR98/BR105),(SUM(((BQ81/BQ92)*BQ76),((BQ65/BQ92)*BQ60),((BQ49/BQ92)*BQ44),((BQ33/BQ92)*BQ28),((BQ17/BQ92)*BQ12))))</f>
        <v>#DIV/0!</v>
      </c>
      <c r="BR98" s="573" t="e">
        <f t="shared" ca="1" si="281"/>
        <v>#DIV/0!</v>
      </c>
      <c r="BS98" s="573" t="e">
        <f t="shared" ca="1" si="281"/>
        <v>#DIV/0!</v>
      </c>
      <c r="BT98" s="573" t="e">
        <f t="shared" ca="1" si="281"/>
        <v>#DIV/0!</v>
      </c>
      <c r="BU98" s="573" t="e">
        <f t="shared" ca="1" si="281"/>
        <v>#DIV/0!</v>
      </c>
      <c r="BV98" s="573" t="e">
        <f t="shared" ca="1" si="281"/>
        <v>#DIV/0!</v>
      </c>
      <c r="BW98" s="573" t="e">
        <f t="shared" ca="1" si="281"/>
        <v>#DIV/0!</v>
      </c>
      <c r="BX98" s="573" t="e">
        <f t="shared" ca="1" si="281"/>
        <v>#DIV/0!</v>
      </c>
      <c r="BY98" s="573" t="e">
        <f t="shared" ca="1" si="281"/>
        <v>#DIV/0!</v>
      </c>
      <c r="BZ98" s="573" t="e">
        <f t="shared" ca="1" si="281"/>
        <v>#DIV/0!</v>
      </c>
      <c r="CA98" s="573" t="e">
        <f t="shared" ca="1" si="281"/>
        <v>#DIV/0!</v>
      </c>
      <c r="CB98" s="573" t="e">
        <f t="shared" ca="1" si="281"/>
        <v>#DIV/0!</v>
      </c>
      <c r="CC98" s="573" t="e">
        <f t="shared" ca="1" si="281"/>
        <v>#DIV/0!</v>
      </c>
      <c r="CD98" s="573" t="e">
        <f t="shared" ca="1" si="281"/>
        <v>#DIV/0!</v>
      </c>
      <c r="CE98" s="573" t="e">
        <f t="shared" ca="1" si="281"/>
        <v>#DIV/0!</v>
      </c>
      <c r="CF98" s="573" t="e">
        <f t="shared" ca="1" si="281"/>
        <v>#DIV/0!</v>
      </c>
      <c r="CG98" s="573" t="e">
        <f t="shared" ca="1" si="281"/>
        <v>#DIV/0!</v>
      </c>
      <c r="CH98" s="573" t="e">
        <f t="shared" ca="1" si="281"/>
        <v>#DIV/0!</v>
      </c>
      <c r="CI98" s="573" t="e">
        <f t="shared" ca="1" si="281"/>
        <v>#DIV/0!</v>
      </c>
      <c r="CJ98" s="573" t="e">
        <f t="shared" ca="1" si="281"/>
        <v>#DIV/0!</v>
      </c>
      <c r="CK98" s="573" t="e">
        <f t="shared" ca="1" si="281"/>
        <v>#DIV/0!</v>
      </c>
      <c r="CL98" s="573" t="e">
        <f t="shared" ca="1" si="281"/>
        <v>#DIV/0!</v>
      </c>
      <c r="CN98" s="624" t="str">
        <f ca="1">IFERROR((Y98/H98)^(1/17)-1,"")</f>
        <v/>
      </c>
      <c r="CO98" s="624" t="str">
        <f ca="1">IFERROR((AN98/Y98)^(1/15)-1,"")</f>
        <v/>
      </c>
      <c r="CP98" s="624" t="str">
        <f ca="1">IFERROR((AN98/H98)^(1/32)-1,"")</f>
        <v/>
      </c>
    </row>
    <row r="99" spans="1:94" ht="16.5" outlineLevel="1" thickTop="1">
      <c r="A99" s="530" t="s">
        <v>255</v>
      </c>
      <c r="B99" s="530" t="s">
        <v>379</v>
      </c>
      <c r="C99" s="530"/>
      <c r="D99" s="530"/>
      <c r="E99" s="574" t="e">
        <f t="shared" ref="E99:BP99" si="282">IF($B$6="ON",IF(E90=covid_start-1,E93,IF(E90=covid_recovery,E93,IF(E90&gt;=covid_start,IF(E90&lt;covid_recovery,D99-(INDEX($E$90:$CL$93,4,MATCH(covid_start-1,$E$90:$CL$90,0))-INDEX($E$90:$CL$93,4,MATCH(covid_recovery,$E$90:$CL$90,0)))/(covid_recovery-covid_start+1),NA()),NA()))),NA())</f>
        <v>#N/A</v>
      </c>
      <c r="F99" s="574" t="e">
        <f t="shared" si="282"/>
        <v>#N/A</v>
      </c>
      <c r="G99" s="574" t="e">
        <f t="shared" si="282"/>
        <v>#N/A</v>
      </c>
      <c r="H99" s="574" t="e">
        <f t="shared" si="282"/>
        <v>#N/A</v>
      </c>
      <c r="I99" s="574" t="e">
        <f t="shared" ca="1" si="282"/>
        <v>#DIV/0!</v>
      </c>
      <c r="J99" s="574" t="e">
        <f t="shared" ca="1" si="282"/>
        <v>#DIV/0!</v>
      </c>
      <c r="K99" s="574" t="e">
        <f t="shared" ca="1" si="282"/>
        <v>#DIV/0!</v>
      </c>
      <c r="L99" s="574" t="e">
        <f t="shared" ca="1" si="282"/>
        <v>#DIV/0!</v>
      </c>
      <c r="M99" s="574" t="e">
        <f t="shared" ca="1" si="282"/>
        <v>#DIV/0!</v>
      </c>
      <c r="N99" s="574" t="e">
        <f t="shared" si="282"/>
        <v>#N/A</v>
      </c>
      <c r="O99" s="574" t="e">
        <f t="shared" si="282"/>
        <v>#N/A</v>
      </c>
      <c r="P99" s="574" t="e">
        <f t="shared" si="282"/>
        <v>#N/A</v>
      </c>
      <c r="Q99" s="574" t="e">
        <f t="shared" si="282"/>
        <v>#N/A</v>
      </c>
      <c r="R99" s="574" t="e">
        <f t="shared" si="282"/>
        <v>#N/A</v>
      </c>
      <c r="S99" s="574" t="e">
        <f t="shared" si="282"/>
        <v>#N/A</v>
      </c>
      <c r="T99" s="574" t="e">
        <f t="shared" si="282"/>
        <v>#N/A</v>
      </c>
      <c r="U99" s="574" t="e">
        <f t="shared" si="282"/>
        <v>#N/A</v>
      </c>
      <c r="V99" s="574" t="e">
        <f t="shared" si="282"/>
        <v>#N/A</v>
      </c>
      <c r="W99" s="574" t="e">
        <f t="shared" si="282"/>
        <v>#N/A</v>
      </c>
      <c r="X99" s="574" t="e">
        <f t="shared" si="282"/>
        <v>#N/A</v>
      </c>
      <c r="Y99" s="574" t="e">
        <f t="shared" si="282"/>
        <v>#N/A</v>
      </c>
      <c r="Z99" s="574" t="e">
        <f t="shared" si="282"/>
        <v>#N/A</v>
      </c>
      <c r="AA99" s="574" t="e">
        <f t="shared" si="282"/>
        <v>#N/A</v>
      </c>
      <c r="AB99" s="574" t="e">
        <f t="shared" si="282"/>
        <v>#N/A</v>
      </c>
      <c r="AC99" s="574" t="e">
        <f t="shared" si="282"/>
        <v>#N/A</v>
      </c>
      <c r="AD99" s="574" t="e">
        <f t="shared" si="282"/>
        <v>#N/A</v>
      </c>
      <c r="AE99" s="574" t="e">
        <f t="shared" si="282"/>
        <v>#N/A</v>
      </c>
      <c r="AF99" s="574" t="e">
        <f t="shared" si="282"/>
        <v>#N/A</v>
      </c>
      <c r="AG99" s="574" t="e">
        <f t="shared" si="282"/>
        <v>#N/A</v>
      </c>
      <c r="AH99" s="574" t="e">
        <f t="shared" si="282"/>
        <v>#N/A</v>
      </c>
      <c r="AI99" s="574" t="e">
        <f t="shared" si="282"/>
        <v>#N/A</v>
      </c>
      <c r="AJ99" s="574" t="e">
        <f t="shared" si="282"/>
        <v>#N/A</v>
      </c>
      <c r="AK99" s="574" t="e">
        <f t="shared" si="282"/>
        <v>#N/A</v>
      </c>
      <c r="AL99" s="574" t="e">
        <f t="shared" si="282"/>
        <v>#N/A</v>
      </c>
      <c r="AM99" s="574" t="e">
        <f t="shared" si="282"/>
        <v>#N/A</v>
      </c>
      <c r="AN99" s="574" t="e">
        <f t="shared" si="282"/>
        <v>#N/A</v>
      </c>
      <c r="AO99" s="574" t="e">
        <f t="shared" si="282"/>
        <v>#N/A</v>
      </c>
      <c r="AP99" s="574" t="e">
        <f t="shared" si="282"/>
        <v>#N/A</v>
      </c>
      <c r="AQ99" s="574" t="e">
        <f t="shared" si="282"/>
        <v>#N/A</v>
      </c>
      <c r="AR99" s="574" t="e">
        <f t="shared" si="282"/>
        <v>#N/A</v>
      </c>
      <c r="AS99" s="574" t="e">
        <f t="shared" si="282"/>
        <v>#N/A</v>
      </c>
      <c r="AT99" s="574" t="e">
        <f t="shared" si="282"/>
        <v>#N/A</v>
      </c>
      <c r="AU99" s="574" t="e">
        <f t="shared" si="282"/>
        <v>#N/A</v>
      </c>
      <c r="AV99" s="574" t="e">
        <f t="shared" si="282"/>
        <v>#N/A</v>
      </c>
      <c r="AW99" s="574" t="e">
        <f t="shared" si="282"/>
        <v>#N/A</v>
      </c>
      <c r="AX99" s="574" t="e">
        <f t="shared" si="282"/>
        <v>#N/A</v>
      </c>
      <c r="AY99" s="574" t="e">
        <f t="shared" si="282"/>
        <v>#N/A</v>
      </c>
      <c r="AZ99" s="574" t="e">
        <f t="shared" si="282"/>
        <v>#N/A</v>
      </c>
      <c r="BA99" s="574" t="e">
        <f t="shared" si="282"/>
        <v>#N/A</v>
      </c>
      <c r="BB99" s="574" t="e">
        <f t="shared" si="282"/>
        <v>#N/A</v>
      </c>
      <c r="BC99" s="574" t="e">
        <f t="shared" si="282"/>
        <v>#N/A</v>
      </c>
      <c r="BD99" s="574" t="e">
        <f t="shared" si="282"/>
        <v>#N/A</v>
      </c>
      <c r="BE99" s="574" t="e">
        <f t="shared" si="282"/>
        <v>#N/A</v>
      </c>
      <c r="BF99" s="574" t="e">
        <f t="shared" si="282"/>
        <v>#N/A</v>
      </c>
      <c r="BG99" s="574" t="e">
        <f t="shared" si="282"/>
        <v>#N/A</v>
      </c>
      <c r="BH99" s="574" t="e">
        <f t="shared" si="282"/>
        <v>#N/A</v>
      </c>
      <c r="BI99" s="574" t="e">
        <f t="shared" si="282"/>
        <v>#N/A</v>
      </c>
      <c r="BJ99" s="574" t="e">
        <f t="shared" si="282"/>
        <v>#N/A</v>
      </c>
      <c r="BK99" s="574" t="e">
        <f t="shared" si="282"/>
        <v>#N/A</v>
      </c>
      <c r="BL99" s="574" t="e">
        <f t="shared" si="282"/>
        <v>#N/A</v>
      </c>
      <c r="BM99" s="574" t="e">
        <f t="shared" si="282"/>
        <v>#N/A</v>
      </c>
      <c r="BN99" s="574" t="e">
        <f t="shared" si="282"/>
        <v>#N/A</v>
      </c>
      <c r="BO99" s="574" t="e">
        <f t="shared" si="282"/>
        <v>#N/A</v>
      </c>
      <c r="BP99" s="574" t="e">
        <f t="shared" si="282"/>
        <v>#N/A</v>
      </c>
      <c r="BQ99" s="574" t="e">
        <f t="shared" ref="BQ99:CL99" si="283">IF($B$6="ON",IF(BQ90=covid_start-1,BQ93,IF(BQ90=covid_recovery,BQ93,IF(BQ90&gt;=covid_start,IF(BQ90&lt;covid_recovery,BP99-(INDEX($E$90:$CL$93,4,MATCH(covid_start-1,$E$90:$CL$90,0))-INDEX($E$90:$CL$93,4,MATCH(covid_recovery,$E$90:$CL$90,0)))/(covid_recovery-covid_start+1),NA()),NA()))),NA())</f>
        <v>#N/A</v>
      </c>
      <c r="BR99" s="574" t="e">
        <f t="shared" si="283"/>
        <v>#N/A</v>
      </c>
      <c r="BS99" s="574" t="e">
        <f t="shared" si="283"/>
        <v>#N/A</v>
      </c>
      <c r="BT99" s="574" t="e">
        <f t="shared" si="283"/>
        <v>#N/A</v>
      </c>
      <c r="BU99" s="574" t="e">
        <f t="shared" si="283"/>
        <v>#N/A</v>
      </c>
      <c r="BV99" s="574" t="e">
        <f t="shared" si="283"/>
        <v>#N/A</v>
      </c>
      <c r="BW99" s="574" t="e">
        <f t="shared" si="283"/>
        <v>#N/A</v>
      </c>
      <c r="BX99" s="574" t="e">
        <f t="shared" si="283"/>
        <v>#N/A</v>
      </c>
      <c r="BY99" s="574" t="e">
        <f t="shared" si="283"/>
        <v>#N/A</v>
      </c>
      <c r="BZ99" s="574" t="e">
        <f t="shared" si="283"/>
        <v>#N/A</v>
      </c>
      <c r="CA99" s="574" t="e">
        <f t="shared" si="283"/>
        <v>#N/A</v>
      </c>
      <c r="CB99" s="574" t="e">
        <f t="shared" si="283"/>
        <v>#N/A</v>
      </c>
      <c r="CC99" s="574" t="e">
        <f t="shared" si="283"/>
        <v>#N/A</v>
      </c>
      <c r="CD99" s="574" t="e">
        <f t="shared" si="283"/>
        <v>#N/A</v>
      </c>
      <c r="CE99" s="574" t="e">
        <f t="shared" si="283"/>
        <v>#N/A</v>
      </c>
      <c r="CF99" s="574" t="e">
        <f t="shared" si="283"/>
        <v>#N/A</v>
      </c>
      <c r="CG99" s="574" t="e">
        <f t="shared" si="283"/>
        <v>#N/A</v>
      </c>
      <c r="CH99" s="574" t="e">
        <f t="shared" si="283"/>
        <v>#N/A</v>
      </c>
      <c r="CI99" s="574" t="e">
        <f t="shared" si="283"/>
        <v>#N/A</v>
      </c>
      <c r="CJ99" s="574" t="e">
        <f t="shared" si="283"/>
        <v>#N/A</v>
      </c>
      <c r="CK99" s="574" t="e">
        <f t="shared" si="283"/>
        <v>#N/A</v>
      </c>
      <c r="CL99" s="574" t="e">
        <f t="shared" si="283"/>
        <v>#N/A</v>
      </c>
      <c r="CN99" s="613" t="str">
        <f t="shared" ref="CN99:CN102" si="284">IFERROR((Y99/H99)^(1/17)-1,"")</f>
        <v/>
      </c>
      <c r="CO99" s="613" t="str">
        <f t="shared" ref="CO99:CO102" si="285">IFERROR((AN99/Y99)^(1/15)-1,"")</f>
        <v/>
      </c>
      <c r="CP99" s="613" t="str">
        <f t="shared" ref="CP99:CP102" si="286">IFERROR((AN99/H99)^(1/32)-1,"")</f>
        <v/>
      </c>
    </row>
    <row r="100" spans="1:94" outlineLevel="1">
      <c r="A100" s="532" t="s">
        <v>255</v>
      </c>
      <c r="B100" s="532" t="s">
        <v>381</v>
      </c>
      <c r="C100" s="532"/>
      <c r="D100" s="532"/>
      <c r="E100" s="574" t="e">
        <f t="shared" ref="E100:BP100" si="287">IF($B$6="ON",IF(E90=covid_start-1,E91,IF(E90=covid_recovery,E91,IF(E90&gt;=covid_start,IF(E90&lt;covid_recovery,D100-(INDEX($E$90:$CL$96,2,MATCH(covid_start-1,$E$90:$CL$90,0))-INDEX($E$90:$CL$96,2,MATCH(covid_recovery,$E$90:$CL$90,0)))/(covid_recovery-covid_start+1),NA()),NA()))),NA())</f>
        <v>#N/A</v>
      </c>
      <c r="F100" s="574" t="e">
        <f t="shared" si="287"/>
        <v>#N/A</v>
      </c>
      <c r="G100" s="574" t="e">
        <f t="shared" si="287"/>
        <v>#N/A</v>
      </c>
      <c r="H100" s="574" t="e">
        <f t="shared" si="287"/>
        <v>#N/A</v>
      </c>
      <c r="I100" s="574">
        <f t="shared" ca="1" si="287"/>
        <v>0</v>
      </c>
      <c r="J100" s="574">
        <f t="shared" ca="1" si="287"/>
        <v>0</v>
      </c>
      <c r="K100" s="574">
        <f t="shared" ca="1" si="287"/>
        <v>0</v>
      </c>
      <c r="L100" s="574">
        <f t="shared" ca="1" si="287"/>
        <v>0</v>
      </c>
      <c r="M100" s="574">
        <f t="shared" ca="1" si="287"/>
        <v>0</v>
      </c>
      <c r="N100" s="574" t="e">
        <f t="shared" si="287"/>
        <v>#N/A</v>
      </c>
      <c r="O100" s="574" t="e">
        <f t="shared" si="287"/>
        <v>#N/A</v>
      </c>
      <c r="P100" s="574" t="e">
        <f t="shared" si="287"/>
        <v>#N/A</v>
      </c>
      <c r="Q100" s="574" t="e">
        <f t="shared" si="287"/>
        <v>#N/A</v>
      </c>
      <c r="R100" s="574" t="e">
        <f t="shared" si="287"/>
        <v>#N/A</v>
      </c>
      <c r="S100" s="574" t="e">
        <f t="shared" si="287"/>
        <v>#N/A</v>
      </c>
      <c r="T100" s="574" t="e">
        <f t="shared" si="287"/>
        <v>#N/A</v>
      </c>
      <c r="U100" s="574" t="e">
        <f t="shared" si="287"/>
        <v>#N/A</v>
      </c>
      <c r="V100" s="574" t="e">
        <f t="shared" si="287"/>
        <v>#N/A</v>
      </c>
      <c r="W100" s="574" t="e">
        <f t="shared" si="287"/>
        <v>#N/A</v>
      </c>
      <c r="X100" s="574" t="e">
        <f t="shared" si="287"/>
        <v>#N/A</v>
      </c>
      <c r="Y100" s="574" t="e">
        <f t="shared" si="287"/>
        <v>#N/A</v>
      </c>
      <c r="Z100" s="574" t="e">
        <f t="shared" si="287"/>
        <v>#N/A</v>
      </c>
      <c r="AA100" s="574" t="e">
        <f t="shared" si="287"/>
        <v>#N/A</v>
      </c>
      <c r="AB100" s="574" t="e">
        <f t="shared" si="287"/>
        <v>#N/A</v>
      </c>
      <c r="AC100" s="574" t="e">
        <f t="shared" si="287"/>
        <v>#N/A</v>
      </c>
      <c r="AD100" s="574" t="e">
        <f t="shared" si="287"/>
        <v>#N/A</v>
      </c>
      <c r="AE100" s="574" t="e">
        <f t="shared" si="287"/>
        <v>#N/A</v>
      </c>
      <c r="AF100" s="574" t="e">
        <f t="shared" si="287"/>
        <v>#N/A</v>
      </c>
      <c r="AG100" s="574" t="e">
        <f t="shared" si="287"/>
        <v>#N/A</v>
      </c>
      <c r="AH100" s="574" t="e">
        <f t="shared" si="287"/>
        <v>#N/A</v>
      </c>
      <c r="AI100" s="574" t="e">
        <f t="shared" si="287"/>
        <v>#N/A</v>
      </c>
      <c r="AJ100" s="574" t="e">
        <f t="shared" si="287"/>
        <v>#N/A</v>
      </c>
      <c r="AK100" s="574" t="e">
        <f t="shared" si="287"/>
        <v>#N/A</v>
      </c>
      <c r="AL100" s="574" t="e">
        <f t="shared" si="287"/>
        <v>#N/A</v>
      </c>
      <c r="AM100" s="574" t="e">
        <f t="shared" si="287"/>
        <v>#N/A</v>
      </c>
      <c r="AN100" s="574" t="e">
        <f t="shared" si="287"/>
        <v>#N/A</v>
      </c>
      <c r="AO100" s="574" t="e">
        <f t="shared" si="287"/>
        <v>#N/A</v>
      </c>
      <c r="AP100" s="574" t="e">
        <f t="shared" si="287"/>
        <v>#N/A</v>
      </c>
      <c r="AQ100" s="574" t="e">
        <f t="shared" si="287"/>
        <v>#N/A</v>
      </c>
      <c r="AR100" s="574" t="e">
        <f t="shared" si="287"/>
        <v>#N/A</v>
      </c>
      <c r="AS100" s="574" t="e">
        <f t="shared" si="287"/>
        <v>#N/A</v>
      </c>
      <c r="AT100" s="574" t="e">
        <f t="shared" si="287"/>
        <v>#N/A</v>
      </c>
      <c r="AU100" s="574" t="e">
        <f t="shared" si="287"/>
        <v>#N/A</v>
      </c>
      <c r="AV100" s="574" t="e">
        <f t="shared" si="287"/>
        <v>#N/A</v>
      </c>
      <c r="AW100" s="574" t="e">
        <f t="shared" si="287"/>
        <v>#N/A</v>
      </c>
      <c r="AX100" s="574" t="e">
        <f t="shared" si="287"/>
        <v>#N/A</v>
      </c>
      <c r="AY100" s="574" t="e">
        <f t="shared" si="287"/>
        <v>#N/A</v>
      </c>
      <c r="AZ100" s="574" t="e">
        <f t="shared" si="287"/>
        <v>#N/A</v>
      </c>
      <c r="BA100" s="574" t="e">
        <f t="shared" si="287"/>
        <v>#N/A</v>
      </c>
      <c r="BB100" s="574" t="e">
        <f t="shared" si="287"/>
        <v>#N/A</v>
      </c>
      <c r="BC100" s="574" t="e">
        <f t="shared" si="287"/>
        <v>#N/A</v>
      </c>
      <c r="BD100" s="574" t="e">
        <f t="shared" si="287"/>
        <v>#N/A</v>
      </c>
      <c r="BE100" s="574" t="e">
        <f t="shared" si="287"/>
        <v>#N/A</v>
      </c>
      <c r="BF100" s="574" t="e">
        <f t="shared" si="287"/>
        <v>#N/A</v>
      </c>
      <c r="BG100" s="574" t="e">
        <f t="shared" si="287"/>
        <v>#N/A</v>
      </c>
      <c r="BH100" s="574" t="e">
        <f t="shared" si="287"/>
        <v>#N/A</v>
      </c>
      <c r="BI100" s="574" t="e">
        <f t="shared" si="287"/>
        <v>#N/A</v>
      </c>
      <c r="BJ100" s="574" t="e">
        <f t="shared" si="287"/>
        <v>#N/A</v>
      </c>
      <c r="BK100" s="574" t="e">
        <f t="shared" si="287"/>
        <v>#N/A</v>
      </c>
      <c r="BL100" s="574" t="e">
        <f t="shared" si="287"/>
        <v>#N/A</v>
      </c>
      <c r="BM100" s="574" t="e">
        <f t="shared" si="287"/>
        <v>#N/A</v>
      </c>
      <c r="BN100" s="574" t="e">
        <f t="shared" si="287"/>
        <v>#N/A</v>
      </c>
      <c r="BO100" s="574" t="e">
        <f t="shared" si="287"/>
        <v>#N/A</v>
      </c>
      <c r="BP100" s="574" t="e">
        <f t="shared" si="287"/>
        <v>#N/A</v>
      </c>
      <c r="BQ100" s="574" t="e">
        <f t="shared" ref="BQ100:CL100" si="288">IF($B$6="ON",IF(BQ90=covid_start-1,BQ91,IF(BQ90=covid_recovery,BQ91,IF(BQ90&gt;=covid_start,IF(BQ90&lt;covid_recovery,BP100-(INDEX($E$90:$CL$96,2,MATCH(covid_start-1,$E$90:$CL$90,0))-INDEX($E$90:$CL$96,2,MATCH(covid_recovery,$E$90:$CL$90,0)))/(covid_recovery-covid_start+1),NA()),NA()))),NA())</f>
        <v>#N/A</v>
      </c>
      <c r="BR100" s="574" t="e">
        <f t="shared" si="288"/>
        <v>#N/A</v>
      </c>
      <c r="BS100" s="574" t="e">
        <f t="shared" si="288"/>
        <v>#N/A</v>
      </c>
      <c r="BT100" s="574" t="e">
        <f t="shared" si="288"/>
        <v>#N/A</v>
      </c>
      <c r="BU100" s="574" t="e">
        <f t="shared" si="288"/>
        <v>#N/A</v>
      </c>
      <c r="BV100" s="574" t="e">
        <f t="shared" si="288"/>
        <v>#N/A</v>
      </c>
      <c r="BW100" s="574" t="e">
        <f t="shared" si="288"/>
        <v>#N/A</v>
      </c>
      <c r="BX100" s="574" t="e">
        <f t="shared" si="288"/>
        <v>#N/A</v>
      </c>
      <c r="BY100" s="574" t="e">
        <f t="shared" si="288"/>
        <v>#N/A</v>
      </c>
      <c r="BZ100" s="574" t="e">
        <f t="shared" si="288"/>
        <v>#N/A</v>
      </c>
      <c r="CA100" s="574" t="e">
        <f t="shared" si="288"/>
        <v>#N/A</v>
      </c>
      <c r="CB100" s="574" t="e">
        <f t="shared" si="288"/>
        <v>#N/A</v>
      </c>
      <c r="CC100" s="574" t="e">
        <f t="shared" si="288"/>
        <v>#N/A</v>
      </c>
      <c r="CD100" s="574" t="e">
        <f t="shared" si="288"/>
        <v>#N/A</v>
      </c>
      <c r="CE100" s="574" t="e">
        <f t="shared" si="288"/>
        <v>#N/A</v>
      </c>
      <c r="CF100" s="574" t="e">
        <f t="shared" si="288"/>
        <v>#N/A</v>
      </c>
      <c r="CG100" s="574" t="e">
        <f t="shared" si="288"/>
        <v>#N/A</v>
      </c>
      <c r="CH100" s="574" t="e">
        <f t="shared" si="288"/>
        <v>#N/A</v>
      </c>
      <c r="CI100" s="574" t="e">
        <f t="shared" si="288"/>
        <v>#N/A</v>
      </c>
      <c r="CJ100" s="574" t="e">
        <f t="shared" si="288"/>
        <v>#N/A</v>
      </c>
      <c r="CK100" s="574" t="e">
        <f t="shared" si="288"/>
        <v>#N/A</v>
      </c>
      <c r="CL100" s="574" t="e">
        <f t="shared" si="288"/>
        <v>#N/A</v>
      </c>
      <c r="CN100" s="627" t="str">
        <f t="shared" si="284"/>
        <v/>
      </c>
      <c r="CO100" s="618" t="str">
        <f t="shared" si="285"/>
        <v/>
      </c>
      <c r="CP100" s="618" t="str">
        <f t="shared" si="286"/>
        <v/>
      </c>
    </row>
    <row r="101" spans="1:94" outlineLevel="1">
      <c r="A101" s="532" t="s">
        <v>414</v>
      </c>
      <c r="B101" s="532" t="s">
        <v>380</v>
      </c>
      <c r="C101" s="532"/>
      <c r="D101" s="532"/>
      <c r="E101" s="575" t="e">
        <f t="shared" ref="E101:BP101" si="289">IF($B$6="ON",IF(E90=covid_start-1,E96,IF(E90=covid_recovery,E96,IF(E90&gt;=covid_start,IF(E90&lt;covid_recovery,D101-(INDEX($E$90:$CL$96,7,MATCH(covid_start-1,$E$90:$CL$90,0))-INDEX($E$90:$CL$96,7,MATCH(covid_recovery,$E$90:$CL$90,0)))/(covid_recovery-covid_start+1),NA()),NA()))),NA())</f>
        <v>#N/A</v>
      </c>
      <c r="F101" s="574" t="e">
        <f t="shared" si="289"/>
        <v>#N/A</v>
      </c>
      <c r="G101" s="574" t="e">
        <f t="shared" si="289"/>
        <v>#N/A</v>
      </c>
      <c r="H101" s="574" t="e">
        <f t="shared" si="289"/>
        <v>#N/A</v>
      </c>
      <c r="I101" s="574" t="e">
        <f t="shared" ca="1" si="289"/>
        <v>#DIV/0!</v>
      </c>
      <c r="J101" s="574" t="e">
        <f t="shared" ca="1" si="289"/>
        <v>#DIV/0!</v>
      </c>
      <c r="K101" s="574" t="e">
        <f t="shared" ca="1" si="289"/>
        <v>#DIV/0!</v>
      </c>
      <c r="L101" s="574" t="e">
        <f t="shared" ca="1" si="289"/>
        <v>#DIV/0!</v>
      </c>
      <c r="M101" s="574" t="e">
        <f t="shared" ca="1" si="289"/>
        <v>#DIV/0!</v>
      </c>
      <c r="N101" s="574" t="e">
        <f t="shared" si="289"/>
        <v>#N/A</v>
      </c>
      <c r="O101" s="574" t="e">
        <f t="shared" si="289"/>
        <v>#N/A</v>
      </c>
      <c r="P101" s="574" t="e">
        <f t="shared" si="289"/>
        <v>#N/A</v>
      </c>
      <c r="Q101" s="574" t="e">
        <f t="shared" si="289"/>
        <v>#N/A</v>
      </c>
      <c r="R101" s="574" t="e">
        <f t="shared" si="289"/>
        <v>#N/A</v>
      </c>
      <c r="S101" s="574" t="e">
        <f t="shared" si="289"/>
        <v>#N/A</v>
      </c>
      <c r="T101" s="574" t="e">
        <f t="shared" si="289"/>
        <v>#N/A</v>
      </c>
      <c r="U101" s="574" t="e">
        <f t="shared" si="289"/>
        <v>#N/A</v>
      </c>
      <c r="V101" s="574" t="e">
        <f t="shared" si="289"/>
        <v>#N/A</v>
      </c>
      <c r="W101" s="574" t="e">
        <f t="shared" si="289"/>
        <v>#N/A</v>
      </c>
      <c r="X101" s="574" t="e">
        <f t="shared" si="289"/>
        <v>#N/A</v>
      </c>
      <c r="Y101" s="574" t="e">
        <f t="shared" si="289"/>
        <v>#N/A</v>
      </c>
      <c r="Z101" s="574" t="e">
        <f t="shared" si="289"/>
        <v>#N/A</v>
      </c>
      <c r="AA101" s="574" t="e">
        <f t="shared" si="289"/>
        <v>#N/A</v>
      </c>
      <c r="AB101" s="574" t="e">
        <f t="shared" si="289"/>
        <v>#N/A</v>
      </c>
      <c r="AC101" s="574" t="e">
        <f t="shared" si="289"/>
        <v>#N/A</v>
      </c>
      <c r="AD101" s="574" t="e">
        <f t="shared" si="289"/>
        <v>#N/A</v>
      </c>
      <c r="AE101" s="574" t="e">
        <f t="shared" si="289"/>
        <v>#N/A</v>
      </c>
      <c r="AF101" s="574" t="e">
        <f t="shared" si="289"/>
        <v>#N/A</v>
      </c>
      <c r="AG101" s="574" t="e">
        <f t="shared" si="289"/>
        <v>#N/A</v>
      </c>
      <c r="AH101" s="574" t="e">
        <f t="shared" si="289"/>
        <v>#N/A</v>
      </c>
      <c r="AI101" s="574" t="e">
        <f t="shared" si="289"/>
        <v>#N/A</v>
      </c>
      <c r="AJ101" s="574" t="e">
        <f t="shared" si="289"/>
        <v>#N/A</v>
      </c>
      <c r="AK101" s="574" t="e">
        <f t="shared" si="289"/>
        <v>#N/A</v>
      </c>
      <c r="AL101" s="574" t="e">
        <f t="shared" si="289"/>
        <v>#N/A</v>
      </c>
      <c r="AM101" s="574" t="e">
        <f t="shared" si="289"/>
        <v>#N/A</v>
      </c>
      <c r="AN101" s="574" t="e">
        <f t="shared" si="289"/>
        <v>#N/A</v>
      </c>
      <c r="AO101" s="574" t="e">
        <f t="shared" si="289"/>
        <v>#N/A</v>
      </c>
      <c r="AP101" s="574" t="e">
        <f t="shared" si="289"/>
        <v>#N/A</v>
      </c>
      <c r="AQ101" s="574" t="e">
        <f t="shared" si="289"/>
        <v>#N/A</v>
      </c>
      <c r="AR101" s="574" t="e">
        <f t="shared" si="289"/>
        <v>#N/A</v>
      </c>
      <c r="AS101" s="574" t="e">
        <f t="shared" si="289"/>
        <v>#N/A</v>
      </c>
      <c r="AT101" s="574" t="e">
        <f t="shared" si="289"/>
        <v>#N/A</v>
      </c>
      <c r="AU101" s="574" t="e">
        <f t="shared" si="289"/>
        <v>#N/A</v>
      </c>
      <c r="AV101" s="574" t="e">
        <f t="shared" si="289"/>
        <v>#N/A</v>
      </c>
      <c r="AW101" s="574" t="e">
        <f t="shared" si="289"/>
        <v>#N/A</v>
      </c>
      <c r="AX101" s="574" t="e">
        <f t="shared" si="289"/>
        <v>#N/A</v>
      </c>
      <c r="AY101" s="574" t="e">
        <f t="shared" si="289"/>
        <v>#N/A</v>
      </c>
      <c r="AZ101" s="574" t="e">
        <f t="shared" si="289"/>
        <v>#N/A</v>
      </c>
      <c r="BA101" s="574" t="e">
        <f t="shared" si="289"/>
        <v>#N/A</v>
      </c>
      <c r="BB101" s="574" t="e">
        <f t="shared" si="289"/>
        <v>#N/A</v>
      </c>
      <c r="BC101" s="574" t="e">
        <f t="shared" si="289"/>
        <v>#N/A</v>
      </c>
      <c r="BD101" s="574" t="e">
        <f t="shared" si="289"/>
        <v>#N/A</v>
      </c>
      <c r="BE101" s="574" t="e">
        <f t="shared" si="289"/>
        <v>#N/A</v>
      </c>
      <c r="BF101" s="574" t="e">
        <f t="shared" si="289"/>
        <v>#N/A</v>
      </c>
      <c r="BG101" s="574" t="e">
        <f t="shared" si="289"/>
        <v>#N/A</v>
      </c>
      <c r="BH101" s="574" t="e">
        <f t="shared" si="289"/>
        <v>#N/A</v>
      </c>
      <c r="BI101" s="574" t="e">
        <f t="shared" si="289"/>
        <v>#N/A</v>
      </c>
      <c r="BJ101" s="574" t="e">
        <f t="shared" si="289"/>
        <v>#N/A</v>
      </c>
      <c r="BK101" s="574" t="e">
        <f t="shared" si="289"/>
        <v>#N/A</v>
      </c>
      <c r="BL101" s="574" t="e">
        <f t="shared" si="289"/>
        <v>#N/A</v>
      </c>
      <c r="BM101" s="574" t="e">
        <f t="shared" si="289"/>
        <v>#N/A</v>
      </c>
      <c r="BN101" s="574" t="e">
        <f t="shared" si="289"/>
        <v>#N/A</v>
      </c>
      <c r="BO101" s="574" t="e">
        <f t="shared" si="289"/>
        <v>#N/A</v>
      </c>
      <c r="BP101" s="574" t="e">
        <f t="shared" si="289"/>
        <v>#N/A</v>
      </c>
      <c r="BQ101" s="574" t="e">
        <f t="shared" ref="BQ101:CL101" si="290">IF($B$6="ON",IF(BQ90=covid_start-1,BQ96,IF(BQ90=covid_recovery,BQ96,IF(BQ90&gt;=covid_start,IF(BQ90&lt;covid_recovery,BP101-(INDEX($E$90:$CL$96,7,MATCH(covid_start-1,$E$90:$CL$90,0))-INDEX($E$90:$CL$96,7,MATCH(covid_recovery,$E$90:$CL$90,0)))/(covid_recovery-covid_start+1),NA()),NA()))),NA())</f>
        <v>#N/A</v>
      </c>
      <c r="BR101" s="574" t="e">
        <f t="shared" si="290"/>
        <v>#N/A</v>
      </c>
      <c r="BS101" s="574" t="e">
        <f t="shared" si="290"/>
        <v>#N/A</v>
      </c>
      <c r="BT101" s="574" t="e">
        <f t="shared" si="290"/>
        <v>#N/A</v>
      </c>
      <c r="BU101" s="574" t="e">
        <f t="shared" si="290"/>
        <v>#N/A</v>
      </c>
      <c r="BV101" s="574" t="e">
        <f t="shared" si="290"/>
        <v>#N/A</v>
      </c>
      <c r="BW101" s="574" t="e">
        <f t="shared" si="290"/>
        <v>#N/A</v>
      </c>
      <c r="BX101" s="574" t="e">
        <f t="shared" si="290"/>
        <v>#N/A</v>
      </c>
      <c r="BY101" s="574" t="e">
        <f t="shared" si="290"/>
        <v>#N/A</v>
      </c>
      <c r="BZ101" s="574" t="e">
        <f t="shared" si="290"/>
        <v>#N/A</v>
      </c>
      <c r="CA101" s="574" t="e">
        <f t="shared" si="290"/>
        <v>#N/A</v>
      </c>
      <c r="CB101" s="574" t="e">
        <f t="shared" si="290"/>
        <v>#N/A</v>
      </c>
      <c r="CC101" s="574" t="e">
        <f t="shared" si="290"/>
        <v>#N/A</v>
      </c>
      <c r="CD101" s="574" t="e">
        <f t="shared" si="290"/>
        <v>#N/A</v>
      </c>
      <c r="CE101" s="574" t="e">
        <f t="shared" si="290"/>
        <v>#N/A</v>
      </c>
      <c r="CF101" s="574" t="e">
        <f t="shared" si="290"/>
        <v>#N/A</v>
      </c>
      <c r="CG101" s="574" t="e">
        <f t="shared" si="290"/>
        <v>#N/A</v>
      </c>
      <c r="CH101" s="574" t="e">
        <f t="shared" si="290"/>
        <v>#N/A</v>
      </c>
      <c r="CI101" s="574" t="e">
        <f t="shared" si="290"/>
        <v>#N/A</v>
      </c>
      <c r="CJ101" s="574" t="e">
        <f t="shared" si="290"/>
        <v>#N/A</v>
      </c>
      <c r="CK101" s="574" t="e">
        <f t="shared" si="290"/>
        <v>#N/A</v>
      </c>
      <c r="CL101" s="574" t="e">
        <f t="shared" si="290"/>
        <v>#N/A</v>
      </c>
      <c r="CN101" s="613" t="str">
        <f>IFERROR((Y101/H101)^(1/17)-1,"")</f>
        <v/>
      </c>
      <c r="CO101" s="619" t="str">
        <f>IFERROR((AN101/Y101)^(1/15)-1,"")</f>
        <v/>
      </c>
      <c r="CP101" s="619" t="str">
        <f>IFERROR((AN101/H101)^(1/32)-1,"")</f>
        <v/>
      </c>
    </row>
    <row r="102" spans="1:94" outlineLevel="1">
      <c r="A102" s="512" t="s">
        <v>414</v>
      </c>
      <c r="B102" s="512" t="s">
        <v>408</v>
      </c>
      <c r="C102" s="512"/>
      <c r="D102" s="512"/>
      <c r="E102" s="576" t="e">
        <f t="shared" ref="E102:BP102" si="291">IF($B$6="ON",IF(E90=covid_start-1,E97,IF(E90=covid_recovery,E97,IF(E90&gt;=covid_start,IF(E90&lt;covid_recovery,D102-(INDEX($E$90:$CL$97,8,MATCH(covid_start-1,$E$90:$CL$90,0))-INDEX($E$90:$CL$97,8,MATCH(covid_recovery,$E$90:$CL$90,0)))/(covid_recovery-covid_start+1),NA()),NA()))),NA())</f>
        <v>#N/A</v>
      </c>
      <c r="F102" s="576" t="e">
        <f t="shared" si="291"/>
        <v>#N/A</v>
      </c>
      <c r="G102" s="576" t="e">
        <f t="shared" si="291"/>
        <v>#N/A</v>
      </c>
      <c r="H102" s="576" t="e">
        <f t="shared" si="291"/>
        <v>#N/A</v>
      </c>
      <c r="I102" s="576" t="e">
        <f t="shared" ca="1" si="291"/>
        <v>#DIV/0!</v>
      </c>
      <c r="J102" s="576" t="e">
        <f t="shared" ca="1" si="291"/>
        <v>#DIV/0!</v>
      </c>
      <c r="K102" s="576" t="e">
        <f t="shared" ca="1" si="291"/>
        <v>#DIV/0!</v>
      </c>
      <c r="L102" s="576" t="e">
        <f t="shared" ca="1" si="291"/>
        <v>#DIV/0!</v>
      </c>
      <c r="M102" s="576" t="e">
        <f t="shared" ca="1" si="291"/>
        <v>#DIV/0!</v>
      </c>
      <c r="N102" s="576" t="e">
        <f t="shared" si="291"/>
        <v>#N/A</v>
      </c>
      <c r="O102" s="576" t="e">
        <f t="shared" si="291"/>
        <v>#N/A</v>
      </c>
      <c r="P102" s="576" t="e">
        <f t="shared" si="291"/>
        <v>#N/A</v>
      </c>
      <c r="Q102" s="576" t="e">
        <f t="shared" si="291"/>
        <v>#N/A</v>
      </c>
      <c r="R102" s="576" t="e">
        <f t="shared" si="291"/>
        <v>#N/A</v>
      </c>
      <c r="S102" s="576" t="e">
        <f t="shared" si="291"/>
        <v>#N/A</v>
      </c>
      <c r="T102" s="576" t="e">
        <f t="shared" si="291"/>
        <v>#N/A</v>
      </c>
      <c r="U102" s="576" t="e">
        <f t="shared" si="291"/>
        <v>#N/A</v>
      </c>
      <c r="V102" s="576" t="e">
        <f t="shared" si="291"/>
        <v>#N/A</v>
      </c>
      <c r="W102" s="576" t="e">
        <f t="shared" si="291"/>
        <v>#N/A</v>
      </c>
      <c r="X102" s="576" t="e">
        <f t="shared" si="291"/>
        <v>#N/A</v>
      </c>
      <c r="Y102" s="576" t="e">
        <f t="shared" si="291"/>
        <v>#N/A</v>
      </c>
      <c r="Z102" s="576" t="e">
        <f t="shared" si="291"/>
        <v>#N/A</v>
      </c>
      <c r="AA102" s="576" t="e">
        <f t="shared" si="291"/>
        <v>#N/A</v>
      </c>
      <c r="AB102" s="576" t="e">
        <f t="shared" si="291"/>
        <v>#N/A</v>
      </c>
      <c r="AC102" s="576" t="e">
        <f t="shared" si="291"/>
        <v>#N/A</v>
      </c>
      <c r="AD102" s="576" t="e">
        <f t="shared" si="291"/>
        <v>#N/A</v>
      </c>
      <c r="AE102" s="576" t="e">
        <f t="shared" si="291"/>
        <v>#N/A</v>
      </c>
      <c r="AF102" s="576" t="e">
        <f t="shared" si="291"/>
        <v>#N/A</v>
      </c>
      <c r="AG102" s="576" t="e">
        <f t="shared" si="291"/>
        <v>#N/A</v>
      </c>
      <c r="AH102" s="576" t="e">
        <f t="shared" si="291"/>
        <v>#N/A</v>
      </c>
      <c r="AI102" s="576" t="e">
        <f t="shared" si="291"/>
        <v>#N/A</v>
      </c>
      <c r="AJ102" s="576" t="e">
        <f t="shared" si="291"/>
        <v>#N/A</v>
      </c>
      <c r="AK102" s="576" t="e">
        <f t="shared" si="291"/>
        <v>#N/A</v>
      </c>
      <c r="AL102" s="576" t="e">
        <f t="shared" si="291"/>
        <v>#N/A</v>
      </c>
      <c r="AM102" s="576" t="e">
        <f t="shared" si="291"/>
        <v>#N/A</v>
      </c>
      <c r="AN102" s="576" t="e">
        <f t="shared" si="291"/>
        <v>#N/A</v>
      </c>
      <c r="AO102" s="576" t="e">
        <f t="shared" si="291"/>
        <v>#N/A</v>
      </c>
      <c r="AP102" s="576" t="e">
        <f t="shared" si="291"/>
        <v>#N/A</v>
      </c>
      <c r="AQ102" s="576" t="e">
        <f t="shared" si="291"/>
        <v>#N/A</v>
      </c>
      <c r="AR102" s="576" t="e">
        <f t="shared" si="291"/>
        <v>#N/A</v>
      </c>
      <c r="AS102" s="576" t="e">
        <f t="shared" si="291"/>
        <v>#N/A</v>
      </c>
      <c r="AT102" s="576" t="e">
        <f t="shared" si="291"/>
        <v>#N/A</v>
      </c>
      <c r="AU102" s="576" t="e">
        <f t="shared" si="291"/>
        <v>#N/A</v>
      </c>
      <c r="AV102" s="576" t="e">
        <f t="shared" si="291"/>
        <v>#N/A</v>
      </c>
      <c r="AW102" s="576" t="e">
        <f t="shared" si="291"/>
        <v>#N/A</v>
      </c>
      <c r="AX102" s="576" t="e">
        <f t="shared" si="291"/>
        <v>#N/A</v>
      </c>
      <c r="AY102" s="576" t="e">
        <f t="shared" si="291"/>
        <v>#N/A</v>
      </c>
      <c r="AZ102" s="576" t="e">
        <f t="shared" si="291"/>
        <v>#N/A</v>
      </c>
      <c r="BA102" s="576" t="e">
        <f t="shared" si="291"/>
        <v>#N/A</v>
      </c>
      <c r="BB102" s="576" t="e">
        <f t="shared" si="291"/>
        <v>#N/A</v>
      </c>
      <c r="BC102" s="576" t="e">
        <f t="shared" si="291"/>
        <v>#N/A</v>
      </c>
      <c r="BD102" s="576" t="e">
        <f t="shared" si="291"/>
        <v>#N/A</v>
      </c>
      <c r="BE102" s="576" t="e">
        <f t="shared" si="291"/>
        <v>#N/A</v>
      </c>
      <c r="BF102" s="576" t="e">
        <f t="shared" si="291"/>
        <v>#N/A</v>
      </c>
      <c r="BG102" s="576" t="e">
        <f t="shared" si="291"/>
        <v>#N/A</v>
      </c>
      <c r="BH102" s="576" t="e">
        <f t="shared" si="291"/>
        <v>#N/A</v>
      </c>
      <c r="BI102" s="576" t="e">
        <f t="shared" si="291"/>
        <v>#N/A</v>
      </c>
      <c r="BJ102" s="576" t="e">
        <f t="shared" si="291"/>
        <v>#N/A</v>
      </c>
      <c r="BK102" s="576" t="e">
        <f t="shared" si="291"/>
        <v>#N/A</v>
      </c>
      <c r="BL102" s="576" t="e">
        <f t="shared" si="291"/>
        <v>#N/A</v>
      </c>
      <c r="BM102" s="576" t="e">
        <f t="shared" si="291"/>
        <v>#N/A</v>
      </c>
      <c r="BN102" s="576" t="e">
        <f t="shared" si="291"/>
        <v>#N/A</v>
      </c>
      <c r="BO102" s="576" t="e">
        <f t="shared" si="291"/>
        <v>#N/A</v>
      </c>
      <c r="BP102" s="576" t="e">
        <f t="shared" si="291"/>
        <v>#N/A</v>
      </c>
      <c r="BQ102" s="576" t="e">
        <f t="shared" ref="BQ102:CL102" si="292">IF($B$6="ON",IF(BQ90=covid_start-1,BQ97,IF(BQ90=covid_recovery,BQ97,IF(BQ90&gt;=covid_start,IF(BQ90&lt;covid_recovery,BP102-(INDEX($E$90:$CL$97,8,MATCH(covid_start-1,$E$90:$CL$90,0))-INDEX($E$90:$CL$97,8,MATCH(covid_recovery,$E$90:$CL$90,0)))/(covid_recovery-covid_start+1),NA()),NA()))),NA())</f>
        <v>#N/A</v>
      </c>
      <c r="BR102" s="576" t="e">
        <f t="shared" si="292"/>
        <v>#N/A</v>
      </c>
      <c r="BS102" s="576" t="e">
        <f t="shared" si="292"/>
        <v>#N/A</v>
      </c>
      <c r="BT102" s="576" t="e">
        <f t="shared" si="292"/>
        <v>#N/A</v>
      </c>
      <c r="BU102" s="576" t="e">
        <f t="shared" si="292"/>
        <v>#N/A</v>
      </c>
      <c r="BV102" s="576" t="e">
        <f t="shared" si="292"/>
        <v>#N/A</v>
      </c>
      <c r="BW102" s="576" t="e">
        <f t="shared" si="292"/>
        <v>#N/A</v>
      </c>
      <c r="BX102" s="576" t="e">
        <f t="shared" si="292"/>
        <v>#N/A</v>
      </c>
      <c r="BY102" s="576" t="e">
        <f t="shared" si="292"/>
        <v>#N/A</v>
      </c>
      <c r="BZ102" s="576" t="e">
        <f t="shared" si="292"/>
        <v>#N/A</v>
      </c>
      <c r="CA102" s="576" t="e">
        <f t="shared" si="292"/>
        <v>#N/A</v>
      </c>
      <c r="CB102" s="576" t="e">
        <f t="shared" si="292"/>
        <v>#N/A</v>
      </c>
      <c r="CC102" s="576" t="e">
        <f t="shared" si="292"/>
        <v>#N/A</v>
      </c>
      <c r="CD102" s="576" t="e">
        <f t="shared" si="292"/>
        <v>#N/A</v>
      </c>
      <c r="CE102" s="576" t="e">
        <f t="shared" si="292"/>
        <v>#N/A</v>
      </c>
      <c r="CF102" s="576" t="e">
        <f t="shared" si="292"/>
        <v>#N/A</v>
      </c>
      <c r="CG102" s="576" t="e">
        <f t="shared" si="292"/>
        <v>#N/A</v>
      </c>
      <c r="CH102" s="576" t="e">
        <f t="shared" si="292"/>
        <v>#N/A</v>
      </c>
      <c r="CI102" s="576" t="e">
        <f t="shared" si="292"/>
        <v>#N/A</v>
      </c>
      <c r="CJ102" s="576" t="e">
        <f t="shared" si="292"/>
        <v>#N/A</v>
      </c>
      <c r="CK102" s="576" t="e">
        <f t="shared" si="292"/>
        <v>#N/A</v>
      </c>
      <c r="CL102" s="576" t="e">
        <f t="shared" si="292"/>
        <v>#N/A</v>
      </c>
      <c r="CN102" s="620" t="str">
        <f t="shared" si="284"/>
        <v/>
      </c>
      <c r="CO102" s="619" t="str">
        <f t="shared" si="285"/>
        <v/>
      </c>
      <c r="CP102" s="619" t="str">
        <f t="shared" si="286"/>
        <v/>
      </c>
    </row>
    <row r="103" spans="1:94">
      <c r="A103" s="577" t="s">
        <v>128</v>
      </c>
      <c r="B103" s="577"/>
      <c r="C103" s="577"/>
      <c r="D103" s="577"/>
      <c r="E103" s="578">
        <v>2015</v>
      </c>
      <c r="F103" s="579">
        <f>E103+1</f>
        <v>2016</v>
      </c>
      <c r="G103" s="579">
        <f t="shared" ref="G103:I103" si="293">F103+1</f>
        <v>2017</v>
      </c>
      <c r="H103" s="579">
        <f t="shared" si="293"/>
        <v>2018</v>
      </c>
      <c r="I103" s="579">
        <f t="shared" si="293"/>
        <v>2019</v>
      </c>
      <c r="J103" s="579">
        <f>E103+5</f>
        <v>2020</v>
      </c>
      <c r="K103" s="579">
        <f>J103+1</f>
        <v>2021</v>
      </c>
      <c r="L103" s="579">
        <f t="shared" ref="L103:N103" si="294">K103+1</f>
        <v>2022</v>
      </c>
      <c r="M103" s="579">
        <f t="shared" si="294"/>
        <v>2023</v>
      </c>
      <c r="N103" s="579">
        <f t="shared" si="294"/>
        <v>2024</v>
      </c>
      <c r="O103" s="579">
        <f>J103+5</f>
        <v>2025</v>
      </c>
      <c r="P103" s="579">
        <f>O103+1</f>
        <v>2026</v>
      </c>
      <c r="Q103" s="579">
        <f t="shared" ref="Q103:S103" si="295">P103+1</f>
        <v>2027</v>
      </c>
      <c r="R103" s="579">
        <f t="shared" si="295"/>
        <v>2028</v>
      </c>
      <c r="S103" s="579">
        <f t="shared" si="295"/>
        <v>2029</v>
      </c>
      <c r="T103" s="579">
        <f>O103+5</f>
        <v>2030</v>
      </c>
      <c r="U103" s="579">
        <f>T103+1</f>
        <v>2031</v>
      </c>
      <c r="V103" s="579">
        <f t="shared" ref="V103:X103" si="296">U103+1</f>
        <v>2032</v>
      </c>
      <c r="W103" s="579">
        <f t="shared" si="296"/>
        <v>2033</v>
      </c>
      <c r="X103" s="579">
        <f t="shared" si="296"/>
        <v>2034</v>
      </c>
      <c r="Y103" s="579">
        <f>T103+5</f>
        <v>2035</v>
      </c>
      <c r="Z103" s="579">
        <f>Y103+1</f>
        <v>2036</v>
      </c>
      <c r="AA103" s="579">
        <f t="shared" ref="AA103:AC103" si="297">Z103+1</f>
        <v>2037</v>
      </c>
      <c r="AB103" s="579">
        <f t="shared" si="297"/>
        <v>2038</v>
      </c>
      <c r="AC103" s="579">
        <f t="shared" si="297"/>
        <v>2039</v>
      </c>
      <c r="AD103" s="579">
        <f>Y103+5</f>
        <v>2040</v>
      </c>
      <c r="AE103" s="579">
        <f>AD103+1</f>
        <v>2041</v>
      </c>
      <c r="AF103" s="579">
        <f t="shared" ref="AF103:AH103" si="298">AE103+1</f>
        <v>2042</v>
      </c>
      <c r="AG103" s="579">
        <f t="shared" si="298"/>
        <v>2043</v>
      </c>
      <c r="AH103" s="579">
        <f t="shared" si="298"/>
        <v>2044</v>
      </c>
      <c r="AI103" s="579">
        <f>AD103+5</f>
        <v>2045</v>
      </c>
      <c r="AJ103" s="579">
        <f>AI103+1</f>
        <v>2046</v>
      </c>
      <c r="AK103" s="579">
        <f t="shared" ref="AK103:AM103" si="299">AJ103+1</f>
        <v>2047</v>
      </c>
      <c r="AL103" s="579">
        <f t="shared" si="299"/>
        <v>2048</v>
      </c>
      <c r="AM103" s="579">
        <f t="shared" si="299"/>
        <v>2049</v>
      </c>
      <c r="AN103" s="579">
        <f>AI103+5</f>
        <v>2050</v>
      </c>
      <c r="AO103" s="579">
        <f>AN103+1</f>
        <v>2051</v>
      </c>
      <c r="AP103" s="579">
        <f t="shared" ref="AP103:AR103" si="300">AO103+1</f>
        <v>2052</v>
      </c>
      <c r="AQ103" s="579">
        <f t="shared" si="300"/>
        <v>2053</v>
      </c>
      <c r="AR103" s="579">
        <f t="shared" si="300"/>
        <v>2054</v>
      </c>
      <c r="AS103" s="579">
        <f>AN103+5</f>
        <v>2055</v>
      </c>
      <c r="AT103" s="579">
        <f>AS103+1</f>
        <v>2056</v>
      </c>
      <c r="AU103" s="579">
        <f t="shared" ref="AU103:AW103" si="301">AT103+1</f>
        <v>2057</v>
      </c>
      <c r="AV103" s="579">
        <f t="shared" si="301"/>
        <v>2058</v>
      </c>
      <c r="AW103" s="579">
        <f t="shared" si="301"/>
        <v>2059</v>
      </c>
      <c r="AX103" s="579">
        <f>AS103+5</f>
        <v>2060</v>
      </c>
      <c r="AY103" s="579">
        <f>AX103+1</f>
        <v>2061</v>
      </c>
      <c r="AZ103" s="579">
        <f t="shared" ref="AZ103:BB103" si="302">AY103+1</f>
        <v>2062</v>
      </c>
      <c r="BA103" s="579">
        <f t="shared" si="302"/>
        <v>2063</v>
      </c>
      <c r="BB103" s="579">
        <f t="shared" si="302"/>
        <v>2064</v>
      </c>
      <c r="BC103" s="579">
        <f>AX103+5</f>
        <v>2065</v>
      </c>
      <c r="BD103" s="579">
        <f>BC103+1</f>
        <v>2066</v>
      </c>
      <c r="BE103" s="579">
        <f t="shared" ref="BE103:BG103" si="303">BD103+1</f>
        <v>2067</v>
      </c>
      <c r="BF103" s="579">
        <f t="shared" si="303"/>
        <v>2068</v>
      </c>
      <c r="BG103" s="579">
        <f t="shared" si="303"/>
        <v>2069</v>
      </c>
      <c r="BH103" s="579">
        <f>BC103+5</f>
        <v>2070</v>
      </c>
      <c r="BI103" s="579">
        <f>BH103+1</f>
        <v>2071</v>
      </c>
      <c r="BJ103" s="579">
        <f t="shared" ref="BJ103:BL103" si="304">BI103+1</f>
        <v>2072</v>
      </c>
      <c r="BK103" s="579">
        <f t="shared" si="304"/>
        <v>2073</v>
      </c>
      <c r="BL103" s="579">
        <f t="shared" si="304"/>
        <v>2074</v>
      </c>
      <c r="BM103" s="579">
        <f>BH103+5</f>
        <v>2075</v>
      </c>
      <c r="BN103" s="579">
        <f>BM103+1</f>
        <v>2076</v>
      </c>
      <c r="BO103" s="579">
        <f t="shared" ref="BO103:BQ103" si="305">BN103+1</f>
        <v>2077</v>
      </c>
      <c r="BP103" s="579">
        <f t="shared" si="305"/>
        <v>2078</v>
      </c>
      <c r="BQ103" s="579">
        <f t="shared" si="305"/>
        <v>2079</v>
      </c>
      <c r="BR103" s="579">
        <f>BM103+5</f>
        <v>2080</v>
      </c>
      <c r="BS103" s="579">
        <f>BR103+1</f>
        <v>2081</v>
      </c>
      <c r="BT103" s="579">
        <f t="shared" ref="BT103:BV103" si="306">BS103+1</f>
        <v>2082</v>
      </c>
      <c r="BU103" s="579">
        <f t="shared" si="306"/>
        <v>2083</v>
      </c>
      <c r="BV103" s="579">
        <f t="shared" si="306"/>
        <v>2084</v>
      </c>
      <c r="BW103" s="579">
        <f>BR103+5</f>
        <v>2085</v>
      </c>
      <c r="BX103" s="579">
        <f>BW103+1</f>
        <v>2086</v>
      </c>
      <c r="BY103" s="579">
        <f t="shared" ref="BY103:CA103" si="307">BX103+1</f>
        <v>2087</v>
      </c>
      <c r="BZ103" s="579">
        <f t="shared" si="307"/>
        <v>2088</v>
      </c>
      <c r="CA103" s="579">
        <f t="shared" si="307"/>
        <v>2089</v>
      </c>
      <c r="CB103" s="579">
        <f>BW103+5</f>
        <v>2090</v>
      </c>
      <c r="CC103" s="579">
        <f>CB103+1</f>
        <v>2091</v>
      </c>
      <c r="CD103" s="579">
        <f t="shared" ref="CD103:CF103" si="308">CC103+1</f>
        <v>2092</v>
      </c>
      <c r="CE103" s="579">
        <f t="shared" si="308"/>
        <v>2093</v>
      </c>
      <c r="CF103" s="579">
        <f t="shared" si="308"/>
        <v>2094</v>
      </c>
      <c r="CG103" s="579">
        <f>CB103+5</f>
        <v>2095</v>
      </c>
      <c r="CH103" s="579">
        <f>CG103+1</f>
        <v>2096</v>
      </c>
      <c r="CI103" s="579">
        <f t="shared" ref="CI103:CK103" si="309">CH103+1</f>
        <v>2097</v>
      </c>
      <c r="CJ103" s="579">
        <f t="shared" si="309"/>
        <v>2098</v>
      </c>
      <c r="CK103" s="579">
        <f t="shared" si="309"/>
        <v>2099</v>
      </c>
      <c r="CL103" s="579">
        <f>CG103+5</f>
        <v>2100</v>
      </c>
      <c r="CN103" s="579" t="s">
        <v>409</v>
      </c>
      <c r="CO103" s="579" t="s">
        <v>411</v>
      </c>
      <c r="CP103" s="579" t="s">
        <v>410</v>
      </c>
    </row>
    <row r="104" spans="1:94" outlineLevel="1">
      <c r="A104" s="530" t="s">
        <v>414</v>
      </c>
      <c r="B104" s="530" t="s">
        <v>120</v>
      </c>
      <c r="C104" s="530"/>
      <c r="D104" s="530"/>
      <c r="E104" s="542">
        <f t="shared" ref="E104:BP105" ca="1" si="310">E75+E59+E43+E27+E11</f>
        <v>949.99347881860001</v>
      </c>
      <c r="F104" s="531">
        <f t="shared" ca="1" si="310"/>
        <v>997.67848085539993</v>
      </c>
      <c r="G104" s="531">
        <f t="shared" ca="1" si="310"/>
        <v>1045.3634828922</v>
      </c>
      <c r="H104" s="531">
        <f t="shared" ca="1" si="310"/>
        <v>1093.0484849290001</v>
      </c>
      <c r="I104" s="531">
        <f t="shared" ca="1" si="310"/>
        <v>1113.2430097929002</v>
      </c>
      <c r="J104" s="531" t="e">
        <f t="shared" ca="1" si="310"/>
        <v>#N/A</v>
      </c>
      <c r="K104" s="531" t="e">
        <f t="shared" ca="1" si="310"/>
        <v>#N/A</v>
      </c>
      <c r="L104" s="531" t="e">
        <f t="shared" ca="1" si="310"/>
        <v>#N/A</v>
      </c>
      <c r="M104" s="531">
        <f t="shared" ca="1" si="310"/>
        <v>1095.5032268106504</v>
      </c>
      <c r="N104" s="531">
        <f t="shared" ca="1" si="310"/>
        <v>1091.0682810650885</v>
      </c>
      <c r="O104" s="531">
        <f t="shared" ca="1" si="310"/>
        <v>1086.6333353195259</v>
      </c>
      <c r="P104" s="531">
        <f t="shared" ca="1" si="310"/>
        <v>1082.1983895739638</v>
      </c>
      <c r="Q104" s="531">
        <f t="shared" ca="1" si="310"/>
        <v>1077.7634438284013</v>
      </c>
      <c r="R104" s="531">
        <f t="shared" ca="1" si="310"/>
        <v>1073.3284980828385</v>
      </c>
      <c r="S104" s="531">
        <f t="shared" ca="1" si="310"/>
        <v>1068.8935523372763</v>
      </c>
      <c r="T104" s="531">
        <f t="shared" ca="1" si="310"/>
        <v>1064.4586065917129</v>
      </c>
      <c r="U104" s="531">
        <f t="shared" ca="1" si="310"/>
        <v>1053.2736495455192</v>
      </c>
      <c r="V104" s="531">
        <f t="shared" ca="1" si="310"/>
        <v>1042.0886924993251</v>
      </c>
      <c r="W104" s="531">
        <f t="shared" ca="1" si="310"/>
        <v>1030.9037354531308</v>
      </c>
      <c r="X104" s="531">
        <f t="shared" ca="1" si="310"/>
        <v>1019.7187784069365</v>
      </c>
      <c r="Y104" s="531">
        <f t="shared" ca="1" si="310"/>
        <v>1008.5338213607428</v>
      </c>
      <c r="Z104" s="531">
        <f t="shared" ca="1" si="310"/>
        <v>997.3488643145489</v>
      </c>
      <c r="AA104" s="531">
        <f t="shared" ca="1" si="310"/>
        <v>986.16390726835448</v>
      </c>
      <c r="AB104" s="531">
        <f t="shared" ca="1" si="310"/>
        <v>974.97895022216062</v>
      </c>
      <c r="AC104" s="531">
        <f t="shared" ca="1" si="310"/>
        <v>963.79399317596665</v>
      </c>
      <c r="AD104" s="531">
        <f t="shared" ca="1" si="310"/>
        <v>952.60903612977233</v>
      </c>
      <c r="AE104" s="531">
        <f t="shared" ca="1" si="310"/>
        <v>948.11634058597531</v>
      </c>
      <c r="AF104" s="531">
        <f t="shared" ca="1" si="310"/>
        <v>943.62364504217817</v>
      </c>
      <c r="AG104" s="531">
        <f t="shared" ca="1" si="310"/>
        <v>939.13094949838103</v>
      </c>
      <c r="AH104" s="531">
        <f t="shared" ca="1" si="310"/>
        <v>934.638253954584</v>
      </c>
      <c r="AI104" s="531">
        <f t="shared" ca="1" si="310"/>
        <v>930.14555841078675</v>
      </c>
      <c r="AJ104" s="531">
        <f t="shared" ca="1" si="310"/>
        <v>925.65286286698972</v>
      </c>
      <c r="AK104" s="531">
        <f t="shared" ca="1" si="310"/>
        <v>921.16016732319235</v>
      </c>
      <c r="AL104" s="531">
        <f t="shared" ca="1" si="310"/>
        <v>916.66747177939567</v>
      </c>
      <c r="AM104" s="531">
        <f t="shared" ca="1" si="310"/>
        <v>912.17477623559842</v>
      </c>
      <c r="AN104" s="531">
        <f t="shared" ca="1" si="310"/>
        <v>907.68208069180162</v>
      </c>
      <c r="AO104" s="531">
        <f t="shared" ca="1" si="310"/>
        <v>0</v>
      </c>
      <c r="AP104" s="531">
        <f t="shared" ca="1" si="310"/>
        <v>0</v>
      </c>
      <c r="AQ104" s="531">
        <f t="shared" ca="1" si="310"/>
        <v>0</v>
      </c>
      <c r="AR104" s="531">
        <f t="shared" ca="1" si="310"/>
        <v>0</v>
      </c>
      <c r="AS104" s="531">
        <f t="shared" ca="1" si="310"/>
        <v>0</v>
      </c>
      <c r="AT104" s="531">
        <f t="shared" ca="1" si="310"/>
        <v>0</v>
      </c>
      <c r="AU104" s="531">
        <f t="shared" ca="1" si="310"/>
        <v>0</v>
      </c>
      <c r="AV104" s="531">
        <f t="shared" ca="1" si="310"/>
        <v>0</v>
      </c>
      <c r="AW104" s="531">
        <f t="shared" ca="1" si="310"/>
        <v>0</v>
      </c>
      <c r="AX104" s="531">
        <f t="shared" ca="1" si="310"/>
        <v>0</v>
      </c>
      <c r="AY104" s="531">
        <f t="shared" ca="1" si="310"/>
        <v>0</v>
      </c>
      <c r="AZ104" s="531">
        <f t="shared" ca="1" si="310"/>
        <v>0</v>
      </c>
      <c r="BA104" s="531">
        <f t="shared" ca="1" si="310"/>
        <v>0</v>
      </c>
      <c r="BB104" s="531">
        <f t="shared" ca="1" si="310"/>
        <v>0</v>
      </c>
      <c r="BC104" s="531">
        <f t="shared" ca="1" si="310"/>
        <v>0</v>
      </c>
      <c r="BD104" s="531">
        <f t="shared" ca="1" si="310"/>
        <v>0</v>
      </c>
      <c r="BE104" s="531">
        <f t="shared" ca="1" si="310"/>
        <v>0</v>
      </c>
      <c r="BF104" s="531">
        <f t="shared" ca="1" si="310"/>
        <v>0</v>
      </c>
      <c r="BG104" s="531">
        <f t="shared" ca="1" si="310"/>
        <v>0</v>
      </c>
      <c r="BH104" s="531">
        <f t="shared" ca="1" si="310"/>
        <v>0</v>
      </c>
      <c r="BI104" s="531">
        <f t="shared" ca="1" si="310"/>
        <v>0</v>
      </c>
      <c r="BJ104" s="531">
        <f t="shared" ca="1" si="310"/>
        <v>0</v>
      </c>
      <c r="BK104" s="531">
        <f t="shared" ca="1" si="310"/>
        <v>0</v>
      </c>
      <c r="BL104" s="531">
        <f t="shared" ca="1" si="310"/>
        <v>0</v>
      </c>
      <c r="BM104" s="531">
        <f t="shared" ca="1" si="310"/>
        <v>0</v>
      </c>
      <c r="BN104" s="531">
        <f t="shared" ca="1" si="310"/>
        <v>0</v>
      </c>
      <c r="BO104" s="531">
        <f t="shared" ca="1" si="310"/>
        <v>0</v>
      </c>
      <c r="BP104" s="531">
        <f t="shared" ca="1" si="310"/>
        <v>0</v>
      </c>
      <c r="BQ104" s="531">
        <f t="shared" ref="BQ104:CL105" ca="1" si="311">BQ75+BQ59+BQ43+BQ27+BQ11</f>
        <v>0</v>
      </c>
      <c r="BR104" s="531">
        <f t="shared" ca="1" si="311"/>
        <v>0</v>
      </c>
      <c r="BS104" s="531">
        <f t="shared" ca="1" si="311"/>
        <v>0</v>
      </c>
      <c r="BT104" s="531">
        <f t="shared" ca="1" si="311"/>
        <v>0</v>
      </c>
      <c r="BU104" s="531">
        <f t="shared" ca="1" si="311"/>
        <v>0</v>
      </c>
      <c r="BV104" s="531">
        <f t="shared" ca="1" si="311"/>
        <v>0</v>
      </c>
      <c r="BW104" s="531">
        <f t="shared" ca="1" si="311"/>
        <v>0</v>
      </c>
      <c r="BX104" s="531">
        <f t="shared" ca="1" si="311"/>
        <v>0</v>
      </c>
      <c r="BY104" s="531">
        <f t="shared" ca="1" si="311"/>
        <v>0</v>
      </c>
      <c r="BZ104" s="531">
        <f t="shared" ca="1" si="311"/>
        <v>0</v>
      </c>
      <c r="CA104" s="531">
        <f t="shared" ca="1" si="311"/>
        <v>0</v>
      </c>
      <c r="CB104" s="531">
        <f t="shared" ca="1" si="311"/>
        <v>0</v>
      </c>
      <c r="CC104" s="531">
        <f t="shared" ca="1" si="311"/>
        <v>0</v>
      </c>
      <c r="CD104" s="531">
        <f t="shared" ca="1" si="311"/>
        <v>0</v>
      </c>
      <c r="CE104" s="531">
        <f t="shared" ca="1" si="311"/>
        <v>0</v>
      </c>
      <c r="CF104" s="531">
        <f t="shared" ca="1" si="311"/>
        <v>0</v>
      </c>
      <c r="CG104" s="531">
        <f t="shared" ca="1" si="311"/>
        <v>0</v>
      </c>
      <c r="CH104" s="531">
        <f t="shared" ca="1" si="311"/>
        <v>0</v>
      </c>
      <c r="CI104" s="531">
        <f t="shared" ca="1" si="311"/>
        <v>0</v>
      </c>
      <c r="CJ104" s="531">
        <f t="shared" ca="1" si="311"/>
        <v>0</v>
      </c>
      <c r="CK104" s="531">
        <f t="shared" ca="1" si="311"/>
        <v>0</v>
      </c>
      <c r="CL104" s="531">
        <f t="shared" ca="1" si="311"/>
        <v>0</v>
      </c>
      <c r="CN104" s="626">
        <f ca="1">IFERROR((Y104/H104)^(1/17)-1,"")</f>
        <v>-4.7225168353633995E-3</v>
      </c>
      <c r="CO104" s="626">
        <f ca="1">IFERROR((AN104/Y104)^(1/15)-1,"")</f>
        <v>-6.9993037866263874E-3</v>
      </c>
      <c r="CP104" s="626">
        <f ca="1">IFERROR((AN104/H104)^(1/32)-1,"")</f>
        <v>-5.7904099783502305E-3</v>
      </c>
    </row>
    <row r="105" spans="1:94" outlineLevel="1">
      <c r="A105" s="533" t="s">
        <v>414</v>
      </c>
      <c r="B105" s="533" t="s">
        <v>121</v>
      </c>
      <c r="C105" s="533"/>
      <c r="D105" s="533"/>
      <c r="E105" s="580">
        <f t="shared" ca="1" si="310"/>
        <v>899.81883773080006</v>
      </c>
      <c r="F105" s="581">
        <f t="shared" ca="1" si="310"/>
        <v>964.17298304620022</v>
      </c>
      <c r="G105" s="581">
        <f t="shared" ca="1" si="310"/>
        <v>1028.5271283616003</v>
      </c>
      <c r="H105" s="581">
        <f t="shared" ca="1" si="310"/>
        <v>1092.8812736770001</v>
      </c>
      <c r="I105" s="581">
        <f t="shared" ca="1" si="310"/>
        <v>1124.000086751</v>
      </c>
      <c r="J105" s="581" t="e">
        <f t="shared" ca="1" si="310"/>
        <v>#N/A</v>
      </c>
      <c r="K105" s="581" t="e">
        <f t="shared" ca="1" si="310"/>
        <v>#N/A</v>
      </c>
      <c r="L105" s="581" t="e">
        <f t="shared" ca="1" si="310"/>
        <v>#N/A</v>
      </c>
      <c r="M105" s="581">
        <f t="shared" ca="1" si="310"/>
        <v>1270.1152075829791</v>
      </c>
      <c r="N105" s="581">
        <f t="shared" ca="1" si="310"/>
        <v>1306.6439877909738</v>
      </c>
      <c r="O105" s="581">
        <f t="shared" ca="1" si="310"/>
        <v>1343.1727679989683</v>
      </c>
      <c r="P105" s="581">
        <f t="shared" ca="1" si="310"/>
        <v>1379.7015482069633</v>
      </c>
      <c r="Q105" s="581">
        <f t="shared" ca="1" si="310"/>
        <v>1416.2303284149582</v>
      </c>
      <c r="R105" s="581">
        <f t="shared" ca="1" si="310"/>
        <v>1452.7591086229527</v>
      </c>
      <c r="S105" s="581">
        <f t="shared" ca="1" si="310"/>
        <v>1489.2878888309474</v>
      </c>
      <c r="T105" s="581">
        <f t="shared" ca="1" si="310"/>
        <v>1525.816669038943</v>
      </c>
      <c r="U105" s="581">
        <f t="shared" ca="1" si="310"/>
        <v>1572.1377357616541</v>
      </c>
      <c r="V105" s="581">
        <f t="shared" ca="1" si="310"/>
        <v>1618.4588024843652</v>
      </c>
      <c r="W105" s="581">
        <f t="shared" ca="1" si="310"/>
        <v>1664.7798692070758</v>
      </c>
      <c r="X105" s="581">
        <f t="shared" ca="1" si="310"/>
        <v>1711.1009359297866</v>
      </c>
      <c r="Y105" s="581">
        <f t="shared" ca="1" si="310"/>
        <v>1757.4220026524977</v>
      </c>
      <c r="Z105" s="581">
        <f t="shared" ca="1" si="310"/>
        <v>1803.7430693752087</v>
      </c>
      <c r="AA105" s="581">
        <f t="shared" ca="1" si="310"/>
        <v>1850.0641360979198</v>
      </c>
      <c r="AB105" s="581">
        <f t="shared" ca="1" si="310"/>
        <v>1896.3852028206309</v>
      </c>
      <c r="AC105" s="581">
        <f t="shared" ca="1" si="310"/>
        <v>1942.7062695433419</v>
      </c>
      <c r="AD105" s="581">
        <f t="shared" ca="1" si="310"/>
        <v>1989.0273362660523</v>
      </c>
      <c r="AE105" s="581">
        <f t="shared" ca="1" si="310"/>
        <v>2053.3553324952718</v>
      </c>
      <c r="AF105" s="581">
        <f t="shared" ca="1" si="310"/>
        <v>2117.6833287244917</v>
      </c>
      <c r="AG105" s="581">
        <f t="shared" ca="1" si="310"/>
        <v>2182.0113249537117</v>
      </c>
      <c r="AH105" s="581">
        <f t="shared" ca="1" si="310"/>
        <v>2246.3393211829311</v>
      </c>
      <c r="AI105" s="581">
        <f t="shared" ca="1" si="310"/>
        <v>2310.6673174121502</v>
      </c>
      <c r="AJ105" s="581">
        <f t="shared" ca="1" si="310"/>
        <v>2374.9953136413701</v>
      </c>
      <c r="AK105" s="581">
        <f t="shared" ca="1" si="310"/>
        <v>2439.32330987059</v>
      </c>
      <c r="AL105" s="581">
        <f t="shared" ca="1" si="310"/>
        <v>2503.6513060998091</v>
      </c>
      <c r="AM105" s="581">
        <f t="shared" ca="1" si="310"/>
        <v>2567.9793023290285</v>
      </c>
      <c r="AN105" s="581">
        <f t="shared" ca="1" si="310"/>
        <v>2632.3072985582498</v>
      </c>
      <c r="AO105" s="581">
        <f t="shared" ca="1" si="310"/>
        <v>0</v>
      </c>
      <c r="AP105" s="581">
        <f t="shared" ca="1" si="310"/>
        <v>0</v>
      </c>
      <c r="AQ105" s="581">
        <f t="shared" ca="1" si="310"/>
        <v>0</v>
      </c>
      <c r="AR105" s="581">
        <f t="shared" ca="1" si="310"/>
        <v>0</v>
      </c>
      <c r="AS105" s="581">
        <f t="shared" ca="1" si="310"/>
        <v>0</v>
      </c>
      <c r="AT105" s="581">
        <f t="shared" ca="1" si="310"/>
        <v>0</v>
      </c>
      <c r="AU105" s="581">
        <f t="shared" ca="1" si="310"/>
        <v>0</v>
      </c>
      <c r="AV105" s="581">
        <f t="shared" ca="1" si="310"/>
        <v>0</v>
      </c>
      <c r="AW105" s="581">
        <f t="shared" ca="1" si="310"/>
        <v>0</v>
      </c>
      <c r="AX105" s="581">
        <f t="shared" ca="1" si="310"/>
        <v>0</v>
      </c>
      <c r="AY105" s="581">
        <f t="shared" ca="1" si="310"/>
        <v>0</v>
      </c>
      <c r="AZ105" s="581">
        <f t="shared" ca="1" si="310"/>
        <v>0</v>
      </c>
      <c r="BA105" s="581">
        <f t="shared" ca="1" si="310"/>
        <v>0</v>
      </c>
      <c r="BB105" s="581">
        <f t="shared" ca="1" si="310"/>
        <v>0</v>
      </c>
      <c r="BC105" s="581">
        <f t="shared" ca="1" si="310"/>
        <v>0</v>
      </c>
      <c r="BD105" s="581">
        <f t="shared" ca="1" si="310"/>
        <v>0</v>
      </c>
      <c r="BE105" s="581">
        <f t="shared" ca="1" si="310"/>
        <v>0</v>
      </c>
      <c r="BF105" s="581">
        <f t="shared" ca="1" si="310"/>
        <v>0</v>
      </c>
      <c r="BG105" s="581">
        <f t="shared" ca="1" si="310"/>
        <v>0</v>
      </c>
      <c r="BH105" s="581">
        <f t="shared" ca="1" si="310"/>
        <v>0</v>
      </c>
      <c r="BI105" s="581">
        <f t="shared" ca="1" si="310"/>
        <v>0</v>
      </c>
      <c r="BJ105" s="581">
        <f t="shared" ca="1" si="310"/>
        <v>0</v>
      </c>
      <c r="BK105" s="581">
        <f t="shared" ca="1" si="310"/>
        <v>0</v>
      </c>
      <c r="BL105" s="581">
        <f t="shared" ca="1" si="310"/>
        <v>0</v>
      </c>
      <c r="BM105" s="581">
        <f t="shared" ca="1" si="310"/>
        <v>0</v>
      </c>
      <c r="BN105" s="581">
        <f t="shared" ca="1" si="310"/>
        <v>0</v>
      </c>
      <c r="BO105" s="581">
        <f t="shared" ca="1" si="310"/>
        <v>0</v>
      </c>
      <c r="BP105" s="581">
        <f t="shared" ca="1" si="310"/>
        <v>0</v>
      </c>
      <c r="BQ105" s="581">
        <f t="shared" ca="1" si="311"/>
        <v>0</v>
      </c>
      <c r="BR105" s="581">
        <f t="shared" ca="1" si="311"/>
        <v>0</v>
      </c>
      <c r="BS105" s="581">
        <f t="shared" ca="1" si="311"/>
        <v>0</v>
      </c>
      <c r="BT105" s="581">
        <f t="shared" ca="1" si="311"/>
        <v>0</v>
      </c>
      <c r="BU105" s="581">
        <f t="shared" ca="1" si="311"/>
        <v>0</v>
      </c>
      <c r="BV105" s="581">
        <f t="shared" ca="1" si="311"/>
        <v>0</v>
      </c>
      <c r="BW105" s="581">
        <f t="shared" ca="1" si="311"/>
        <v>0</v>
      </c>
      <c r="BX105" s="581">
        <f t="shared" ca="1" si="311"/>
        <v>0</v>
      </c>
      <c r="BY105" s="581">
        <f t="shared" ca="1" si="311"/>
        <v>0</v>
      </c>
      <c r="BZ105" s="581">
        <f t="shared" ca="1" si="311"/>
        <v>0</v>
      </c>
      <c r="CA105" s="581">
        <f t="shared" ca="1" si="311"/>
        <v>0</v>
      </c>
      <c r="CB105" s="581">
        <f t="shared" ca="1" si="311"/>
        <v>0</v>
      </c>
      <c r="CC105" s="581">
        <f t="shared" ca="1" si="311"/>
        <v>0</v>
      </c>
      <c r="CD105" s="581">
        <f t="shared" ca="1" si="311"/>
        <v>0</v>
      </c>
      <c r="CE105" s="581">
        <f t="shared" ca="1" si="311"/>
        <v>0</v>
      </c>
      <c r="CF105" s="581">
        <f t="shared" ca="1" si="311"/>
        <v>0</v>
      </c>
      <c r="CG105" s="581">
        <f t="shared" ca="1" si="311"/>
        <v>0</v>
      </c>
      <c r="CH105" s="581">
        <f t="shared" ca="1" si="311"/>
        <v>0</v>
      </c>
      <c r="CI105" s="581">
        <f t="shared" ca="1" si="311"/>
        <v>0</v>
      </c>
      <c r="CJ105" s="581">
        <f t="shared" ca="1" si="311"/>
        <v>0</v>
      </c>
      <c r="CK105" s="581">
        <f t="shared" ca="1" si="311"/>
        <v>0</v>
      </c>
      <c r="CL105" s="581">
        <f t="shared" ca="1" si="311"/>
        <v>0</v>
      </c>
      <c r="CN105" s="626">
        <f ca="1">IFERROR((Y105/H105)^(1/17)-1,"")</f>
        <v>2.8337030334933511E-2</v>
      </c>
      <c r="CO105" s="626">
        <f ca="1">IFERROR((AN105/Y105)^(1/15)-1,"")</f>
        <v>2.7300190311734696E-2</v>
      </c>
      <c r="CP105" s="626">
        <f ca="1">IFERROR((AN105/H105)^(1/32)-1,"")</f>
        <v>2.7850881340818034E-2</v>
      </c>
    </row>
    <row r="106" spans="1:94" outlineLevel="1">
      <c r="A106" s="530" t="s">
        <v>414</v>
      </c>
      <c r="B106" s="530" t="s">
        <v>122</v>
      </c>
      <c r="C106" s="530"/>
      <c r="D106" s="530"/>
      <c r="E106" s="542">
        <f t="shared" ref="E106:BP106" ca="1" si="312">(E104/E105)*1000</f>
        <v>1055.7608253838432</v>
      </c>
      <c r="F106" s="531">
        <f t="shared" ca="1" si="312"/>
        <v>1034.7505047313634</v>
      </c>
      <c r="G106" s="531">
        <f t="shared" ca="1" si="312"/>
        <v>1016.3693830394336</v>
      </c>
      <c r="H106" s="531">
        <f t="shared" ca="1" si="312"/>
        <v>1000.1530003816767</v>
      </c>
      <c r="I106" s="531">
        <f t="shared" ca="1" si="312"/>
        <v>990.42964757307641</v>
      </c>
      <c r="J106" s="531" t="e">
        <f t="shared" ca="1" si="312"/>
        <v>#N/A</v>
      </c>
      <c r="K106" s="531" t="e">
        <f t="shared" ca="1" si="312"/>
        <v>#N/A</v>
      </c>
      <c r="L106" s="531" t="e">
        <f t="shared" ca="1" si="312"/>
        <v>#N/A</v>
      </c>
      <c r="M106" s="531">
        <f t="shared" ca="1" si="312"/>
        <v>862.52272256103902</v>
      </c>
      <c r="N106" s="531">
        <f t="shared" ca="1" si="312"/>
        <v>835.01572827779978</v>
      </c>
      <c r="O106" s="531">
        <f t="shared" ca="1" si="312"/>
        <v>809.00488843171706</v>
      </c>
      <c r="P106" s="531">
        <f t="shared" ca="1" si="312"/>
        <v>784.3713671122357</v>
      </c>
      <c r="Q106" s="531">
        <f t="shared" ca="1" si="312"/>
        <v>761.00858893103327</v>
      </c>
      <c r="R106" s="531">
        <f t="shared" ca="1" si="312"/>
        <v>738.82069760363061</v>
      </c>
      <c r="S106" s="531">
        <f t="shared" ca="1" si="312"/>
        <v>717.72124137552089</v>
      </c>
      <c r="T106" s="531">
        <f t="shared" ca="1" si="312"/>
        <v>697.63204727746029</v>
      </c>
      <c r="U106" s="531">
        <f t="shared" ca="1" si="312"/>
        <v>669.96270465783289</v>
      </c>
      <c r="V106" s="531">
        <f t="shared" ca="1" si="312"/>
        <v>643.87718173591998</v>
      </c>
      <c r="W106" s="531">
        <f t="shared" ca="1" si="312"/>
        <v>619.24327325278375</v>
      </c>
      <c r="X106" s="531">
        <f t="shared" ca="1" si="312"/>
        <v>595.94308961840215</v>
      </c>
      <c r="Y106" s="531">
        <f t="shared" ca="1" si="312"/>
        <v>573.87117029293518</v>
      </c>
      <c r="Z106" s="531">
        <f t="shared" ca="1" si="312"/>
        <v>552.93288786413279</v>
      </c>
      <c r="AA106" s="531">
        <f t="shared" ca="1" si="312"/>
        <v>533.04309187265869</v>
      </c>
      <c r="AB106" s="531">
        <f t="shared" ca="1" si="312"/>
        <v>514.12495139278872</v>
      </c>
      <c r="AC106" s="531">
        <f t="shared" ca="1" si="312"/>
        <v>496.10896319520231</v>
      </c>
      <c r="AD106" s="531">
        <f t="shared" ca="1" si="312"/>
        <v>478.93209849899785</v>
      </c>
      <c r="AE106" s="531">
        <f t="shared" ca="1" si="312"/>
        <v>461.74002403851284</v>
      </c>
      <c r="AF106" s="531">
        <f t="shared" ca="1" si="312"/>
        <v>445.59242273986973</v>
      </c>
      <c r="AG106" s="531">
        <f t="shared" ca="1" si="312"/>
        <v>430.39691809037856</v>
      </c>
      <c r="AH106" s="531">
        <f t="shared" ca="1" si="312"/>
        <v>416.07171505255928</v>
      </c>
      <c r="AI106" s="531">
        <f t="shared" ca="1" si="312"/>
        <v>402.54412714527444</v>
      </c>
      <c r="AJ106" s="531">
        <f t="shared" ca="1" si="312"/>
        <v>389.74934289355213</v>
      </c>
      <c r="AK106" s="531">
        <f t="shared" ca="1" si="312"/>
        <v>377.6293874599433</v>
      </c>
      <c r="AL106" s="531">
        <f t="shared" ca="1" si="312"/>
        <v>366.13224435290124</v>
      </c>
      <c r="AM106" s="531">
        <f t="shared" ca="1" si="312"/>
        <v>355.21110914262493</v>
      </c>
      <c r="AN106" s="531">
        <f t="shared" ca="1" si="312"/>
        <v>344.8237526024987</v>
      </c>
      <c r="AO106" s="531" t="e">
        <f t="shared" ca="1" si="312"/>
        <v>#DIV/0!</v>
      </c>
      <c r="AP106" s="531" t="e">
        <f t="shared" ca="1" si="312"/>
        <v>#DIV/0!</v>
      </c>
      <c r="AQ106" s="531" t="e">
        <f t="shared" ca="1" si="312"/>
        <v>#DIV/0!</v>
      </c>
      <c r="AR106" s="531" t="e">
        <f t="shared" ca="1" si="312"/>
        <v>#DIV/0!</v>
      </c>
      <c r="AS106" s="531" t="e">
        <f t="shared" ca="1" si="312"/>
        <v>#DIV/0!</v>
      </c>
      <c r="AT106" s="531" t="e">
        <f t="shared" ca="1" si="312"/>
        <v>#DIV/0!</v>
      </c>
      <c r="AU106" s="531" t="e">
        <f t="shared" ca="1" si="312"/>
        <v>#DIV/0!</v>
      </c>
      <c r="AV106" s="531" t="e">
        <f t="shared" ca="1" si="312"/>
        <v>#DIV/0!</v>
      </c>
      <c r="AW106" s="531" t="e">
        <f t="shared" ca="1" si="312"/>
        <v>#DIV/0!</v>
      </c>
      <c r="AX106" s="531" t="e">
        <f t="shared" ca="1" si="312"/>
        <v>#DIV/0!</v>
      </c>
      <c r="AY106" s="531" t="e">
        <f t="shared" ca="1" si="312"/>
        <v>#DIV/0!</v>
      </c>
      <c r="AZ106" s="531" t="e">
        <f t="shared" ca="1" si="312"/>
        <v>#DIV/0!</v>
      </c>
      <c r="BA106" s="531" t="e">
        <f t="shared" ca="1" si="312"/>
        <v>#DIV/0!</v>
      </c>
      <c r="BB106" s="531" t="e">
        <f t="shared" ca="1" si="312"/>
        <v>#DIV/0!</v>
      </c>
      <c r="BC106" s="531" t="e">
        <f t="shared" ca="1" si="312"/>
        <v>#DIV/0!</v>
      </c>
      <c r="BD106" s="531" t="e">
        <f t="shared" ca="1" si="312"/>
        <v>#DIV/0!</v>
      </c>
      <c r="BE106" s="531" t="e">
        <f t="shared" ca="1" si="312"/>
        <v>#DIV/0!</v>
      </c>
      <c r="BF106" s="531" t="e">
        <f t="shared" ca="1" si="312"/>
        <v>#DIV/0!</v>
      </c>
      <c r="BG106" s="531" t="e">
        <f t="shared" ca="1" si="312"/>
        <v>#DIV/0!</v>
      </c>
      <c r="BH106" s="531" t="e">
        <f t="shared" ca="1" si="312"/>
        <v>#DIV/0!</v>
      </c>
      <c r="BI106" s="531" t="e">
        <f t="shared" ca="1" si="312"/>
        <v>#DIV/0!</v>
      </c>
      <c r="BJ106" s="531" t="e">
        <f t="shared" ca="1" si="312"/>
        <v>#DIV/0!</v>
      </c>
      <c r="BK106" s="531" t="e">
        <f t="shared" ca="1" si="312"/>
        <v>#DIV/0!</v>
      </c>
      <c r="BL106" s="531" t="e">
        <f t="shared" ca="1" si="312"/>
        <v>#DIV/0!</v>
      </c>
      <c r="BM106" s="531" t="e">
        <f t="shared" ca="1" si="312"/>
        <v>#DIV/0!</v>
      </c>
      <c r="BN106" s="531" t="e">
        <f t="shared" ca="1" si="312"/>
        <v>#DIV/0!</v>
      </c>
      <c r="BO106" s="531" t="e">
        <f t="shared" ca="1" si="312"/>
        <v>#DIV/0!</v>
      </c>
      <c r="BP106" s="531" t="e">
        <f t="shared" ca="1" si="312"/>
        <v>#DIV/0!</v>
      </c>
      <c r="BQ106" s="531" t="e">
        <f t="shared" ref="BQ106:CL106" ca="1" si="313">(BQ104/BQ105)*1000</f>
        <v>#DIV/0!</v>
      </c>
      <c r="BR106" s="531" t="e">
        <f t="shared" ca="1" si="313"/>
        <v>#DIV/0!</v>
      </c>
      <c r="BS106" s="531" t="e">
        <f t="shared" ca="1" si="313"/>
        <v>#DIV/0!</v>
      </c>
      <c r="BT106" s="531" t="e">
        <f t="shared" ca="1" si="313"/>
        <v>#DIV/0!</v>
      </c>
      <c r="BU106" s="531" t="e">
        <f t="shared" ca="1" si="313"/>
        <v>#DIV/0!</v>
      </c>
      <c r="BV106" s="531" t="e">
        <f t="shared" ca="1" si="313"/>
        <v>#DIV/0!</v>
      </c>
      <c r="BW106" s="531" t="e">
        <f t="shared" ca="1" si="313"/>
        <v>#DIV/0!</v>
      </c>
      <c r="BX106" s="531" t="e">
        <f t="shared" ca="1" si="313"/>
        <v>#DIV/0!</v>
      </c>
      <c r="BY106" s="531" t="e">
        <f t="shared" ca="1" si="313"/>
        <v>#DIV/0!</v>
      </c>
      <c r="BZ106" s="531" t="e">
        <f t="shared" ca="1" si="313"/>
        <v>#DIV/0!</v>
      </c>
      <c r="CA106" s="531" t="e">
        <f t="shared" ca="1" si="313"/>
        <v>#DIV/0!</v>
      </c>
      <c r="CB106" s="531" t="e">
        <f t="shared" ca="1" si="313"/>
        <v>#DIV/0!</v>
      </c>
      <c r="CC106" s="531" t="e">
        <f t="shared" ca="1" si="313"/>
        <v>#DIV/0!</v>
      </c>
      <c r="CD106" s="531" t="e">
        <f t="shared" ca="1" si="313"/>
        <v>#DIV/0!</v>
      </c>
      <c r="CE106" s="531" t="e">
        <f t="shared" ca="1" si="313"/>
        <v>#DIV/0!</v>
      </c>
      <c r="CF106" s="531" t="e">
        <f t="shared" ca="1" si="313"/>
        <v>#DIV/0!</v>
      </c>
      <c r="CG106" s="531" t="e">
        <f t="shared" ca="1" si="313"/>
        <v>#DIV/0!</v>
      </c>
      <c r="CH106" s="531" t="e">
        <f t="shared" ca="1" si="313"/>
        <v>#DIV/0!</v>
      </c>
      <c r="CI106" s="531" t="e">
        <f t="shared" ca="1" si="313"/>
        <v>#DIV/0!</v>
      </c>
      <c r="CJ106" s="531" t="e">
        <f t="shared" ca="1" si="313"/>
        <v>#DIV/0!</v>
      </c>
      <c r="CK106" s="531" t="e">
        <f t="shared" ca="1" si="313"/>
        <v>#DIV/0!</v>
      </c>
      <c r="CL106" s="531" t="e">
        <f t="shared" ca="1" si="313"/>
        <v>#DIV/0!</v>
      </c>
      <c r="CN106" s="613">
        <f ca="1">IFERROR((Y106/H106)^(1/17)-1,"")</f>
        <v>-3.2148552658391782E-2</v>
      </c>
      <c r="CO106" s="613">
        <f ca="1">IFERROR((AN106/Y106)^(1/15)-1,"")</f>
        <v>-3.3387995467958453E-2</v>
      </c>
      <c r="CP106" s="613">
        <f ca="1">IFERROR((AN106/H106)^(1/32)-1,"")</f>
        <v>-3.2729739235407007E-2</v>
      </c>
    </row>
    <row r="107" spans="1:94" outlineLevel="1">
      <c r="A107" s="535" t="s">
        <v>414</v>
      </c>
      <c r="B107" s="535" t="s">
        <v>427</v>
      </c>
      <c r="C107" s="535"/>
      <c r="D107" s="535"/>
      <c r="E107" s="546">
        <f ca="1">IF($B$6="ON", IF(E110&gt;=covid_start, IF(E110&lt;covid_recovery,NA(),SUMIFS(INDIRECT("Data_main"&amp;"["&amp;E$8&amp;"]"),Data_main[Data],$A113, Data_main[Segment],"Total", Data_main[Scenario],$B$3)),SUMIFS(INDIRECT("Data_main"&amp;"["&amp;E$8&amp;"]"),Data_main[Data],$A113, Data_main[Segment],"Total", Data_main[Scenario],$B$3)),SUMIFS(INDIRECT("Data_main"&amp;"["&amp;E$8&amp;"]"),Data_main[Data],$A113, Data_main[Segment],"Total", Data_main[Scenario],$B$3))</f>
        <v>1055.7608253838434</v>
      </c>
      <c r="F107" s="541">
        <f ca="1">IF($B$6="ON", IF(F110&gt;=covid_start, IF(F110&lt;covid_recovery,NA(),SUMIFS(INDIRECT("Data_main"&amp;"["&amp;F$8&amp;"]"),Data_main[Data],$A113, Data_main[Segment],"Total", Data_main[Scenario],$B$3)),SUMIFS(INDIRECT("Data_main"&amp;"["&amp;F$8&amp;"]"),Data_main[Data],$A113, Data_main[Segment],"Total", Data_main[Scenario],$B$3)),SUMIFS(INDIRECT("Data_main"&amp;"["&amp;F$8&amp;"]"),Data_main[Data],$A113, Data_main[Segment],"Total", Data_main[Scenario],$B$3))</f>
        <v>1034.7505047313637</v>
      </c>
      <c r="G107" s="541">
        <f ca="1">IF($B$6="ON", IF(G110&gt;=covid_start, IF(G110&lt;covid_recovery,NA(),SUMIFS(INDIRECT("Data_main"&amp;"["&amp;G$8&amp;"]"),Data_main[Data],$A113, Data_main[Segment],"Total", Data_main[Scenario],$B$3)),SUMIFS(INDIRECT("Data_main"&amp;"["&amp;G$8&amp;"]"),Data_main[Data],$A113, Data_main[Segment],"Total", Data_main[Scenario],$B$3)),SUMIFS(INDIRECT("Data_main"&amp;"["&amp;G$8&amp;"]"),Data_main[Data],$A113, Data_main[Segment],"Total", Data_main[Scenario],$B$3))</f>
        <v>1016.3693830394336</v>
      </c>
      <c r="H107" s="541">
        <f ca="1">IF($B$6="ON", IF(H110&gt;=covid_start, IF(H110&lt;covid_recovery,NA(),SUMIFS(INDIRECT("Data_main"&amp;"["&amp;H$8&amp;"]"),Data_main[Data],$A113, Data_main[Segment],"Total", Data_main[Scenario],$B$3)),SUMIFS(INDIRECT("Data_main"&amp;"["&amp;H$8&amp;"]"),Data_main[Data],$A113, Data_main[Segment],"Total", Data_main[Scenario],$B$3)),SUMIFS(INDIRECT("Data_main"&amp;"["&amp;H$8&amp;"]"),Data_main[Data],$A113, Data_main[Segment],"Total", Data_main[Scenario],$B$3))</f>
        <v>1000.1530003816767</v>
      </c>
      <c r="I107" s="541">
        <f ca="1">IF($B$6="ON", IF(I110&gt;=covid_start, IF(I110&lt;covid_recovery,NA(),SUMIFS(INDIRECT("Data_main"&amp;"["&amp;I$8&amp;"]"),Data_main[Data],$A113, Data_main[Segment],"Total", Data_main[Scenario],$B$3)),SUMIFS(INDIRECT("Data_main"&amp;"["&amp;I$8&amp;"]"),Data_main[Data],$A113, Data_main[Segment],"Total", Data_main[Scenario],$B$3)),SUMIFS(INDIRECT("Data_main"&amp;"["&amp;I$8&amp;"]"),Data_main[Data],$A113, Data_main[Segment],"Total", Data_main[Scenario],$B$3))</f>
        <v>990.42964757307641</v>
      </c>
      <c r="J107" s="541" t="e">
        <f ca="1">IF($B$6="ON", IF(J110&gt;=covid_start, IF(J110&lt;covid_recovery,NA(),SUMIFS(INDIRECT("Data_main"&amp;"["&amp;J$8&amp;"]"),Data_main[Data],$A113, Data_main[Segment],"Total", Data_main[Scenario],$B$3)),SUMIFS(INDIRECT("Data_main"&amp;"["&amp;J$8&amp;"]"),Data_main[Data],$A113, Data_main[Segment],"Total", Data_main[Scenario],$B$3)),SUMIFS(INDIRECT("Data_main"&amp;"["&amp;J$8&amp;"]"),Data_main[Data],$A113, Data_main[Segment],"Total", Data_main[Scenario],$B$3))</f>
        <v>#N/A</v>
      </c>
      <c r="K107" s="541" t="e">
        <f ca="1">IF($B$6="ON", IF(K110&gt;=covid_start, IF(K110&lt;covid_recovery,NA(),SUMIFS(INDIRECT("Data_main"&amp;"["&amp;K$8&amp;"]"),Data_main[Data],$A113, Data_main[Segment],"Total", Data_main[Scenario],$B$3)),SUMIFS(INDIRECT("Data_main"&amp;"["&amp;K$8&amp;"]"),Data_main[Data],$A113, Data_main[Segment],"Total", Data_main[Scenario],$B$3)),SUMIFS(INDIRECT("Data_main"&amp;"["&amp;K$8&amp;"]"),Data_main[Data],$A113, Data_main[Segment],"Total", Data_main[Scenario],$B$3))</f>
        <v>#N/A</v>
      </c>
      <c r="L107" s="541" t="e">
        <f ca="1">IF($B$6="ON", IF(L110&gt;=covid_start, IF(L110&lt;covid_recovery,NA(),SUMIFS(INDIRECT("Data_main"&amp;"["&amp;L$8&amp;"]"),Data_main[Data],$A113, Data_main[Segment],"Total", Data_main[Scenario],$B$3)),SUMIFS(INDIRECT("Data_main"&amp;"["&amp;L$8&amp;"]"),Data_main[Data],$A113, Data_main[Segment],"Total", Data_main[Scenario],$B$3)),SUMIFS(INDIRECT("Data_main"&amp;"["&amp;L$8&amp;"]"),Data_main[Data],$A113, Data_main[Segment],"Total", Data_main[Scenario],$B$3))</f>
        <v>#N/A</v>
      </c>
      <c r="M107" s="541">
        <f ca="1">IF($B$6="ON", IF(M110&gt;=covid_start, IF(M110&lt;covid_recovery,NA(),SUMIFS(INDIRECT("Data_main"&amp;"["&amp;M$8&amp;"]"),Data_main[Data],$A113, Data_main[Segment],"Total", Data_main[Scenario],$B$3)),SUMIFS(INDIRECT("Data_main"&amp;"["&amp;M$8&amp;"]"),Data_main[Data],$A113, Data_main[Segment],"Total", Data_main[Scenario],$B$3)),SUMIFS(INDIRECT("Data_main"&amp;"["&amp;M$8&amp;"]"),Data_main[Data],$A113, Data_main[Segment],"Total", Data_main[Scenario],$B$3))</f>
        <v>862.52272256103902</v>
      </c>
      <c r="N107" s="541">
        <f ca="1">IF($B$6="ON", IF(N110&gt;=covid_start, IF(N110&lt;covid_recovery,NA(),SUMIFS(INDIRECT("Data_main"&amp;"["&amp;N$8&amp;"]"),Data_main[Data],$A113, Data_main[Segment],"Total", Data_main[Scenario],$B$3)),SUMIFS(INDIRECT("Data_main"&amp;"["&amp;N$8&amp;"]"),Data_main[Data],$A113, Data_main[Segment],"Total", Data_main[Scenario],$B$3)),SUMIFS(INDIRECT("Data_main"&amp;"["&amp;N$8&amp;"]"),Data_main[Data],$A113, Data_main[Segment],"Total", Data_main[Scenario],$B$3))</f>
        <v>835.01572827779955</v>
      </c>
      <c r="O107" s="541">
        <f ca="1">IF($B$6="ON", IF(O110&gt;=covid_start, IF(O110&lt;covid_recovery,NA(),SUMIFS(INDIRECT("Data_main"&amp;"["&amp;O$8&amp;"]"),Data_main[Data],$A113, Data_main[Segment],"Total", Data_main[Scenario],$B$3)),SUMIFS(INDIRECT("Data_main"&amp;"["&amp;O$8&amp;"]"),Data_main[Data],$A113, Data_main[Segment],"Total", Data_main[Scenario],$B$3)),SUMIFS(INDIRECT("Data_main"&amp;"["&amp;O$8&amp;"]"),Data_main[Data],$A113, Data_main[Segment],"Total", Data_main[Scenario],$B$3))</f>
        <v>809.00488843171695</v>
      </c>
      <c r="P107" s="541">
        <f ca="1">IF($B$6="ON", IF(P110&gt;=covid_start, IF(P110&lt;covid_recovery,NA(),SUMIFS(INDIRECT("Data_main"&amp;"["&amp;P$8&amp;"]"),Data_main[Data],$A113, Data_main[Segment],"Total", Data_main[Scenario],$B$3)),SUMIFS(INDIRECT("Data_main"&amp;"["&amp;P$8&amp;"]"),Data_main[Data],$A113, Data_main[Segment],"Total", Data_main[Scenario],$B$3)),SUMIFS(INDIRECT("Data_main"&amp;"["&amp;P$8&amp;"]"),Data_main[Data],$A113, Data_main[Segment],"Total", Data_main[Scenario],$B$3))</f>
        <v>784.37136711223548</v>
      </c>
      <c r="Q107" s="541">
        <f ca="1">IF($B$6="ON", IF(Q110&gt;=covid_start, IF(Q110&lt;covid_recovery,NA(),SUMIFS(INDIRECT("Data_main"&amp;"["&amp;Q$8&amp;"]"),Data_main[Data],$A113, Data_main[Segment],"Total", Data_main[Scenario],$B$3)),SUMIFS(INDIRECT("Data_main"&amp;"["&amp;Q$8&amp;"]"),Data_main[Data],$A113, Data_main[Segment],"Total", Data_main[Scenario],$B$3)),SUMIFS(INDIRECT("Data_main"&amp;"["&amp;Q$8&amp;"]"),Data_main[Data],$A113, Data_main[Segment],"Total", Data_main[Scenario],$B$3))</f>
        <v>761.00858893103339</v>
      </c>
      <c r="R107" s="541">
        <f ca="1">IF($B$6="ON", IF(R110&gt;=covid_start, IF(R110&lt;covid_recovery,NA(),SUMIFS(INDIRECT("Data_main"&amp;"["&amp;R$8&amp;"]"),Data_main[Data],$A113, Data_main[Segment],"Total", Data_main[Scenario],$B$3)),SUMIFS(INDIRECT("Data_main"&amp;"["&amp;R$8&amp;"]"),Data_main[Data],$A113, Data_main[Segment],"Total", Data_main[Scenario],$B$3)),SUMIFS(INDIRECT("Data_main"&amp;"["&amp;R$8&amp;"]"),Data_main[Data],$A113, Data_main[Segment],"Total", Data_main[Scenario],$B$3))</f>
        <v>738.82069760363083</v>
      </c>
      <c r="S107" s="541">
        <f ca="1">IF($B$6="ON", IF(S110&gt;=covid_start, IF(S110&lt;covid_recovery,NA(),SUMIFS(INDIRECT("Data_main"&amp;"["&amp;S$8&amp;"]"),Data_main[Data],$A113, Data_main[Segment],"Total", Data_main[Scenario],$B$3)),SUMIFS(INDIRECT("Data_main"&amp;"["&amp;S$8&amp;"]"),Data_main[Data],$A113, Data_main[Segment],"Total", Data_main[Scenario],$B$3)),SUMIFS(INDIRECT("Data_main"&amp;"["&amp;S$8&amp;"]"),Data_main[Data],$A113, Data_main[Segment],"Total", Data_main[Scenario],$B$3))</f>
        <v>717.72124137552078</v>
      </c>
      <c r="T107" s="541">
        <f ca="1">IF($B$6="ON", IF(T110&gt;=covid_start, IF(T110&lt;covid_recovery,NA(),SUMIFS(INDIRECT("Data_main"&amp;"["&amp;T$8&amp;"]"),Data_main[Data],$A113, Data_main[Segment],"Total", Data_main[Scenario],$B$3)),SUMIFS(INDIRECT("Data_main"&amp;"["&amp;T$8&amp;"]"),Data_main[Data],$A113, Data_main[Segment],"Total", Data_main[Scenario],$B$3)),SUMIFS(INDIRECT("Data_main"&amp;"["&amp;T$8&amp;"]"),Data_main[Data],$A113, Data_main[Segment],"Total", Data_main[Scenario],$B$3))</f>
        <v>697.6320472774604</v>
      </c>
      <c r="U107" s="541">
        <f ca="1">IF($B$6="ON", IF(U110&gt;=covid_start, IF(U110&lt;covid_recovery,NA(),SUMIFS(INDIRECT("Data_main"&amp;"["&amp;U$8&amp;"]"),Data_main[Data],$A113, Data_main[Segment],"Total", Data_main[Scenario],$B$3)),SUMIFS(INDIRECT("Data_main"&amp;"["&amp;U$8&amp;"]"),Data_main[Data],$A113, Data_main[Segment],"Total", Data_main[Scenario],$B$3)),SUMIFS(INDIRECT("Data_main"&amp;"["&amp;U$8&amp;"]"),Data_main[Data],$A113, Data_main[Segment],"Total", Data_main[Scenario],$B$3))</f>
        <v>669.962704657833</v>
      </c>
      <c r="V107" s="541">
        <f ca="1">IF($B$6="ON", IF(V110&gt;=covid_start, IF(V110&lt;covid_recovery,NA(),SUMIFS(INDIRECT("Data_main"&amp;"["&amp;V$8&amp;"]"),Data_main[Data],$A113, Data_main[Segment],"Total", Data_main[Scenario],$B$3)),SUMIFS(INDIRECT("Data_main"&amp;"["&amp;V$8&amp;"]"),Data_main[Data],$A113, Data_main[Segment],"Total", Data_main[Scenario],$B$3)),SUMIFS(INDIRECT("Data_main"&amp;"["&amp;V$8&amp;"]"),Data_main[Data],$A113, Data_main[Segment],"Total", Data_main[Scenario],$B$3))</f>
        <v>643.87718173591998</v>
      </c>
      <c r="W107" s="541">
        <f ca="1">IF($B$6="ON", IF(W110&gt;=covid_start, IF(W110&lt;covid_recovery,NA(),SUMIFS(INDIRECT("Data_main"&amp;"["&amp;W$8&amp;"]"),Data_main[Data],$A113, Data_main[Segment],"Total", Data_main[Scenario],$B$3)),SUMIFS(INDIRECT("Data_main"&amp;"["&amp;W$8&amp;"]"),Data_main[Data],$A113, Data_main[Segment],"Total", Data_main[Scenario],$B$3)),SUMIFS(INDIRECT("Data_main"&amp;"["&amp;W$8&amp;"]"),Data_main[Data],$A113, Data_main[Segment],"Total", Data_main[Scenario],$B$3))</f>
        <v>619.24327325278375</v>
      </c>
      <c r="X107" s="541">
        <f ca="1">IF($B$6="ON", IF(X110&gt;=covid_start, IF(X110&lt;covid_recovery,NA(),SUMIFS(INDIRECT("Data_main"&amp;"["&amp;X$8&amp;"]"),Data_main[Data],$A113, Data_main[Segment],"Total", Data_main[Scenario],$B$3)),SUMIFS(INDIRECT("Data_main"&amp;"["&amp;X$8&amp;"]"),Data_main[Data],$A113, Data_main[Segment],"Total", Data_main[Scenario],$B$3)),SUMIFS(INDIRECT("Data_main"&amp;"["&amp;X$8&amp;"]"),Data_main[Data],$A113, Data_main[Segment],"Total", Data_main[Scenario],$B$3))</f>
        <v>595.94308961840204</v>
      </c>
      <c r="Y107" s="541">
        <f ca="1">IF($B$6="ON", IF(Y110&gt;=covid_start, IF(Y110&lt;covid_recovery,NA(),SUMIFS(INDIRECT("Data_main"&amp;"["&amp;Y$8&amp;"]"),Data_main[Data],$A113, Data_main[Segment],"Total", Data_main[Scenario],$B$3)),SUMIFS(INDIRECT("Data_main"&amp;"["&amp;Y$8&amp;"]"),Data_main[Data],$A113, Data_main[Segment],"Total", Data_main[Scenario],$B$3)),SUMIFS(INDIRECT("Data_main"&amp;"["&amp;Y$8&amp;"]"),Data_main[Data],$A113, Data_main[Segment],"Total", Data_main[Scenario],$B$3))</f>
        <v>573.87117029293506</v>
      </c>
      <c r="Z107" s="541">
        <f ca="1">IF($B$6="ON", IF(Z110&gt;=covid_start, IF(Z110&lt;covid_recovery,NA(),SUMIFS(INDIRECT("Data_main"&amp;"["&amp;Z$8&amp;"]"),Data_main[Data],$A113, Data_main[Segment],"Total", Data_main[Scenario],$B$3)),SUMIFS(INDIRECT("Data_main"&amp;"["&amp;Z$8&amp;"]"),Data_main[Data],$A113, Data_main[Segment],"Total", Data_main[Scenario],$B$3)),SUMIFS(INDIRECT("Data_main"&amp;"["&amp;Z$8&amp;"]"),Data_main[Data],$A113, Data_main[Segment],"Total", Data_main[Scenario],$B$3))</f>
        <v>552.93288786413268</v>
      </c>
      <c r="AA107" s="541">
        <f ca="1">IF($B$6="ON", IF(AA110&gt;=covid_start, IF(AA110&lt;covid_recovery,NA(),SUMIFS(INDIRECT("Data_main"&amp;"["&amp;AA$8&amp;"]"),Data_main[Data],$A113, Data_main[Segment],"Total", Data_main[Scenario],$B$3)),SUMIFS(INDIRECT("Data_main"&amp;"["&amp;AA$8&amp;"]"),Data_main[Data],$A113, Data_main[Segment],"Total", Data_main[Scenario],$B$3)),SUMIFS(INDIRECT("Data_main"&amp;"["&amp;AA$8&amp;"]"),Data_main[Data],$A113, Data_main[Segment],"Total", Data_main[Scenario],$B$3))</f>
        <v>533.04309187265869</v>
      </c>
      <c r="AB107" s="541">
        <f ca="1">IF($B$6="ON", IF(AB110&gt;=covid_start, IF(AB110&lt;covid_recovery,NA(),SUMIFS(INDIRECT("Data_main"&amp;"["&amp;AB$8&amp;"]"),Data_main[Data],$A113, Data_main[Segment],"Total", Data_main[Scenario],$B$3)),SUMIFS(INDIRECT("Data_main"&amp;"["&amp;AB$8&amp;"]"),Data_main[Data],$A113, Data_main[Segment],"Total", Data_main[Scenario],$B$3)),SUMIFS(INDIRECT("Data_main"&amp;"["&amp;AB$8&amp;"]"),Data_main[Data],$A113, Data_main[Segment],"Total", Data_main[Scenario],$B$3))</f>
        <v>514.12495139278872</v>
      </c>
      <c r="AC107" s="541">
        <f ca="1">IF($B$6="ON", IF(AC110&gt;=covid_start, IF(AC110&lt;covid_recovery,NA(),SUMIFS(INDIRECT("Data_main"&amp;"["&amp;AC$8&amp;"]"),Data_main[Data],$A113, Data_main[Segment],"Total", Data_main[Scenario],$B$3)),SUMIFS(INDIRECT("Data_main"&amp;"["&amp;AC$8&amp;"]"),Data_main[Data],$A113, Data_main[Segment],"Total", Data_main[Scenario],$B$3)),SUMIFS(INDIRECT("Data_main"&amp;"["&amp;AC$8&amp;"]"),Data_main[Data],$A113, Data_main[Segment],"Total", Data_main[Scenario],$B$3))</f>
        <v>496.10896319520225</v>
      </c>
      <c r="AD107" s="541">
        <f ca="1">IF($B$6="ON", IF(AD110&gt;=covid_start, IF(AD110&lt;covid_recovery,NA(),SUMIFS(INDIRECT("Data_main"&amp;"["&amp;AD$8&amp;"]"),Data_main[Data],$A113, Data_main[Segment],"Total", Data_main[Scenario],$B$3)),SUMIFS(INDIRECT("Data_main"&amp;"["&amp;AD$8&amp;"]"),Data_main[Data],$A113, Data_main[Segment],"Total", Data_main[Scenario],$B$3)),SUMIFS(INDIRECT("Data_main"&amp;"["&amp;AD$8&amp;"]"),Data_main[Data],$A113, Data_main[Segment],"Total", Data_main[Scenario],$B$3))</f>
        <v>478.9320984989979</v>
      </c>
      <c r="AE107" s="541">
        <f ca="1">IF($B$6="ON", IF(AE110&gt;=covid_start, IF(AE110&lt;covid_recovery,NA(),SUMIFS(INDIRECT("Data_main"&amp;"["&amp;AE$8&amp;"]"),Data_main[Data],$A113, Data_main[Segment],"Total", Data_main[Scenario],$B$3)),SUMIFS(INDIRECT("Data_main"&amp;"["&amp;AE$8&amp;"]"),Data_main[Data],$A113, Data_main[Segment],"Total", Data_main[Scenario],$B$3)),SUMIFS(INDIRECT("Data_main"&amp;"["&amp;AE$8&amp;"]"),Data_main[Data],$A113, Data_main[Segment],"Total", Data_main[Scenario],$B$3))</f>
        <v>461.74002403851284</v>
      </c>
      <c r="AF107" s="541">
        <f ca="1">IF($B$6="ON", IF(AF110&gt;=covid_start, IF(AF110&lt;covid_recovery,NA(),SUMIFS(INDIRECT("Data_main"&amp;"["&amp;AF$8&amp;"]"),Data_main[Data],$A113, Data_main[Segment],"Total", Data_main[Scenario],$B$3)),SUMIFS(INDIRECT("Data_main"&amp;"["&amp;AF$8&amp;"]"),Data_main[Data],$A113, Data_main[Segment],"Total", Data_main[Scenario],$B$3)),SUMIFS(INDIRECT("Data_main"&amp;"["&amp;AF$8&amp;"]"),Data_main[Data],$A113, Data_main[Segment],"Total", Data_main[Scenario],$B$3))</f>
        <v>445.59242273986973</v>
      </c>
      <c r="AG107" s="541">
        <f ca="1">IF($B$6="ON", IF(AG110&gt;=covid_start, IF(AG110&lt;covid_recovery,NA(),SUMIFS(INDIRECT("Data_main"&amp;"["&amp;AG$8&amp;"]"),Data_main[Data],$A113, Data_main[Segment],"Total", Data_main[Scenario],$B$3)),SUMIFS(INDIRECT("Data_main"&amp;"["&amp;AG$8&amp;"]"),Data_main[Data],$A113, Data_main[Segment],"Total", Data_main[Scenario],$B$3)),SUMIFS(INDIRECT("Data_main"&amp;"["&amp;AG$8&amp;"]"),Data_main[Data],$A113, Data_main[Segment],"Total", Data_main[Scenario],$B$3))</f>
        <v>430.39691809037856</v>
      </c>
      <c r="AH107" s="541">
        <f ca="1">IF($B$6="ON", IF(AH110&gt;=covid_start, IF(AH110&lt;covid_recovery,NA(),SUMIFS(INDIRECT("Data_main"&amp;"["&amp;AH$8&amp;"]"),Data_main[Data],$A113, Data_main[Segment],"Total", Data_main[Scenario],$B$3)),SUMIFS(INDIRECT("Data_main"&amp;"["&amp;AH$8&amp;"]"),Data_main[Data],$A113, Data_main[Segment],"Total", Data_main[Scenario],$B$3)),SUMIFS(INDIRECT("Data_main"&amp;"["&amp;AH$8&amp;"]"),Data_main[Data],$A113, Data_main[Segment],"Total", Data_main[Scenario],$B$3))</f>
        <v>416.07171505255923</v>
      </c>
      <c r="AI107" s="541">
        <f ca="1">IF($B$6="ON", IF(AI110&gt;=covid_start, IF(AI110&lt;covid_recovery,NA(),SUMIFS(INDIRECT("Data_main"&amp;"["&amp;AI$8&amp;"]"),Data_main[Data],$A113, Data_main[Segment],"Total", Data_main[Scenario],$B$3)),SUMIFS(INDIRECT("Data_main"&amp;"["&amp;AI$8&amp;"]"),Data_main[Data],$A113, Data_main[Segment],"Total", Data_main[Scenario],$B$3)),SUMIFS(INDIRECT("Data_main"&amp;"["&amp;AI$8&amp;"]"),Data_main[Data],$A113, Data_main[Segment],"Total", Data_main[Scenario],$B$3))</f>
        <v>402.54412714527439</v>
      </c>
      <c r="AJ107" s="541">
        <f ca="1">IF($B$6="ON", IF(AJ110&gt;=covid_start, IF(AJ110&lt;covid_recovery,NA(),SUMIFS(INDIRECT("Data_main"&amp;"["&amp;AJ$8&amp;"]"),Data_main[Data],$A113, Data_main[Segment],"Total", Data_main[Scenario],$B$3)),SUMIFS(INDIRECT("Data_main"&amp;"["&amp;AJ$8&amp;"]"),Data_main[Data],$A113, Data_main[Segment],"Total", Data_main[Scenario],$B$3)),SUMIFS(INDIRECT("Data_main"&amp;"["&amp;AJ$8&amp;"]"),Data_main[Data],$A113, Data_main[Segment],"Total", Data_main[Scenario],$B$3))</f>
        <v>389.74934289355213</v>
      </c>
      <c r="AK107" s="541">
        <f ca="1">IF($B$6="ON", IF(AK110&gt;=covid_start, IF(AK110&lt;covid_recovery,NA(),SUMIFS(INDIRECT("Data_main"&amp;"["&amp;AK$8&amp;"]"),Data_main[Data],$A113, Data_main[Segment],"Total", Data_main[Scenario],$B$3)),SUMIFS(INDIRECT("Data_main"&amp;"["&amp;AK$8&amp;"]"),Data_main[Data],$A113, Data_main[Segment],"Total", Data_main[Scenario],$B$3)),SUMIFS(INDIRECT("Data_main"&amp;"["&amp;AK$8&amp;"]"),Data_main[Data],$A113, Data_main[Segment],"Total", Data_main[Scenario],$B$3))</f>
        <v>377.62938745994336</v>
      </c>
      <c r="AL107" s="541">
        <f ca="1">IF($B$6="ON", IF(AL110&gt;=covid_start, IF(AL110&lt;covid_recovery,NA(),SUMIFS(INDIRECT("Data_main"&amp;"["&amp;AL$8&amp;"]"),Data_main[Data],$A113, Data_main[Segment],"Total", Data_main[Scenario],$B$3)),SUMIFS(INDIRECT("Data_main"&amp;"["&amp;AL$8&amp;"]"),Data_main[Data],$A113, Data_main[Segment],"Total", Data_main[Scenario],$B$3)),SUMIFS(INDIRECT("Data_main"&amp;"["&amp;AL$8&amp;"]"),Data_main[Data],$A113, Data_main[Segment],"Total", Data_main[Scenario],$B$3))</f>
        <v>366.13224435290124</v>
      </c>
      <c r="AM107" s="541">
        <f ca="1">IF($B$6="ON", IF(AM110&gt;=covid_start, IF(AM110&lt;covid_recovery,NA(),SUMIFS(INDIRECT("Data_main"&amp;"["&amp;AM$8&amp;"]"),Data_main[Data],$A113, Data_main[Segment],"Total", Data_main[Scenario],$B$3)),SUMIFS(INDIRECT("Data_main"&amp;"["&amp;AM$8&amp;"]"),Data_main[Data],$A113, Data_main[Segment],"Total", Data_main[Scenario],$B$3)),SUMIFS(INDIRECT("Data_main"&amp;"["&amp;AM$8&amp;"]"),Data_main[Data],$A113, Data_main[Segment],"Total", Data_main[Scenario],$B$3))</f>
        <v>355.21110914262493</v>
      </c>
      <c r="AN107" s="541">
        <f ca="1">IF($B$6="ON", IF(AN110&gt;=covid_start, IF(AN110&lt;covid_recovery,NA(),SUMIFS(INDIRECT("Data_main"&amp;"["&amp;AN$8&amp;"]"),Data_main[Data],$A113, Data_main[Segment],"Total", Data_main[Scenario],$B$3)),SUMIFS(INDIRECT("Data_main"&amp;"["&amp;AN$8&amp;"]"),Data_main[Data],$A113, Data_main[Segment],"Total", Data_main[Scenario],$B$3)),SUMIFS(INDIRECT("Data_main"&amp;"["&amp;AN$8&amp;"]"),Data_main[Data],$A113, Data_main[Segment],"Total", Data_main[Scenario],$B$3))</f>
        <v>344.8237526024987</v>
      </c>
      <c r="AO107" s="541">
        <f ca="1">IF($B$6="ON", IF(AO110&gt;=covid_start, IF(AO110&lt;covid_recovery,NA(),SUMIFS(INDIRECT("Data_main"&amp;"["&amp;AO$8&amp;"]"),Data_main[Data],$A113, Data_main[Segment],"Total", Data_main[Scenario],$B$3)),SUMIFS(INDIRECT("Data_main"&amp;"["&amp;AO$8&amp;"]"),Data_main[Data],$A113, Data_main[Segment],"Total", Data_main[Scenario],$B$3)),SUMIFS(INDIRECT("Data_main"&amp;"["&amp;AO$8&amp;"]"),Data_main[Data],$A113, Data_main[Segment],"Total", Data_main[Scenario],$B$3))</f>
        <v>0</v>
      </c>
      <c r="AP107" s="541">
        <f ca="1">IF($B$6="ON", IF(AP110&gt;=covid_start, IF(AP110&lt;covid_recovery,NA(),SUMIFS(INDIRECT("Data_main"&amp;"["&amp;AP$8&amp;"]"),Data_main[Data],$A113, Data_main[Segment],"Total", Data_main[Scenario],$B$3)),SUMIFS(INDIRECT("Data_main"&amp;"["&amp;AP$8&amp;"]"),Data_main[Data],$A113, Data_main[Segment],"Total", Data_main[Scenario],$B$3)),SUMIFS(INDIRECT("Data_main"&amp;"["&amp;AP$8&amp;"]"),Data_main[Data],$A113, Data_main[Segment],"Total", Data_main[Scenario],$B$3))</f>
        <v>0</v>
      </c>
      <c r="AQ107" s="541">
        <f ca="1">IF($B$6="ON", IF(AQ110&gt;=covid_start, IF(AQ110&lt;covid_recovery,NA(),SUMIFS(INDIRECT("Data_main"&amp;"["&amp;AQ$8&amp;"]"),Data_main[Data],$A113, Data_main[Segment],"Total", Data_main[Scenario],$B$3)),SUMIFS(INDIRECT("Data_main"&amp;"["&amp;AQ$8&amp;"]"),Data_main[Data],$A113, Data_main[Segment],"Total", Data_main[Scenario],$B$3)),SUMIFS(INDIRECT("Data_main"&amp;"["&amp;AQ$8&amp;"]"),Data_main[Data],$A113, Data_main[Segment],"Total", Data_main[Scenario],$B$3))</f>
        <v>0</v>
      </c>
      <c r="AR107" s="541">
        <f ca="1">IF($B$6="ON", IF(AR110&gt;=covid_start, IF(AR110&lt;covid_recovery,NA(),SUMIFS(INDIRECT("Data_main"&amp;"["&amp;AR$8&amp;"]"),Data_main[Data],$A113, Data_main[Segment],"Total", Data_main[Scenario],$B$3)),SUMIFS(INDIRECT("Data_main"&amp;"["&amp;AR$8&amp;"]"),Data_main[Data],$A113, Data_main[Segment],"Total", Data_main[Scenario],$B$3)),SUMIFS(INDIRECT("Data_main"&amp;"["&amp;AR$8&amp;"]"),Data_main[Data],$A113, Data_main[Segment],"Total", Data_main[Scenario],$B$3))</f>
        <v>0</v>
      </c>
      <c r="AS107" s="541">
        <f ca="1">IF($B$6="ON", IF(AS110&gt;=covid_start, IF(AS110&lt;covid_recovery,NA(),SUMIFS(INDIRECT("Data_main"&amp;"["&amp;AS$8&amp;"]"),Data_main[Data],$A113, Data_main[Segment],"Total", Data_main[Scenario],$B$3)),SUMIFS(INDIRECT("Data_main"&amp;"["&amp;AS$8&amp;"]"),Data_main[Data],$A113, Data_main[Segment],"Total", Data_main[Scenario],$B$3)),SUMIFS(INDIRECT("Data_main"&amp;"["&amp;AS$8&amp;"]"),Data_main[Data],$A113, Data_main[Segment],"Total", Data_main[Scenario],$B$3))</f>
        <v>0</v>
      </c>
      <c r="AT107" s="541">
        <f ca="1">IF($B$6="ON", IF(AT110&gt;=covid_start, IF(AT110&lt;covid_recovery,NA(),SUMIFS(INDIRECT("Data_main"&amp;"["&amp;AT$8&amp;"]"),Data_main[Data],$A113, Data_main[Segment],"Total", Data_main[Scenario],$B$3)),SUMIFS(INDIRECT("Data_main"&amp;"["&amp;AT$8&amp;"]"),Data_main[Data],$A113, Data_main[Segment],"Total", Data_main[Scenario],$B$3)),SUMIFS(INDIRECT("Data_main"&amp;"["&amp;AT$8&amp;"]"),Data_main[Data],$A113, Data_main[Segment],"Total", Data_main[Scenario],$B$3))</f>
        <v>0</v>
      </c>
      <c r="AU107" s="541">
        <f ca="1">IF($B$6="ON", IF(AU110&gt;=covid_start, IF(AU110&lt;covid_recovery,NA(),SUMIFS(INDIRECT("Data_main"&amp;"["&amp;AU$8&amp;"]"),Data_main[Data],$A113, Data_main[Segment],"Total", Data_main[Scenario],$B$3)),SUMIFS(INDIRECT("Data_main"&amp;"["&amp;AU$8&amp;"]"),Data_main[Data],$A113, Data_main[Segment],"Total", Data_main[Scenario],$B$3)),SUMIFS(INDIRECT("Data_main"&amp;"["&amp;AU$8&amp;"]"),Data_main[Data],$A113, Data_main[Segment],"Total", Data_main[Scenario],$B$3))</f>
        <v>0</v>
      </c>
      <c r="AV107" s="541">
        <f ca="1">IF($B$6="ON", IF(AV110&gt;=covid_start, IF(AV110&lt;covid_recovery,NA(),SUMIFS(INDIRECT("Data_main"&amp;"["&amp;AV$8&amp;"]"),Data_main[Data],$A113, Data_main[Segment],"Total", Data_main[Scenario],$B$3)),SUMIFS(INDIRECT("Data_main"&amp;"["&amp;AV$8&amp;"]"),Data_main[Data],$A113, Data_main[Segment],"Total", Data_main[Scenario],$B$3)),SUMIFS(INDIRECT("Data_main"&amp;"["&amp;AV$8&amp;"]"),Data_main[Data],$A113, Data_main[Segment],"Total", Data_main[Scenario],$B$3))</f>
        <v>0</v>
      </c>
      <c r="AW107" s="541">
        <f ca="1">IF($B$6="ON", IF(AW110&gt;=covid_start, IF(AW110&lt;covid_recovery,NA(),SUMIFS(INDIRECT("Data_main"&amp;"["&amp;AW$8&amp;"]"),Data_main[Data],$A113, Data_main[Segment],"Total", Data_main[Scenario],$B$3)),SUMIFS(INDIRECT("Data_main"&amp;"["&amp;AW$8&amp;"]"),Data_main[Data],$A113, Data_main[Segment],"Total", Data_main[Scenario],$B$3)),SUMIFS(INDIRECT("Data_main"&amp;"["&amp;AW$8&amp;"]"),Data_main[Data],$A113, Data_main[Segment],"Total", Data_main[Scenario],$B$3))</f>
        <v>0</v>
      </c>
      <c r="AX107" s="541">
        <f ca="1">IF($B$6="ON", IF(AX110&gt;=covid_start, IF(AX110&lt;covid_recovery,NA(),SUMIFS(INDIRECT("Data_main"&amp;"["&amp;AX$8&amp;"]"),Data_main[Data],$A113, Data_main[Segment],"Total", Data_main[Scenario],$B$3)),SUMIFS(INDIRECT("Data_main"&amp;"["&amp;AX$8&amp;"]"),Data_main[Data],$A113, Data_main[Segment],"Total", Data_main[Scenario],$B$3)),SUMIFS(INDIRECT("Data_main"&amp;"["&amp;AX$8&amp;"]"),Data_main[Data],$A113, Data_main[Segment],"Total", Data_main[Scenario],$B$3))</f>
        <v>0</v>
      </c>
      <c r="AY107" s="541">
        <f ca="1">IF($B$6="ON", IF(AY110&gt;=covid_start, IF(AY110&lt;covid_recovery,NA(),SUMIFS(INDIRECT("Data_main"&amp;"["&amp;AY$8&amp;"]"),Data_main[Data],$A113, Data_main[Segment],"Total", Data_main[Scenario],$B$3)),SUMIFS(INDIRECT("Data_main"&amp;"["&amp;AY$8&amp;"]"),Data_main[Data],$A113, Data_main[Segment],"Total", Data_main[Scenario],$B$3)),SUMIFS(INDIRECT("Data_main"&amp;"["&amp;AY$8&amp;"]"),Data_main[Data],$A113, Data_main[Segment],"Total", Data_main[Scenario],$B$3))</f>
        <v>0</v>
      </c>
      <c r="AZ107" s="541">
        <f ca="1">IF($B$6="ON", IF(AZ110&gt;=covid_start, IF(AZ110&lt;covid_recovery,NA(),SUMIFS(INDIRECT("Data_main"&amp;"["&amp;AZ$8&amp;"]"),Data_main[Data],$A113, Data_main[Segment],"Total", Data_main[Scenario],$B$3)),SUMIFS(INDIRECT("Data_main"&amp;"["&amp;AZ$8&amp;"]"),Data_main[Data],$A113, Data_main[Segment],"Total", Data_main[Scenario],$B$3)),SUMIFS(INDIRECT("Data_main"&amp;"["&amp;AZ$8&amp;"]"),Data_main[Data],$A113, Data_main[Segment],"Total", Data_main[Scenario],$B$3))</f>
        <v>0</v>
      </c>
      <c r="BA107" s="541">
        <f ca="1">IF($B$6="ON", IF(BA110&gt;=covid_start, IF(BA110&lt;covid_recovery,NA(),SUMIFS(INDIRECT("Data_main"&amp;"["&amp;BA$8&amp;"]"),Data_main[Data],$A113, Data_main[Segment],"Total", Data_main[Scenario],$B$3)),SUMIFS(INDIRECT("Data_main"&amp;"["&amp;BA$8&amp;"]"),Data_main[Data],$A113, Data_main[Segment],"Total", Data_main[Scenario],$B$3)),SUMIFS(INDIRECT("Data_main"&amp;"["&amp;BA$8&amp;"]"),Data_main[Data],$A113, Data_main[Segment],"Total", Data_main[Scenario],$B$3))</f>
        <v>0</v>
      </c>
      <c r="BB107" s="541">
        <f ca="1">IF($B$6="ON", IF(BB110&gt;=covid_start, IF(BB110&lt;covid_recovery,NA(),SUMIFS(INDIRECT("Data_main"&amp;"["&amp;BB$8&amp;"]"),Data_main[Data],$A113, Data_main[Segment],"Total", Data_main[Scenario],$B$3)),SUMIFS(INDIRECT("Data_main"&amp;"["&amp;BB$8&amp;"]"),Data_main[Data],$A113, Data_main[Segment],"Total", Data_main[Scenario],$B$3)),SUMIFS(INDIRECT("Data_main"&amp;"["&amp;BB$8&amp;"]"),Data_main[Data],$A113, Data_main[Segment],"Total", Data_main[Scenario],$B$3))</f>
        <v>0</v>
      </c>
      <c r="BC107" s="541">
        <f ca="1">IF($B$6="ON", IF(BC110&gt;=covid_start, IF(BC110&lt;covid_recovery,NA(),SUMIFS(INDIRECT("Data_main"&amp;"["&amp;BC$8&amp;"]"),Data_main[Data],$A113, Data_main[Segment],"Total", Data_main[Scenario],$B$3)),SUMIFS(INDIRECT("Data_main"&amp;"["&amp;BC$8&amp;"]"),Data_main[Data],$A113, Data_main[Segment],"Total", Data_main[Scenario],$B$3)),SUMIFS(INDIRECT("Data_main"&amp;"["&amp;BC$8&amp;"]"),Data_main[Data],$A113, Data_main[Segment],"Total", Data_main[Scenario],$B$3))</f>
        <v>0</v>
      </c>
      <c r="BD107" s="541">
        <f ca="1">IF($B$6="ON", IF(BD110&gt;=covid_start, IF(BD110&lt;covid_recovery,NA(),SUMIFS(INDIRECT("Data_main"&amp;"["&amp;BD$8&amp;"]"),Data_main[Data],$A113, Data_main[Segment],"Total", Data_main[Scenario],$B$3)),SUMIFS(INDIRECT("Data_main"&amp;"["&amp;BD$8&amp;"]"),Data_main[Data],$A113, Data_main[Segment],"Total", Data_main[Scenario],$B$3)),SUMIFS(INDIRECT("Data_main"&amp;"["&amp;BD$8&amp;"]"),Data_main[Data],$A113, Data_main[Segment],"Total", Data_main[Scenario],$B$3))</f>
        <v>0</v>
      </c>
      <c r="BE107" s="541">
        <f ca="1">IF($B$6="ON", IF(BE110&gt;=covid_start, IF(BE110&lt;covid_recovery,NA(),SUMIFS(INDIRECT("Data_main"&amp;"["&amp;BE$8&amp;"]"),Data_main[Data],$A113, Data_main[Segment],"Total", Data_main[Scenario],$B$3)),SUMIFS(INDIRECT("Data_main"&amp;"["&amp;BE$8&amp;"]"),Data_main[Data],$A113, Data_main[Segment],"Total", Data_main[Scenario],$B$3)),SUMIFS(INDIRECT("Data_main"&amp;"["&amp;BE$8&amp;"]"),Data_main[Data],$A113, Data_main[Segment],"Total", Data_main[Scenario],$B$3))</f>
        <v>0</v>
      </c>
      <c r="BF107" s="541">
        <f ca="1">IF($B$6="ON", IF(BF110&gt;=covid_start, IF(BF110&lt;covid_recovery,NA(),SUMIFS(INDIRECT("Data_main"&amp;"["&amp;BF$8&amp;"]"),Data_main[Data],$A113, Data_main[Segment],"Total", Data_main[Scenario],$B$3)),SUMIFS(INDIRECT("Data_main"&amp;"["&amp;BF$8&amp;"]"),Data_main[Data],$A113, Data_main[Segment],"Total", Data_main[Scenario],$B$3)),SUMIFS(INDIRECT("Data_main"&amp;"["&amp;BF$8&amp;"]"),Data_main[Data],$A113, Data_main[Segment],"Total", Data_main[Scenario],$B$3))</f>
        <v>0</v>
      </c>
      <c r="BG107" s="541">
        <f ca="1">IF($B$6="ON", IF(BG110&gt;=covid_start, IF(BG110&lt;covid_recovery,NA(),SUMIFS(INDIRECT("Data_main"&amp;"["&amp;BG$8&amp;"]"),Data_main[Data],$A113, Data_main[Segment],"Total", Data_main[Scenario],$B$3)),SUMIFS(INDIRECT("Data_main"&amp;"["&amp;BG$8&amp;"]"),Data_main[Data],$A113, Data_main[Segment],"Total", Data_main[Scenario],$B$3)),SUMIFS(INDIRECT("Data_main"&amp;"["&amp;BG$8&amp;"]"),Data_main[Data],$A113, Data_main[Segment],"Total", Data_main[Scenario],$B$3))</f>
        <v>0</v>
      </c>
      <c r="BH107" s="541">
        <f ca="1">IF($B$6="ON", IF(BH110&gt;=covid_start, IF(BH110&lt;covid_recovery,NA(),SUMIFS(INDIRECT("Data_main"&amp;"["&amp;BH$8&amp;"]"),Data_main[Data],$A113, Data_main[Segment],"Total", Data_main[Scenario],$B$3)),SUMIFS(INDIRECT("Data_main"&amp;"["&amp;BH$8&amp;"]"),Data_main[Data],$A113, Data_main[Segment],"Total", Data_main[Scenario],$B$3)),SUMIFS(INDIRECT("Data_main"&amp;"["&amp;BH$8&amp;"]"),Data_main[Data],$A113, Data_main[Segment],"Total", Data_main[Scenario],$B$3))</f>
        <v>0</v>
      </c>
      <c r="BI107" s="541">
        <f ca="1">IF($B$6="ON", IF(BI110&gt;=covid_start, IF(BI110&lt;covid_recovery,NA(),SUMIFS(INDIRECT("Data_main"&amp;"["&amp;BI$8&amp;"]"),Data_main[Data],$A113, Data_main[Segment],"Total", Data_main[Scenario],$B$3)),SUMIFS(INDIRECT("Data_main"&amp;"["&amp;BI$8&amp;"]"),Data_main[Data],$A113, Data_main[Segment],"Total", Data_main[Scenario],$B$3)),SUMIFS(INDIRECT("Data_main"&amp;"["&amp;BI$8&amp;"]"),Data_main[Data],$A113, Data_main[Segment],"Total", Data_main[Scenario],$B$3))</f>
        <v>0</v>
      </c>
      <c r="BJ107" s="541">
        <f ca="1">IF($B$6="ON", IF(BJ110&gt;=covid_start, IF(BJ110&lt;covid_recovery,NA(),SUMIFS(INDIRECT("Data_main"&amp;"["&amp;BJ$8&amp;"]"),Data_main[Data],$A113, Data_main[Segment],"Total", Data_main[Scenario],$B$3)),SUMIFS(INDIRECT("Data_main"&amp;"["&amp;BJ$8&amp;"]"),Data_main[Data],$A113, Data_main[Segment],"Total", Data_main[Scenario],$B$3)),SUMIFS(INDIRECT("Data_main"&amp;"["&amp;BJ$8&amp;"]"),Data_main[Data],$A113, Data_main[Segment],"Total", Data_main[Scenario],$B$3))</f>
        <v>0</v>
      </c>
      <c r="BK107" s="541">
        <f ca="1">IF($B$6="ON", IF(BK110&gt;=covid_start, IF(BK110&lt;covid_recovery,NA(),SUMIFS(INDIRECT("Data_main"&amp;"["&amp;BK$8&amp;"]"),Data_main[Data],$A113, Data_main[Segment],"Total", Data_main[Scenario],$B$3)),SUMIFS(INDIRECT("Data_main"&amp;"["&amp;BK$8&amp;"]"),Data_main[Data],$A113, Data_main[Segment],"Total", Data_main[Scenario],$B$3)),SUMIFS(INDIRECT("Data_main"&amp;"["&amp;BK$8&amp;"]"),Data_main[Data],$A113, Data_main[Segment],"Total", Data_main[Scenario],$B$3))</f>
        <v>0</v>
      </c>
      <c r="BL107" s="541">
        <f ca="1">IF($B$6="ON", IF(BL110&gt;=covid_start, IF(BL110&lt;covid_recovery,NA(),SUMIFS(INDIRECT("Data_main"&amp;"["&amp;BL$8&amp;"]"),Data_main[Data],$A113, Data_main[Segment],"Total", Data_main[Scenario],$B$3)),SUMIFS(INDIRECT("Data_main"&amp;"["&amp;BL$8&amp;"]"),Data_main[Data],$A113, Data_main[Segment],"Total", Data_main[Scenario],$B$3)),SUMIFS(INDIRECT("Data_main"&amp;"["&amp;BL$8&amp;"]"),Data_main[Data],$A113, Data_main[Segment],"Total", Data_main[Scenario],$B$3))</f>
        <v>0</v>
      </c>
      <c r="BM107" s="541">
        <f ca="1">IF($B$6="ON", IF(BM110&gt;=covid_start, IF(BM110&lt;covid_recovery,NA(),SUMIFS(INDIRECT("Data_main"&amp;"["&amp;BM$8&amp;"]"),Data_main[Data],$A113, Data_main[Segment],"Total", Data_main[Scenario],$B$3)),SUMIFS(INDIRECT("Data_main"&amp;"["&amp;BM$8&amp;"]"),Data_main[Data],$A113, Data_main[Segment],"Total", Data_main[Scenario],$B$3)),SUMIFS(INDIRECT("Data_main"&amp;"["&amp;BM$8&amp;"]"),Data_main[Data],$A113, Data_main[Segment],"Total", Data_main[Scenario],$B$3))</f>
        <v>0</v>
      </c>
      <c r="BN107" s="541">
        <f ca="1">IF($B$6="ON", IF(BN110&gt;=covid_start, IF(BN110&lt;covid_recovery,NA(),SUMIFS(INDIRECT("Data_main"&amp;"["&amp;BN$8&amp;"]"),Data_main[Data],$A113, Data_main[Segment],"Total", Data_main[Scenario],$B$3)),SUMIFS(INDIRECT("Data_main"&amp;"["&amp;BN$8&amp;"]"),Data_main[Data],$A113, Data_main[Segment],"Total", Data_main[Scenario],$B$3)),SUMIFS(INDIRECT("Data_main"&amp;"["&amp;BN$8&amp;"]"),Data_main[Data],$A113, Data_main[Segment],"Total", Data_main[Scenario],$B$3))</f>
        <v>0</v>
      </c>
      <c r="BO107" s="541">
        <f ca="1">IF($B$6="ON", IF(BO110&gt;=covid_start, IF(BO110&lt;covid_recovery,NA(),SUMIFS(INDIRECT("Data_main"&amp;"["&amp;BO$8&amp;"]"),Data_main[Data],$A113, Data_main[Segment],"Total", Data_main[Scenario],$B$3)),SUMIFS(INDIRECT("Data_main"&amp;"["&amp;BO$8&amp;"]"),Data_main[Data],$A113, Data_main[Segment],"Total", Data_main[Scenario],$B$3)),SUMIFS(INDIRECT("Data_main"&amp;"["&amp;BO$8&amp;"]"),Data_main[Data],$A113, Data_main[Segment],"Total", Data_main[Scenario],$B$3))</f>
        <v>0</v>
      </c>
      <c r="BP107" s="541">
        <f ca="1">IF($B$6="ON", IF(BP110&gt;=covid_start, IF(BP110&lt;covid_recovery,NA(),SUMIFS(INDIRECT("Data_main"&amp;"["&amp;BP$8&amp;"]"),Data_main[Data],$A113, Data_main[Segment],"Total", Data_main[Scenario],$B$3)),SUMIFS(INDIRECT("Data_main"&amp;"["&amp;BP$8&amp;"]"),Data_main[Data],$A113, Data_main[Segment],"Total", Data_main[Scenario],$B$3)),SUMIFS(INDIRECT("Data_main"&amp;"["&amp;BP$8&amp;"]"),Data_main[Data],$A113, Data_main[Segment],"Total", Data_main[Scenario],$B$3))</f>
        <v>0</v>
      </c>
      <c r="BQ107" s="541">
        <f ca="1">IF($B$6="ON", IF(BQ110&gt;=covid_start, IF(BQ110&lt;covid_recovery,NA(),SUMIFS(INDIRECT("Data_main"&amp;"["&amp;BQ$8&amp;"]"),Data_main[Data],$A113, Data_main[Segment],"Total", Data_main[Scenario],$B$3)),SUMIFS(INDIRECT("Data_main"&amp;"["&amp;BQ$8&amp;"]"),Data_main[Data],$A113, Data_main[Segment],"Total", Data_main[Scenario],$B$3)),SUMIFS(INDIRECT("Data_main"&amp;"["&amp;BQ$8&amp;"]"),Data_main[Data],$A113, Data_main[Segment],"Total", Data_main[Scenario],$B$3))</f>
        <v>0</v>
      </c>
      <c r="BR107" s="541">
        <f ca="1">IF($B$6="ON", IF(BR110&gt;=covid_start, IF(BR110&lt;covid_recovery,NA(),SUMIFS(INDIRECT("Data_main"&amp;"["&amp;BR$8&amp;"]"),Data_main[Data],$A113, Data_main[Segment],"Total", Data_main[Scenario],$B$3)),SUMIFS(INDIRECT("Data_main"&amp;"["&amp;BR$8&amp;"]"),Data_main[Data],$A113, Data_main[Segment],"Total", Data_main[Scenario],$B$3)),SUMIFS(INDIRECT("Data_main"&amp;"["&amp;BR$8&amp;"]"),Data_main[Data],$A113, Data_main[Segment],"Total", Data_main[Scenario],$B$3))</f>
        <v>0</v>
      </c>
      <c r="BS107" s="541">
        <f ca="1">IF($B$6="ON", IF(BS110&gt;=covid_start, IF(BS110&lt;covid_recovery,NA(),SUMIFS(INDIRECT("Data_main"&amp;"["&amp;BS$8&amp;"]"),Data_main[Data],$A113, Data_main[Segment],"Total", Data_main[Scenario],$B$3)),SUMIFS(INDIRECT("Data_main"&amp;"["&amp;BS$8&amp;"]"),Data_main[Data],$A113, Data_main[Segment],"Total", Data_main[Scenario],$B$3)),SUMIFS(INDIRECT("Data_main"&amp;"["&amp;BS$8&amp;"]"),Data_main[Data],$A113, Data_main[Segment],"Total", Data_main[Scenario],$B$3))</f>
        <v>0</v>
      </c>
      <c r="BT107" s="541">
        <f ca="1">IF($B$6="ON", IF(BT110&gt;=covid_start, IF(BT110&lt;covid_recovery,NA(),SUMIFS(INDIRECT("Data_main"&amp;"["&amp;BT$8&amp;"]"),Data_main[Data],$A113, Data_main[Segment],"Total", Data_main[Scenario],$B$3)),SUMIFS(INDIRECT("Data_main"&amp;"["&amp;BT$8&amp;"]"),Data_main[Data],$A113, Data_main[Segment],"Total", Data_main[Scenario],$B$3)),SUMIFS(INDIRECT("Data_main"&amp;"["&amp;BT$8&amp;"]"),Data_main[Data],$A113, Data_main[Segment],"Total", Data_main[Scenario],$B$3))</f>
        <v>0</v>
      </c>
      <c r="BU107" s="541">
        <f ca="1">IF($B$6="ON", IF(BU110&gt;=covid_start, IF(BU110&lt;covid_recovery,NA(),SUMIFS(INDIRECT("Data_main"&amp;"["&amp;BU$8&amp;"]"),Data_main[Data],$A113, Data_main[Segment],"Total", Data_main[Scenario],$B$3)),SUMIFS(INDIRECT("Data_main"&amp;"["&amp;BU$8&amp;"]"),Data_main[Data],$A113, Data_main[Segment],"Total", Data_main[Scenario],$B$3)),SUMIFS(INDIRECT("Data_main"&amp;"["&amp;BU$8&amp;"]"),Data_main[Data],$A113, Data_main[Segment],"Total", Data_main[Scenario],$B$3))</f>
        <v>0</v>
      </c>
      <c r="BV107" s="541">
        <f ca="1">IF($B$6="ON", IF(BV110&gt;=covid_start, IF(BV110&lt;covid_recovery,NA(),SUMIFS(INDIRECT("Data_main"&amp;"["&amp;BV$8&amp;"]"),Data_main[Data],$A113, Data_main[Segment],"Total", Data_main[Scenario],$B$3)),SUMIFS(INDIRECT("Data_main"&amp;"["&amp;BV$8&amp;"]"),Data_main[Data],$A113, Data_main[Segment],"Total", Data_main[Scenario],$B$3)),SUMIFS(INDIRECT("Data_main"&amp;"["&amp;BV$8&amp;"]"),Data_main[Data],$A113, Data_main[Segment],"Total", Data_main[Scenario],$B$3))</f>
        <v>0</v>
      </c>
      <c r="BW107" s="541">
        <f ca="1">IF($B$6="ON", IF(BW110&gt;=covid_start, IF(BW110&lt;covid_recovery,NA(),SUMIFS(INDIRECT("Data_main"&amp;"["&amp;BW$8&amp;"]"),Data_main[Data],$A113, Data_main[Segment],"Total", Data_main[Scenario],$B$3)),SUMIFS(INDIRECT("Data_main"&amp;"["&amp;BW$8&amp;"]"),Data_main[Data],$A113, Data_main[Segment],"Total", Data_main[Scenario],$B$3)),SUMIFS(INDIRECT("Data_main"&amp;"["&amp;BW$8&amp;"]"),Data_main[Data],$A113, Data_main[Segment],"Total", Data_main[Scenario],$B$3))</f>
        <v>0</v>
      </c>
      <c r="BX107" s="541">
        <f ca="1">IF($B$6="ON", IF(BX110&gt;=covid_start, IF(BX110&lt;covid_recovery,NA(),SUMIFS(INDIRECT("Data_main"&amp;"["&amp;BX$8&amp;"]"),Data_main[Data],$A113, Data_main[Segment],"Total", Data_main[Scenario],$B$3)),SUMIFS(INDIRECT("Data_main"&amp;"["&amp;BX$8&amp;"]"),Data_main[Data],$A113, Data_main[Segment],"Total", Data_main[Scenario],$B$3)),SUMIFS(INDIRECT("Data_main"&amp;"["&amp;BX$8&amp;"]"),Data_main[Data],$A113, Data_main[Segment],"Total", Data_main[Scenario],$B$3))</f>
        <v>0</v>
      </c>
      <c r="BY107" s="541">
        <f ca="1">IF($B$6="ON", IF(BY110&gt;=covid_start, IF(BY110&lt;covid_recovery,NA(),SUMIFS(INDIRECT("Data_main"&amp;"["&amp;BY$8&amp;"]"),Data_main[Data],$A113, Data_main[Segment],"Total", Data_main[Scenario],$B$3)),SUMIFS(INDIRECT("Data_main"&amp;"["&amp;BY$8&amp;"]"),Data_main[Data],$A113, Data_main[Segment],"Total", Data_main[Scenario],$B$3)),SUMIFS(INDIRECT("Data_main"&amp;"["&amp;BY$8&amp;"]"),Data_main[Data],$A113, Data_main[Segment],"Total", Data_main[Scenario],$B$3))</f>
        <v>0</v>
      </c>
      <c r="BZ107" s="541">
        <f ca="1">IF($B$6="ON", IF(BZ110&gt;=covid_start, IF(BZ110&lt;covid_recovery,NA(),SUMIFS(INDIRECT("Data_main"&amp;"["&amp;BZ$8&amp;"]"),Data_main[Data],$A113, Data_main[Segment],"Total", Data_main[Scenario],$B$3)),SUMIFS(INDIRECT("Data_main"&amp;"["&amp;BZ$8&amp;"]"),Data_main[Data],$A113, Data_main[Segment],"Total", Data_main[Scenario],$B$3)),SUMIFS(INDIRECT("Data_main"&amp;"["&amp;BZ$8&amp;"]"),Data_main[Data],$A113, Data_main[Segment],"Total", Data_main[Scenario],$B$3))</f>
        <v>0</v>
      </c>
      <c r="CA107" s="541">
        <f ca="1">IF($B$6="ON", IF(CA110&gt;=covid_start, IF(CA110&lt;covid_recovery,NA(),SUMIFS(INDIRECT("Data_main"&amp;"["&amp;CA$8&amp;"]"),Data_main[Data],$A113, Data_main[Segment],"Total", Data_main[Scenario],$B$3)),SUMIFS(INDIRECT("Data_main"&amp;"["&amp;CA$8&amp;"]"),Data_main[Data],$A113, Data_main[Segment],"Total", Data_main[Scenario],$B$3)),SUMIFS(INDIRECT("Data_main"&amp;"["&amp;CA$8&amp;"]"),Data_main[Data],$A113, Data_main[Segment],"Total", Data_main[Scenario],$B$3))</f>
        <v>0</v>
      </c>
      <c r="CB107" s="541">
        <f ca="1">IF($B$6="ON", IF(CB110&gt;=covid_start, IF(CB110&lt;covid_recovery,NA(),SUMIFS(INDIRECT("Data_main"&amp;"["&amp;CB$8&amp;"]"),Data_main[Data],$A113, Data_main[Segment],"Total", Data_main[Scenario],$B$3)),SUMIFS(INDIRECT("Data_main"&amp;"["&amp;CB$8&amp;"]"),Data_main[Data],$A113, Data_main[Segment],"Total", Data_main[Scenario],$B$3)),SUMIFS(INDIRECT("Data_main"&amp;"["&amp;CB$8&amp;"]"),Data_main[Data],$A113, Data_main[Segment],"Total", Data_main[Scenario],$B$3))</f>
        <v>0</v>
      </c>
      <c r="CC107" s="541">
        <f ca="1">IF($B$6="ON", IF(CC110&gt;=covid_start, IF(CC110&lt;covid_recovery,NA(),SUMIFS(INDIRECT("Data_main"&amp;"["&amp;CC$8&amp;"]"),Data_main[Data],$A113, Data_main[Segment],"Total", Data_main[Scenario],$B$3)),SUMIFS(INDIRECT("Data_main"&amp;"["&amp;CC$8&amp;"]"),Data_main[Data],$A113, Data_main[Segment],"Total", Data_main[Scenario],$B$3)),SUMIFS(INDIRECT("Data_main"&amp;"["&amp;CC$8&amp;"]"),Data_main[Data],$A113, Data_main[Segment],"Total", Data_main[Scenario],$B$3))</f>
        <v>0</v>
      </c>
      <c r="CD107" s="541">
        <f ca="1">IF($B$6="ON", IF(CD110&gt;=covid_start, IF(CD110&lt;covid_recovery,NA(),SUMIFS(INDIRECT("Data_main"&amp;"["&amp;CD$8&amp;"]"),Data_main[Data],$A113, Data_main[Segment],"Total", Data_main[Scenario],$B$3)),SUMIFS(INDIRECT("Data_main"&amp;"["&amp;CD$8&amp;"]"),Data_main[Data],$A113, Data_main[Segment],"Total", Data_main[Scenario],$B$3)),SUMIFS(INDIRECT("Data_main"&amp;"["&amp;CD$8&amp;"]"),Data_main[Data],$A113, Data_main[Segment],"Total", Data_main[Scenario],$B$3))</f>
        <v>0</v>
      </c>
      <c r="CE107" s="541">
        <f ca="1">IF($B$6="ON", IF(CE110&gt;=covid_start, IF(CE110&lt;covid_recovery,NA(),SUMIFS(INDIRECT("Data_main"&amp;"["&amp;CE$8&amp;"]"),Data_main[Data],$A113, Data_main[Segment],"Total", Data_main[Scenario],$B$3)),SUMIFS(INDIRECT("Data_main"&amp;"["&amp;CE$8&amp;"]"),Data_main[Data],$A113, Data_main[Segment],"Total", Data_main[Scenario],$B$3)),SUMIFS(INDIRECT("Data_main"&amp;"["&amp;CE$8&amp;"]"),Data_main[Data],$A113, Data_main[Segment],"Total", Data_main[Scenario],$B$3))</f>
        <v>0</v>
      </c>
      <c r="CF107" s="541">
        <f ca="1">IF($B$6="ON", IF(CF110&gt;=covid_start, IF(CF110&lt;covid_recovery,NA(),SUMIFS(INDIRECT("Data_main"&amp;"["&amp;CF$8&amp;"]"),Data_main[Data],$A113, Data_main[Segment],"Total", Data_main[Scenario],$B$3)),SUMIFS(INDIRECT("Data_main"&amp;"["&amp;CF$8&amp;"]"),Data_main[Data],$A113, Data_main[Segment],"Total", Data_main[Scenario],$B$3)),SUMIFS(INDIRECT("Data_main"&amp;"["&amp;CF$8&amp;"]"),Data_main[Data],$A113, Data_main[Segment],"Total", Data_main[Scenario],$B$3))</f>
        <v>0</v>
      </c>
      <c r="CG107" s="541">
        <f ca="1">IF($B$6="ON", IF(CG110&gt;=covid_start, IF(CG110&lt;covid_recovery,NA(),SUMIFS(INDIRECT("Data_main"&amp;"["&amp;CG$8&amp;"]"),Data_main[Data],$A113, Data_main[Segment],"Total", Data_main[Scenario],$B$3)),SUMIFS(INDIRECT("Data_main"&amp;"["&amp;CG$8&amp;"]"),Data_main[Data],$A113, Data_main[Segment],"Total", Data_main[Scenario],$B$3)),SUMIFS(INDIRECT("Data_main"&amp;"["&amp;CG$8&amp;"]"),Data_main[Data],$A113, Data_main[Segment],"Total", Data_main[Scenario],$B$3))</f>
        <v>0</v>
      </c>
      <c r="CH107" s="541">
        <f ca="1">IF($B$6="ON", IF(CH110&gt;=covid_start, IF(CH110&lt;covid_recovery,NA(),SUMIFS(INDIRECT("Data_main"&amp;"["&amp;CH$8&amp;"]"),Data_main[Data],$A113, Data_main[Segment],"Total", Data_main[Scenario],$B$3)),SUMIFS(INDIRECT("Data_main"&amp;"["&amp;CH$8&amp;"]"),Data_main[Data],$A113, Data_main[Segment],"Total", Data_main[Scenario],$B$3)),SUMIFS(INDIRECT("Data_main"&amp;"["&amp;CH$8&amp;"]"),Data_main[Data],$A113, Data_main[Segment],"Total", Data_main[Scenario],$B$3))</f>
        <v>0</v>
      </c>
      <c r="CI107" s="541">
        <f ca="1">IF($B$6="ON", IF(CI110&gt;=covid_start, IF(CI110&lt;covid_recovery,NA(),SUMIFS(INDIRECT("Data_main"&amp;"["&amp;CI$8&amp;"]"),Data_main[Data],$A113, Data_main[Segment],"Total", Data_main[Scenario],$B$3)),SUMIFS(INDIRECT("Data_main"&amp;"["&amp;CI$8&amp;"]"),Data_main[Data],$A113, Data_main[Segment],"Total", Data_main[Scenario],$B$3)),SUMIFS(INDIRECT("Data_main"&amp;"["&amp;CI$8&amp;"]"),Data_main[Data],$A113, Data_main[Segment],"Total", Data_main[Scenario],$B$3))</f>
        <v>0</v>
      </c>
      <c r="CJ107" s="541">
        <f ca="1">IF($B$6="ON", IF(CJ110&gt;=covid_start, IF(CJ110&lt;covid_recovery,NA(),SUMIFS(INDIRECT("Data_main"&amp;"["&amp;CJ$8&amp;"]"),Data_main[Data],$A113, Data_main[Segment],"Total", Data_main[Scenario],$B$3)),SUMIFS(INDIRECT("Data_main"&amp;"["&amp;CJ$8&amp;"]"),Data_main[Data],$A113, Data_main[Segment],"Total", Data_main[Scenario],$B$3)),SUMIFS(INDIRECT("Data_main"&amp;"["&amp;CJ$8&amp;"]"),Data_main[Data],$A113, Data_main[Segment],"Total", Data_main[Scenario],$B$3))</f>
        <v>0</v>
      </c>
      <c r="CK107" s="541">
        <f ca="1">IF($B$6="ON", IF(CK110&gt;=covid_start, IF(CK110&lt;covid_recovery,NA(),SUMIFS(INDIRECT("Data_main"&amp;"["&amp;CK$8&amp;"]"),Data_main[Data],$A113, Data_main[Segment],"Total", Data_main[Scenario],$B$3)),SUMIFS(INDIRECT("Data_main"&amp;"["&amp;CK$8&amp;"]"),Data_main[Data],$A113, Data_main[Segment],"Total", Data_main[Scenario],$B$3)),SUMIFS(INDIRECT("Data_main"&amp;"["&amp;CK$8&amp;"]"),Data_main[Data],$A113, Data_main[Segment],"Total", Data_main[Scenario],$B$3))</f>
        <v>0</v>
      </c>
      <c r="CL107" s="541">
        <f ca="1">IF($B$6="ON", IF(CL110&gt;=covid_start, IF(CL110&lt;covid_recovery,NA(),SUMIFS(INDIRECT("Data_main"&amp;"["&amp;CL$8&amp;"]"),Data_main[Data],$A113, Data_main[Segment],"Total", Data_main[Scenario],$B$3)),SUMIFS(INDIRECT("Data_main"&amp;"["&amp;CL$8&amp;"]"),Data_main[Data],$A113, Data_main[Segment],"Total", Data_main[Scenario],$B$3)),SUMIFS(INDIRECT("Data_main"&amp;"["&amp;CL$8&amp;"]"),Data_main[Data],$A113, Data_main[Segment],"Total", Data_main[Scenario],$B$3))</f>
        <v>0</v>
      </c>
      <c r="CN107" s="620"/>
      <c r="CO107" s="620"/>
      <c r="CP107" s="620"/>
    </row>
    <row r="108" spans="1:94" outlineLevel="1">
      <c r="A108" s="535"/>
      <c r="B108" s="535"/>
      <c r="C108" s="535"/>
      <c r="D108" s="535"/>
      <c r="E108" s="546"/>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1"/>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1"/>
      <c r="BW108" s="541"/>
      <c r="BX108" s="541"/>
      <c r="BY108" s="541"/>
      <c r="BZ108" s="541"/>
      <c r="CA108" s="541"/>
      <c r="CB108" s="541"/>
      <c r="CC108" s="541"/>
      <c r="CD108" s="541"/>
      <c r="CE108" s="541"/>
      <c r="CF108" s="541"/>
      <c r="CG108" s="541"/>
      <c r="CH108" s="541"/>
      <c r="CI108" s="541"/>
      <c r="CJ108" s="541"/>
      <c r="CK108" s="541"/>
      <c r="CL108" s="541"/>
      <c r="CN108" s="620"/>
      <c r="CO108" s="620"/>
      <c r="CP108" s="620"/>
    </row>
    <row r="109" spans="1:94" outlineLevel="1">
      <c r="A109" s="524" t="s">
        <v>493</v>
      </c>
      <c r="B109" s="535"/>
      <c r="C109" s="535"/>
      <c r="D109" s="535"/>
      <c r="E109" s="546"/>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541"/>
      <c r="AD109" s="541"/>
      <c r="AE109" s="541"/>
      <c r="AF109" s="541"/>
      <c r="AG109" s="541"/>
      <c r="AH109" s="541"/>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1"/>
      <c r="BW109" s="541"/>
      <c r="BX109" s="541"/>
      <c r="BY109" s="541"/>
      <c r="BZ109" s="541"/>
      <c r="CA109" s="541"/>
      <c r="CB109" s="541"/>
      <c r="CC109" s="541"/>
      <c r="CD109" s="541"/>
      <c r="CE109" s="541"/>
      <c r="CF109" s="541"/>
      <c r="CG109" s="541"/>
      <c r="CH109" s="541"/>
      <c r="CI109" s="541"/>
      <c r="CJ109" s="541"/>
      <c r="CK109" s="541"/>
      <c r="CL109" s="541"/>
      <c r="CN109" s="620"/>
      <c r="CO109" s="620"/>
      <c r="CP109" s="620"/>
    </row>
    <row r="110" spans="1:94" ht="16.5" thickBot="1">
      <c r="A110" s="582" t="s">
        <v>491</v>
      </c>
      <c r="B110" s="582"/>
      <c r="C110" s="582"/>
      <c r="D110" s="582"/>
      <c r="E110" s="583">
        <v>2015</v>
      </c>
      <c r="F110" s="584">
        <f>E110+1</f>
        <v>2016</v>
      </c>
      <c r="G110" s="584">
        <f t="shared" ref="G110:I110" si="314">F110+1</f>
        <v>2017</v>
      </c>
      <c r="H110" s="584">
        <f t="shared" si="314"/>
        <v>2018</v>
      </c>
      <c r="I110" s="584">
        <f t="shared" si="314"/>
        <v>2019</v>
      </c>
      <c r="J110" s="584">
        <f>E110+5</f>
        <v>2020</v>
      </c>
      <c r="K110" s="584">
        <f>J110+1</f>
        <v>2021</v>
      </c>
      <c r="L110" s="584">
        <f t="shared" ref="L110:N110" si="315">K110+1</f>
        <v>2022</v>
      </c>
      <c r="M110" s="584">
        <f t="shared" si="315"/>
        <v>2023</v>
      </c>
      <c r="N110" s="584">
        <f t="shared" si="315"/>
        <v>2024</v>
      </c>
      <c r="O110" s="584">
        <f>J110+5</f>
        <v>2025</v>
      </c>
      <c r="P110" s="584">
        <f>O110+1</f>
        <v>2026</v>
      </c>
      <c r="Q110" s="584">
        <f t="shared" ref="Q110:S110" si="316">P110+1</f>
        <v>2027</v>
      </c>
      <c r="R110" s="584">
        <f t="shared" si="316"/>
        <v>2028</v>
      </c>
      <c r="S110" s="584">
        <f t="shared" si="316"/>
        <v>2029</v>
      </c>
      <c r="T110" s="584">
        <f>O110+5</f>
        <v>2030</v>
      </c>
      <c r="U110" s="584">
        <f>T110+1</f>
        <v>2031</v>
      </c>
      <c r="V110" s="584">
        <f t="shared" ref="V110:X110" si="317">U110+1</f>
        <v>2032</v>
      </c>
      <c r="W110" s="584">
        <f t="shared" si="317"/>
        <v>2033</v>
      </c>
      <c r="X110" s="584">
        <f t="shared" si="317"/>
        <v>2034</v>
      </c>
      <c r="Y110" s="584">
        <f>T110+5</f>
        <v>2035</v>
      </c>
      <c r="Z110" s="584">
        <f>Y110+1</f>
        <v>2036</v>
      </c>
      <c r="AA110" s="584">
        <f t="shared" ref="AA110:AC110" si="318">Z110+1</f>
        <v>2037</v>
      </c>
      <c r="AB110" s="584">
        <f t="shared" si="318"/>
        <v>2038</v>
      </c>
      <c r="AC110" s="584">
        <f t="shared" si="318"/>
        <v>2039</v>
      </c>
      <c r="AD110" s="584">
        <f>Y110+5</f>
        <v>2040</v>
      </c>
      <c r="AE110" s="584">
        <f>AD110+1</f>
        <v>2041</v>
      </c>
      <c r="AF110" s="584">
        <f t="shared" ref="AF110:AH110" si="319">AE110+1</f>
        <v>2042</v>
      </c>
      <c r="AG110" s="584">
        <f t="shared" si="319"/>
        <v>2043</v>
      </c>
      <c r="AH110" s="584">
        <f t="shared" si="319"/>
        <v>2044</v>
      </c>
      <c r="AI110" s="584">
        <f>AD110+5</f>
        <v>2045</v>
      </c>
      <c r="AJ110" s="584">
        <f>AI110+1</f>
        <v>2046</v>
      </c>
      <c r="AK110" s="584">
        <f t="shared" ref="AK110:AM110" si="320">AJ110+1</f>
        <v>2047</v>
      </c>
      <c r="AL110" s="584">
        <f t="shared" si="320"/>
        <v>2048</v>
      </c>
      <c r="AM110" s="584">
        <f t="shared" si="320"/>
        <v>2049</v>
      </c>
      <c r="AN110" s="584">
        <f>AI110+5</f>
        <v>2050</v>
      </c>
      <c r="AO110" s="584">
        <f>AN110+1</f>
        <v>2051</v>
      </c>
      <c r="AP110" s="584">
        <f t="shared" ref="AP110:AR110" si="321">AO110+1</f>
        <v>2052</v>
      </c>
      <c r="AQ110" s="584">
        <f t="shared" si="321"/>
        <v>2053</v>
      </c>
      <c r="AR110" s="584">
        <f t="shared" si="321"/>
        <v>2054</v>
      </c>
      <c r="AS110" s="584">
        <f>AN110+5</f>
        <v>2055</v>
      </c>
      <c r="AT110" s="584">
        <f>AS110+1</f>
        <v>2056</v>
      </c>
      <c r="AU110" s="584">
        <f t="shared" ref="AU110:AW110" si="322">AT110+1</f>
        <v>2057</v>
      </c>
      <c r="AV110" s="584">
        <f t="shared" si="322"/>
        <v>2058</v>
      </c>
      <c r="AW110" s="584">
        <f t="shared" si="322"/>
        <v>2059</v>
      </c>
      <c r="AX110" s="584">
        <f>AS110+5</f>
        <v>2060</v>
      </c>
      <c r="AY110" s="584">
        <f>AX110+1</f>
        <v>2061</v>
      </c>
      <c r="AZ110" s="584">
        <f t="shared" ref="AZ110:BB110" si="323">AY110+1</f>
        <v>2062</v>
      </c>
      <c r="BA110" s="584">
        <f t="shared" si="323"/>
        <v>2063</v>
      </c>
      <c r="BB110" s="584">
        <f t="shared" si="323"/>
        <v>2064</v>
      </c>
      <c r="BC110" s="584">
        <f>AX110+5</f>
        <v>2065</v>
      </c>
      <c r="BD110" s="584">
        <f>BC110+1</f>
        <v>2066</v>
      </c>
      <c r="BE110" s="584">
        <f t="shared" ref="BE110:BG110" si="324">BD110+1</f>
        <v>2067</v>
      </c>
      <c r="BF110" s="584">
        <f t="shared" si="324"/>
        <v>2068</v>
      </c>
      <c r="BG110" s="584">
        <f t="shared" si="324"/>
        <v>2069</v>
      </c>
      <c r="BH110" s="584">
        <f>BC110+5</f>
        <v>2070</v>
      </c>
      <c r="BI110" s="584">
        <f>BH110+1</f>
        <v>2071</v>
      </c>
      <c r="BJ110" s="584">
        <f t="shared" ref="BJ110:BL110" si="325">BI110+1</f>
        <v>2072</v>
      </c>
      <c r="BK110" s="584">
        <f t="shared" si="325"/>
        <v>2073</v>
      </c>
      <c r="BL110" s="584">
        <f t="shared" si="325"/>
        <v>2074</v>
      </c>
      <c r="BM110" s="584">
        <f>BH110+5</f>
        <v>2075</v>
      </c>
      <c r="BN110" s="584">
        <f>BM110+1</f>
        <v>2076</v>
      </c>
      <c r="BO110" s="584">
        <f t="shared" ref="BO110:BQ110" si="326">BN110+1</f>
        <v>2077</v>
      </c>
      <c r="BP110" s="584">
        <f t="shared" si="326"/>
        <v>2078</v>
      </c>
      <c r="BQ110" s="584">
        <f t="shared" si="326"/>
        <v>2079</v>
      </c>
      <c r="BR110" s="584">
        <f>BM110+5</f>
        <v>2080</v>
      </c>
      <c r="BS110" s="584">
        <f>BR110+1</f>
        <v>2081</v>
      </c>
      <c r="BT110" s="584">
        <f t="shared" ref="BT110:BV110" si="327">BS110+1</f>
        <v>2082</v>
      </c>
      <c r="BU110" s="584">
        <f t="shared" si="327"/>
        <v>2083</v>
      </c>
      <c r="BV110" s="584">
        <f t="shared" si="327"/>
        <v>2084</v>
      </c>
      <c r="BW110" s="584">
        <f>BR110+5</f>
        <v>2085</v>
      </c>
      <c r="BX110" s="584">
        <f>BW110+1</f>
        <v>2086</v>
      </c>
      <c r="BY110" s="584">
        <f t="shared" ref="BY110:CA110" si="328">BX110+1</f>
        <v>2087</v>
      </c>
      <c r="BZ110" s="584">
        <f t="shared" si="328"/>
        <v>2088</v>
      </c>
      <c r="CA110" s="584">
        <f t="shared" si="328"/>
        <v>2089</v>
      </c>
      <c r="CB110" s="584">
        <f>BW110+5</f>
        <v>2090</v>
      </c>
      <c r="CC110" s="584">
        <f>CB110+1</f>
        <v>2091</v>
      </c>
      <c r="CD110" s="584">
        <f t="shared" ref="CD110:CF110" si="329">CC110+1</f>
        <v>2092</v>
      </c>
      <c r="CE110" s="584">
        <f t="shared" si="329"/>
        <v>2093</v>
      </c>
      <c r="CF110" s="584">
        <f t="shared" si="329"/>
        <v>2094</v>
      </c>
      <c r="CG110" s="584">
        <f>CB110+5</f>
        <v>2095</v>
      </c>
      <c r="CH110" s="584">
        <f>CG110+1</f>
        <v>2096</v>
      </c>
      <c r="CI110" s="584">
        <f t="shared" ref="CI110:CK110" si="330">CH110+1</f>
        <v>2097</v>
      </c>
      <c r="CJ110" s="584">
        <f t="shared" si="330"/>
        <v>2098</v>
      </c>
      <c r="CK110" s="584">
        <f t="shared" si="330"/>
        <v>2099</v>
      </c>
      <c r="CL110" s="584">
        <f>CG110+5</f>
        <v>2100</v>
      </c>
      <c r="CN110" s="628" t="s">
        <v>409</v>
      </c>
      <c r="CO110" s="628" t="s">
        <v>411</v>
      </c>
      <c r="CP110" s="628" t="s">
        <v>410</v>
      </c>
    </row>
    <row r="111" spans="1:94" ht="16.5" outlineLevel="1" thickTop="1">
      <c r="A111" s="529" t="s">
        <v>152</v>
      </c>
      <c r="B111" s="529" t="s">
        <v>417</v>
      </c>
      <c r="C111" s="530" t="s">
        <v>352</v>
      </c>
      <c r="D111" s="530"/>
      <c r="E111" s="531">
        <f ca="1">IF($B$6="ON", IF(E110&gt;=covid_start, IF(E110&lt;covid_recovery,NA(),SUMIFS(INDIRECT("Data_main"&amp;"["&amp;E$8&amp;"]"),Data_main[Data],$A111, Data_main[Segment],$B111, Data_main[Scenario],$B$3)),SUMIFS(INDIRECT("Data_main"&amp;"["&amp;E$8&amp;"]"),Data_main[Data],$A111, Data_main[Segment],$B111, Data_main[Scenario],$B$3)),SUMIFS(INDIRECT("Data_main"&amp;"["&amp;E$8&amp;"]"),Data_main[Data],$A111, Data_main[Segment],$B111, Data_main[Scenario],$B$3))</f>
        <v>0</v>
      </c>
      <c r="F111" s="531">
        <f ca="1">IF($B$6="ON", IF(F110&gt;=covid_start, IF(F110&lt;covid_recovery,NA(),SUMIFS(INDIRECT("Data_main"&amp;"["&amp;F$8&amp;"]"),Data_main[Data],$A111, Data_main[Segment],$B111, Data_main[Scenario],$B$3)),SUMIFS(INDIRECT("Data_main"&amp;"["&amp;F$8&amp;"]"),Data_main[Data],$A111, Data_main[Segment],$B111, Data_main[Scenario],$B$3)),SUMIFS(INDIRECT("Data_main"&amp;"["&amp;F$8&amp;"]"),Data_main[Data],$A111, Data_main[Segment],$B111, Data_main[Scenario],$B$3))</f>
        <v>0</v>
      </c>
      <c r="G111" s="531">
        <f ca="1">IF($B$6="ON", IF(G110&gt;=covid_start, IF(G110&lt;covid_recovery,NA(),SUMIFS(INDIRECT("Data_main"&amp;"["&amp;G$8&amp;"]"),Data_main[Data],$A111, Data_main[Segment],$B111, Data_main[Scenario],$B$3)),SUMIFS(INDIRECT("Data_main"&amp;"["&amp;G$8&amp;"]"),Data_main[Data],$A111, Data_main[Segment],$B111, Data_main[Scenario],$B$3)),SUMIFS(INDIRECT("Data_main"&amp;"["&amp;G$8&amp;"]"),Data_main[Data],$A111, Data_main[Segment],$B111, Data_main[Scenario],$B$3))</f>
        <v>0</v>
      </c>
      <c r="H111" s="531">
        <f ca="1">IF($B$6="ON", IF(H110&gt;=covid_start, IF(H110&lt;covid_recovery,NA(),SUMIFS(INDIRECT("Data_main"&amp;"["&amp;H$8&amp;"]"),Data_main[Data],$A111, Data_main[Segment],$B111, Data_main[Scenario],$B$3)),SUMIFS(INDIRECT("Data_main"&amp;"["&amp;H$8&amp;"]"),Data_main[Data],$A111, Data_main[Segment],$B111, Data_main[Scenario],$B$3)),SUMIFS(INDIRECT("Data_main"&amp;"["&amp;H$8&amp;"]"),Data_main[Data],$A111, Data_main[Segment],$B111, Data_main[Scenario],$B$3))</f>
        <v>0</v>
      </c>
      <c r="I111" s="531">
        <f ca="1">IF($B$6="ON", IF(I110&gt;=covid_start, IF(I110&lt;covid_recovery,NA(),SUMIFS(INDIRECT("Data_main"&amp;"["&amp;I$8&amp;"]"),Data_main[Data],$A111, Data_main[Segment],$B111, Data_main[Scenario],$B$3)),SUMIFS(INDIRECT("Data_main"&amp;"["&amp;I$8&amp;"]"),Data_main[Data],$A111, Data_main[Segment],$B111, Data_main[Scenario],$B$3)),SUMIFS(INDIRECT("Data_main"&amp;"["&amp;I$8&amp;"]"),Data_main[Data],$A111, Data_main[Segment],$B111, Data_main[Scenario],$B$3))</f>
        <v>0</v>
      </c>
      <c r="J111" s="531" t="e">
        <f ca="1">IF($B$6="ON", IF(J110&gt;=covid_start, IF(J110&lt;covid_recovery,NA(),SUMIFS(INDIRECT("Data_main"&amp;"["&amp;J$8&amp;"]"),Data_main[Data],$A111, Data_main[Segment],$B111, Data_main[Scenario],$B$3)),SUMIFS(INDIRECT("Data_main"&amp;"["&amp;J$8&amp;"]"),Data_main[Data],$A111, Data_main[Segment],$B111, Data_main[Scenario],$B$3)),SUMIFS(INDIRECT("Data_main"&amp;"["&amp;J$8&amp;"]"),Data_main[Data],$A111, Data_main[Segment],$B111, Data_main[Scenario],$B$3))</f>
        <v>#N/A</v>
      </c>
      <c r="K111" s="531" t="e">
        <f ca="1">IF($B$6="ON", IF(K110&gt;=covid_start, IF(K110&lt;covid_recovery,NA(),SUMIFS(INDIRECT("Data_main"&amp;"["&amp;K$8&amp;"]"),Data_main[Data],$A111, Data_main[Segment],$B111, Data_main[Scenario],$B$3)),SUMIFS(INDIRECT("Data_main"&amp;"["&amp;K$8&amp;"]"),Data_main[Data],$A111, Data_main[Segment],$B111, Data_main[Scenario],$B$3)),SUMIFS(INDIRECT("Data_main"&amp;"["&amp;K$8&amp;"]"),Data_main[Data],$A111, Data_main[Segment],$B111, Data_main[Scenario],$B$3))</f>
        <v>#N/A</v>
      </c>
      <c r="L111" s="531" t="e">
        <f ca="1">IF($B$6="ON", IF(L110&gt;=covid_start, IF(L110&lt;covid_recovery,NA(),SUMIFS(INDIRECT("Data_main"&amp;"["&amp;L$8&amp;"]"),Data_main[Data],$A111, Data_main[Segment],$B111, Data_main[Scenario],$B$3)),SUMIFS(INDIRECT("Data_main"&amp;"["&amp;L$8&amp;"]"),Data_main[Data],$A111, Data_main[Segment],$B111, Data_main[Scenario],$B$3)),SUMIFS(INDIRECT("Data_main"&amp;"["&amp;L$8&amp;"]"),Data_main[Data],$A111, Data_main[Segment],$B111, Data_main[Scenario],$B$3))</f>
        <v>#N/A</v>
      </c>
      <c r="M111" s="531">
        <f ca="1">IF($B$6="ON", IF(M110&gt;=covid_start, IF(M110&lt;covid_recovery,NA(),SUMIFS(INDIRECT("Data_main"&amp;"["&amp;M$8&amp;"]"),Data_main[Data],$A111, Data_main[Segment],$B111, Data_main[Scenario],$B$3)),SUMIFS(INDIRECT("Data_main"&amp;"["&amp;M$8&amp;"]"),Data_main[Data],$A111, Data_main[Segment],$B111, Data_main[Scenario],$B$3)),SUMIFS(INDIRECT("Data_main"&amp;"["&amp;M$8&amp;"]"),Data_main[Data],$A111, Data_main[Segment],$B111, Data_main[Scenario],$B$3))</f>
        <v>0</v>
      </c>
      <c r="N111" s="531">
        <f ca="1">IF($B$6="ON", IF(N110&gt;=covid_start, IF(N110&lt;covid_recovery,NA(),SUMIFS(INDIRECT("Data_main"&amp;"["&amp;N$8&amp;"]"),Data_main[Data],$A111, Data_main[Segment],$B111, Data_main[Scenario],$B$3)),SUMIFS(INDIRECT("Data_main"&amp;"["&amp;N$8&amp;"]"),Data_main[Data],$A111, Data_main[Segment],$B111, Data_main[Scenario],$B$3)),SUMIFS(INDIRECT("Data_main"&amp;"["&amp;N$8&amp;"]"),Data_main[Data],$A111, Data_main[Segment],$B111, Data_main[Scenario],$B$3))</f>
        <v>0</v>
      </c>
      <c r="O111" s="531">
        <f ca="1">IF($B$6="ON", IF(O110&gt;=covid_start, IF(O110&lt;covid_recovery,NA(),SUMIFS(INDIRECT("Data_main"&amp;"["&amp;O$8&amp;"]"),Data_main[Data],$A111, Data_main[Segment],$B111, Data_main[Scenario],$B$3)),SUMIFS(INDIRECT("Data_main"&amp;"["&amp;O$8&amp;"]"),Data_main[Data],$A111, Data_main[Segment],$B111, Data_main[Scenario],$B$3)),SUMIFS(INDIRECT("Data_main"&amp;"["&amp;O$8&amp;"]"),Data_main[Data],$A111, Data_main[Segment],$B111, Data_main[Scenario],$B$3))</f>
        <v>0</v>
      </c>
      <c r="P111" s="531">
        <f ca="1">IF($B$6="ON", IF(P110&gt;=covid_start, IF(P110&lt;covid_recovery,NA(),SUMIFS(INDIRECT("Data_main"&amp;"["&amp;P$8&amp;"]"),Data_main[Data],$A111, Data_main[Segment],$B111, Data_main[Scenario],$B$3)),SUMIFS(INDIRECT("Data_main"&amp;"["&amp;P$8&amp;"]"),Data_main[Data],$A111, Data_main[Segment],$B111, Data_main[Scenario],$B$3)),SUMIFS(INDIRECT("Data_main"&amp;"["&amp;P$8&amp;"]"),Data_main[Data],$A111, Data_main[Segment],$B111, Data_main[Scenario],$B$3))</f>
        <v>0</v>
      </c>
      <c r="Q111" s="531">
        <f ca="1">IF($B$6="ON", IF(Q110&gt;=covid_start, IF(Q110&lt;covid_recovery,NA(),SUMIFS(INDIRECT("Data_main"&amp;"["&amp;Q$8&amp;"]"),Data_main[Data],$A111, Data_main[Segment],$B111, Data_main[Scenario],$B$3)),SUMIFS(INDIRECT("Data_main"&amp;"["&amp;Q$8&amp;"]"),Data_main[Data],$A111, Data_main[Segment],$B111, Data_main[Scenario],$B$3)),SUMIFS(INDIRECT("Data_main"&amp;"["&amp;Q$8&amp;"]"),Data_main[Data],$A111, Data_main[Segment],$B111, Data_main[Scenario],$B$3))</f>
        <v>0</v>
      </c>
      <c r="R111" s="531">
        <f ca="1">IF($B$6="ON", IF(R110&gt;=covid_start, IF(R110&lt;covid_recovery,NA(),SUMIFS(INDIRECT("Data_main"&amp;"["&amp;R$8&amp;"]"),Data_main[Data],$A111, Data_main[Segment],$B111, Data_main[Scenario],$B$3)),SUMIFS(INDIRECT("Data_main"&amp;"["&amp;R$8&amp;"]"),Data_main[Data],$A111, Data_main[Segment],$B111, Data_main[Scenario],$B$3)),SUMIFS(INDIRECT("Data_main"&amp;"["&amp;R$8&amp;"]"),Data_main[Data],$A111, Data_main[Segment],$B111, Data_main[Scenario],$B$3))</f>
        <v>0</v>
      </c>
      <c r="S111" s="531">
        <f ca="1">IF($B$6="ON", IF(S110&gt;=covid_start, IF(S110&lt;covid_recovery,NA(),SUMIFS(INDIRECT("Data_main"&amp;"["&amp;S$8&amp;"]"),Data_main[Data],$A111, Data_main[Segment],$B111, Data_main[Scenario],$B$3)),SUMIFS(INDIRECT("Data_main"&amp;"["&amp;S$8&amp;"]"),Data_main[Data],$A111, Data_main[Segment],$B111, Data_main[Scenario],$B$3)),SUMIFS(INDIRECT("Data_main"&amp;"["&amp;S$8&amp;"]"),Data_main[Data],$A111, Data_main[Segment],$B111, Data_main[Scenario],$B$3))</f>
        <v>0</v>
      </c>
      <c r="T111" s="531">
        <f ca="1">IF($B$6="ON", IF(T110&gt;=covid_start, IF(T110&lt;covid_recovery,NA(),SUMIFS(INDIRECT("Data_main"&amp;"["&amp;T$8&amp;"]"),Data_main[Data],$A111, Data_main[Segment],$B111, Data_main[Scenario],$B$3)),SUMIFS(INDIRECT("Data_main"&amp;"["&amp;T$8&amp;"]"),Data_main[Data],$A111, Data_main[Segment],$B111, Data_main[Scenario],$B$3)),SUMIFS(INDIRECT("Data_main"&amp;"["&amp;T$8&amp;"]"),Data_main[Data],$A111, Data_main[Segment],$B111, Data_main[Scenario],$B$3))</f>
        <v>0</v>
      </c>
      <c r="U111" s="531">
        <f ca="1">IF($B$6="ON", IF(U110&gt;=covid_start, IF(U110&lt;covid_recovery,NA(),SUMIFS(INDIRECT("Data_main"&amp;"["&amp;U$8&amp;"]"),Data_main[Data],$A111, Data_main[Segment],$B111, Data_main[Scenario],$B$3)),SUMIFS(INDIRECT("Data_main"&amp;"["&amp;U$8&amp;"]"),Data_main[Data],$A111, Data_main[Segment],$B111, Data_main[Scenario],$B$3)),SUMIFS(INDIRECT("Data_main"&amp;"["&amp;U$8&amp;"]"),Data_main[Data],$A111, Data_main[Segment],$B111, Data_main[Scenario],$B$3))</f>
        <v>0</v>
      </c>
      <c r="V111" s="531">
        <f ca="1">IF($B$6="ON", IF(V110&gt;=covid_start, IF(V110&lt;covid_recovery,NA(),SUMIFS(INDIRECT("Data_main"&amp;"["&amp;V$8&amp;"]"),Data_main[Data],$A111, Data_main[Segment],$B111, Data_main[Scenario],$B$3)),SUMIFS(INDIRECT("Data_main"&amp;"["&amp;V$8&amp;"]"),Data_main[Data],$A111, Data_main[Segment],$B111, Data_main[Scenario],$B$3)),SUMIFS(INDIRECT("Data_main"&amp;"["&amp;V$8&amp;"]"),Data_main[Data],$A111, Data_main[Segment],$B111, Data_main[Scenario],$B$3))</f>
        <v>0</v>
      </c>
      <c r="W111" s="531">
        <f ca="1">IF($B$6="ON", IF(W110&gt;=covid_start, IF(W110&lt;covid_recovery,NA(),SUMIFS(INDIRECT("Data_main"&amp;"["&amp;W$8&amp;"]"),Data_main[Data],$A111, Data_main[Segment],$B111, Data_main[Scenario],$B$3)),SUMIFS(INDIRECT("Data_main"&amp;"["&amp;W$8&amp;"]"),Data_main[Data],$A111, Data_main[Segment],$B111, Data_main[Scenario],$B$3)),SUMIFS(INDIRECT("Data_main"&amp;"["&amp;W$8&amp;"]"),Data_main[Data],$A111, Data_main[Segment],$B111, Data_main[Scenario],$B$3))</f>
        <v>0</v>
      </c>
      <c r="X111" s="531">
        <f ca="1">IF($B$6="ON", IF(X110&gt;=covid_start, IF(X110&lt;covid_recovery,NA(),SUMIFS(INDIRECT("Data_main"&amp;"["&amp;X$8&amp;"]"),Data_main[Data],$A111, Data_main[Segment],$B111, Data_main[Scenario],$B$3)),SUMIFS(INDIRECT("Data_main"&amp;"["&amp;X$8&amp;"]"),Data_main[Data],$A111, Data_main[Segment],$B111, Data_main[Scenario],$B$3)),SUMIFS(INDIRECT("Data_main"&amp;"["&amp;X$8&amp;"]"),Data_main[Data],$A111, Data_main[Segment],$B111, Data_main[Scenario],$B$3))</f>
        <v>0</v>
      </c>
      <c r="Y111" s="531">
        <f ca="1">IF($B$6="ON", IF(Y110&gt;=covid_start, IF(Y110&lt;covid_recovery,NA(),SUMIFS(INDIRECT("Data_main"&amp;"["&amp;Y$8&amp;"]"),Data_main[Data],$A111, Data_main[Segment],$B111, Data_main[Scenario],$B$3)),SUMIFS(INDIRECT("Data_main"&amp;"["&amp;Y$8&amp;"]"),Data_main[Data],$A111, Data_main[Segment],$B111, Data_main[Scenario],$B$3)),SUMIFS(INDIRECT("Data_main"&amp;"["&amp;Y$8&amp;"]"),Data_main[Data],$A111, Data_main[Segment],$B111, Data_main[Scenario],$B$3))</f>
        <v>0</v>
      </c>
      <c r="Z111" s="531">
        <f ca="1">IF($B$6="ON", IF(Z110&gt;=covid_start, IF(Z110&lt;covid_recovery,NA(),SUMIFS(INDIRECT("Data_main"&amp;"["&amp;Z$8&amp;"]"),Data_main[Data],$A111, Data_main[Segment],$B111, Data_main[Scenario],$B$3)),SUMIFS(INDIRECT("Data_main"&amp;"["&amp;Z$8&amp;"]"),Data_main[Data],$A111, Data_main[Segment],$B111, Data_main[Scenario],$B$3)),SUMIFS(INDIRECT("Data_main"&amp;"["&amp;Z$8&amp;"]"),Data_main[Data],$A111, Data_main[Segment],$B111, Data_main[Scenario],$B$3))</f>
        <v>0</v>
      </c>
      <c r="AA111" s="531">
        <f ca="1">IF($B$6="ON", IF(AA110&gt;=covid_start, IF(AA110&lt;covid_recovery,NA(),SUMIFS(INDIRECT("Data_main"&amp;"["&amp;AA$8&amp;"]"),Data_main[Data],$A111, Data_main[Segment],$B111, Data_main[Scenario],$B$3)),SUMIFS(INDIRECT("Data_main"&amp;"["&amp;AA$8&amp;"]"),Data_main[Data],$A111, Data_main[Segment],$B111, Data_main[Scenario],$B$3)),SUMIFS(INDIRECT("Data_main"&amp;"["&amp;AA$8&amp;"]"),Data_main[Data],$A111, Data_main[Segment],$B111, Data_main[Scenario],$B$3))</f>
        <v>0</v>
      </c>
      <c r="AB111" s="531">
        <f ca="1">IF($B$6="ON", IF(AB110&gt;=covid_start, IF(AB110&lt;covid_recovery,NA(),SUMIFS(INDIRECT("Data_main"&amp;"["&amp;AB$8&amp;"]"),Data_main[Data],$A111, Data_main[Segment],$B111, Data_main[Scenario],$B$3)),SUMIFS(INDIRECT("Data_main"&amp;"["&amp;AB$8&amp;"]"),Data_main[Data],$A111, Data_main[Segment],$B111, Data_main[Scenario],$B$3)),SUMIFS(INDIRECT("Data_main"&amp;"["&amp;AB$8&amp;"]"),Data_main[Data],$A111, Data_main[Segment],$B111, Data_main[Scenario],$B$3))</f>
        <v>0</v>
      </c>
      <c r="AC111" s="531">
        <f ca="1">IF($B$6="ON", IF(AC110&gt;=covid_start, IF(AC110&lt;covid_recovery,NA(),SUMIFS(INDIRECT("Data_main"&amp;"["&amp;AC$8&amp;"]"),Data_main[Data],$A111, Data_main[Segment],$B111, Data_main[Scenario],$B$3)),SUMIFS(INDIRECT("Data_main"&amp;"["&amp;AC$8&amp;"]"),Data_main[Data],$A111, Data_main[Segment],$B111, Data_main[Scenario],$B$3)),SUMIFS(INDIRECT("Data_main"&amp;"["&amp;AC$8&amp;"]"),Data_main[Data],$A111, Data_main[Segment],$B111, Data_main[Scenario],$B$3))</f>
        <v>0</v>
      </c>
      <c r="AD111" s="531">
        <f ca="1">IF($B$6="ON", IF(AD110&gt;=covid_start, IF(AD110&lt;covid_recovery,NA(),SUMIFS(INDIRECT("Data_main"&amp;"["&amp;AD$8&amp;"]"),Data_main[Data],$A111, Data_main[Segment],$B111, Data_main[Scenario],$B$3)),SUMIFS(INDIRECT("Data_main"&amp;"["&amp;AD$8&amp;"]"),Data_main[Data],$A111, Data_main[Segment],$B111, Data_main[Scenario],$B$3)),SUMIFS(INDIRECT("Data_main"&amp;"["&amp;AD$8&amp;"]"),Data_main[Data],$A111, Data_main[Segment],$B111, Data_main[Scenario],$B$3))</f>
        <v>0</v>
      </c>
      <c r="AE111" s="531">
        <f ca="1">IF($B$6="ON", IF(AE110&gt;=covid_start, IF(AE110&lt;covid_recovery,NA(),SUMIFS(INDIRECT("Data_main"&amp;"["&amp;AE$8&amp;"]"),Data_main[Data],$A111, Data_main[Segment],$B111, Data_main[Scenario],$B$3)),SUMIFS(INDIRECT("Data_main"&amp;"["&amp;AE$8&amp;"]"),Data_main[Data],$A111, Data_main[Segment],$B111, Data_main[Scenario],$B$3)),SUMIFS(INDIRECT("Data_main"&amp;"["&amp;AE$8&amp;"]"),Data_main[Data],$A111, Data_main[Segment],$B111, Data_main[Scenario],$B$3))</f>
        <v>0</v>
      </c>
      <c r="AF111" s="531">
        <f ca="1">IF($B$6="ON", IF(AF110&gt;=covid_start, IF(AF110&lt;covid_recovery,NA(),SUMIFS(INDIRECT("Data_main"&amp;"["&amp;AF$8&amp;"]"),Data_main[Data],$A111, Data_main[Segment],$B111, Data_main[Scenario],$B$3)),SUMIFS(INDIRECT("Data_main"&amp;"["&amp;AF$8&amp;"]"),Data_main[Data],$A111, Data_main[Segment],$B111, Data_main[Scenario],$B$3)),SUMIFS(INDIRECT("Data_main"&amp;"["&amp;AF$8&amp;"]"),Data_main[Data],$A111, Data_main[Segment],$B111, Data_main[Scenario],$B$3))</f>
        <v>0</v>
      </c>
      <c r="AG111" s="531">
        <f ca="1">IF($B$6="ON", IF(AG110&gt;=covid_start, IF(AG110&lt;covid_recovery,NA(),SUMIFS(INDIRECT("Data_main"&amp;"["&amp;AG$8&amp;"]"),Data_main[Data],$A111, Data_main[Segment],$B111, Data_main[Scenario],$B$3)),SUMIFS(INDIRECT("Data_main"&amp;"["&amp;AG$8&amp;"]"),Data_main[Data],$A111, Data_main[Segment],$B111, Data_main[Scenario],$B$3)),SUMIFS(INDIRECT("Data_main"&amp;"["&amp;AG$8&amp;"]"),Data_main[Data],$A111, Data_main[Segment],$B111, Data_main[Scenario],$B$3))</f>
        <v>0</v>
      </c>
      <c r="AH111" s="531">
        <f ca="1">IF($B$6="ON", IF(AH110&gt;=covid_start, IF(AH110&lt;covid_recovery,NA(),SUMIFS(INDIRECT("Data_main"&amp;"["&amp;AH$8&amp;"]"),Data_main[Data],$A111, Data_main[Segment],$B111, Data_main[Scenario],$B$3)),SUMIFS(INDIRECT("Data_main"&amp;"["&amp;AH$8&amp;"]"),Data_main[Data],$A111, Data_main[Segment],$B111, Data_main[Scenario],$B$3)),SUMIFS(INDIRECT("Data_main"&amp;"["&amp;AH$8&amp;"]"),Data_main[Data],$A111, Data_main[Segment],$B111, Data_main[Scenario],$B$3))</f>
        <v>0</v>
      </c>
      <c r="AI111" s="531">
        <f ca="1">IF($B$6="ON", IF(AI110&gt;=covid_start, IF(AI110&lt;covid_recovery,NA(),SUMIFS(INDIRECT("Data_main"&amp;"["&amp;AI$8&amp;"]"),Data_main[Data],$A111, Data_main[Segment],$B111, Data_main[Scenario],$B$3)),SUMIFS(INDIRECT("Data_main"&amp;"["&amp;AI$8&amp;"]"),Data_main[Data],$A111, Data_main[Segment],$B111, Data_main[Scenario],$B$3)),SUMIFS(INDIRECT("Data_main"&amp;"["&amp;AI$8&amp;"]"),Data_main[Data],$A111, Data_main[Segment],$B111, Data_main[Scenario],$B$3))</f>
        <v>0</v>
      </c>
      <c r="AJ111" s="531">
        <f ca="1">IF($B$6="ON", IF(AJ110&gt;=covid_start, IF(AJ110&lt;covid_recovery,NA(),SUMIFS(INDIRECT("Data_main"&amp;"["&amp;AJ$8&amp;"]"),Data_main[Data],$A111, Data_main[Segment],$B111, Data_main[Scenario],$B$3)),SUMIFS(INDIRECT("Data_main"&amp;"["&amp;AJ$8&amp;"]"),Data_main[Data],$A111, Data_main[Segment],$B111, Data_main[Scenario],$B$3)),SUMIFS(INDIRECT("Data_main"&amp;"["&amp;AJ$8&amp;"]"),Data_main[Data],$A111, Data_main[Segment],$B111, Data_main[Scenario],$B$3))</f>
        <v>0</v>
      </c>
      <c r="AK111" s="531">
        <f ca="1">IF($B$6="ON", IF(AK110&gt;=covid_start, IF(AK110&lt;covid_recovery,NA(),SUMIFS(INDIRECT("Data_main"&amp;"["&amp;AK$8&amp;"]"),Data_main[Data],$A111, Data_main[Segment],$B111, Data_main[Scenario],$B$3)),SUMIFS(INDIRECT("Data_main"&amp;"["&amp;AK$8&amp;"]"),Data_main[Data],$A111, Data_main[Segment],$B111, Data_main[Scenario],$B$3)),SUMIFS(INDIRECT("Data_main"&amp;"["&amp;AK$8&amp;"]"),Data_main[Data],$A111, Data_main[Segment],$B111, Data_main[Scenario],$B$3))</f>
        <v>0</v>
      </c>
      <c r="AL111" s="531">
        <f ca="1">IF($B$6="ON", IF(AL110&gt;=covid_start, IF(AL110&lt;covid_recovery,NA(),SUMIFS(INDIRECT("Data_main"&amp;"["&amp;AL$8&amp;"]"),Data_main[Data],$A111, Data_main[Segment],$B111, Data_main[Scenario],$B$3)),SUMIFS(INDIRECT("Data_main"&amp;"["&amp;AL$8&amp;"]"),Data_main[Data],$A111, Data_main[Segment],$B111, Data_main[Scenario],$B$3)),SUMIFS(INDIRECT("Data_main"&amp;"["&amp;AL$8&amp;"]"),Data_main[Data],$A111, Data_main[Segment],$B111, Data_main[Scenario],$B$3))</f>
        <v>0</v>
      </c>
      <c r="AM111" s="531">
        <f ca="1">IF($B$6="ON", IF(AM110&gt;=covid_start, IF(AM110&lt;covid_recovery,NA(),SUMIFS(INDIRECT("Data_main"&amp;"["&amp;AM$8&amp;"]"),Data_main[Data],$A111, Data_main[Segment],$B111, Data_main[Scenario],$B$3)),SUMIFS(INDIRECT("Data_main"&amp;"["&amp;AM$8&amp;"]"),Data_main[Data],$A111, Data_main[Segment],$B111, Data_main[Scenario],$B$3)),SUMIFS(INDIRECT("Data_main"&amp;"["&amp;AM$8&amp;"]"),Data_main[Data],$A111, Data_main[Segment],$B111, Data_main[Scenario],$B$3))</f>
        <v>0</v>
      </c>
      <c r="AN111" s="531">
        <f ca="1">IF($B$6="ON", IF(AN110&gt;=covid_start, IF(AN110&lt;covid_recovery,NA(),SUMIFS(INDIRECT("Data_main"&amp;"["&amp;AN$8&amp;"]"),Data_main[Data],$A111, Data_main[Segment],$B111, Data_main[Scenario],$B$3)),SUMIFS(INDIRECT("Data_main"&amp;"["&amp;AN$8&amp;"]"),Data_main[Data],$A111, Data_main[Segment],$B111, Data_main[Scenario],$B$3)),SUMIFS(INDIRECT("Data_main"&amp;"["&amp;AN$8&amp;"]"),Data_main[Data],$A111, Data_main[Segment],$B111, Data_main[Scenario],$B$3))</f>
        <v>0</v>
      </c>
      <c r="AO111" s="531">
        <f ca="1">IF($B$6="ON", IF(AO110&gt;=covid_start, IF(AO110&lt;covid_recovery,NA(),SUMIFS(INDIRECT("Data_main"&amp;"["&amp;AO$8&amp;"]"),Data_main[Data],$A111, Data_main[Segment],$B111, Data_main[Scenario],$B$3)),SUMIFS(INDIRECT("Data_main"&amp;"["&amp;AO$8&amp;"]"),Data_main[Data],$A111, Data_main[Segment],$B111, Data_main[Scenario],$B$3)),SUMIFS(INDIRECT("Data_main"&amp;"["&amp;AO$8&amp;"]"),Data_main[Data],$A111, Data_main[Segment],$B111, Data_main[Scenario],$B$3))</f>
        <v>0</v>
      </c>
      <c r="AP111" s="531">
        <f ca="1">IF($B$6="ON", IF(AP110&gt;=covid_start, IF(AP110&lt;covid_recovery,NA(),SUMIFS(INDIRECT("Data_main"&amp;"["&amp;AP$8&amp;"]"),Data_main[Data],$A111, Data_main[Segment],$B111, Data_main[Scenario],$B$3)),SUMIFS(INDIRECT("Data_main"&amp;"["&amp;AP$8&amp;"]"),Data_main[Data],$A111, Data_main[Segment],$B111, Data_main[Scenario],$B$3)),SUMIFS(INDIRECT("Data_main"&amp;"["&amp;AP$8&amp;"]"),Data_main[Data],$A111, Data_main[Segment],$B111, Data_main[Scenario],$B$3))</f>
        <v>0</v>
      </c>
      <c r="AQ111" s="531">
        <f ca="1">IF($B$6="ON", IF(AQ110&gt;=covid_start, IF(AQ110&lt;covid_recovery,NA(),SUMIFS(INDIRECT("Data_main"&amp;"["&amp;AQ$8&amp;"]"),Data_main[Data],$A111, Data_main[Segment],$B111, Data_main[Scenario],$B$3)),SUMIFS(INDIRECT("Data_main"&amp;"["&amp;AQ$8&amp;"]"),Data_main[Data],$A111, Data_main[Segment],$B111, Data_main[Scenario],$B$3)),SUMIFS(INDIRECT("Data_main"&amp;"["&amp;AQ$8&amp;"]"),Data_main[Data],$A111, Data_main[Segment],$B111, Data_main[Scenario],$B$3))</f>
        <v>0</v>
      </c>
      <c r="AR111" s="531">
        <f ca="1">IF($B$6="ON", IF(AR110&gt;=covid_start, IF(AR110&lt;covid_recovery,NA(),SUMIFS(INDIRECT("Data_main"&amp;"["&amp;AR$8&amp;"]"),Data_main[Data],$A111, Data_main[Segment],$B111, Data_main[Scenario],$B$3)),SUMIFS(INDIRECT("Data_main"&amp;"["&amp;AR$8&amp;"]"),Data_main[Data],$A111, Data_main[Segment],$B111, Data_main[Scenario],$B$3)),SUMIFS(INDIRECT("Data_main"&amp;"["&amp;AR$8&amp;"]"),Data_main[Data],$A111, Data_main[Segment],$B111, Data_main[Scenario],$B$3))</f>
        <v>0</v>
      </c>
      <c r="AS111" s="531">
        <f ca="1">IF($B$6="ON", IF(AS110&gt;=covid_start, IF(AS110&lt;covid_recovery,NA(),SUMIFS(INDIRECT("Data_main"&amp;"["&amp;AS$8&amp;"]"),Data_main[Data],$A111, Data_main[Segment],$B111, Data_main[Scenario],$B$3)),SUMIFS(INDIRECT("Data_main"&amp;"["&amp;AS$8&amp;"]"),Data_main[Data],$A111, Data_main[Segment],$B111, Data_main[Scenario],$B$3)),SUMIFS(INDIRECT("Data_main"&amp;"["&amp;AS$8&amp;"]"),Data_main[Data],$A111, Data_main[Segment],$B111, Data_main[Scenario],$B$3))</f>
        <v>0</v>
      </c>
      <c r="AT111" s="531">
        <f ca="1">IF($B$6="ON", IF(AT110&gt;=covid_start, IF(AT110&lt;covid_recovery,NA(),SUMIFS(INDIRECT("Data_main"&amp;"["&amp;AT$8&amp;"]"),Data_main[Data],$A111, Data_main[Segment],$B111, Data_main[Scenario],$B$3)),SUMIFS(INDIRECT("Data_main"&amp;"["&amp;AT$8&amp;"]"),Data_main[Data],$A111, Data_main[Segment],$B111, Data_main[Scenario],$B$3)),SUMIFS(INDIRECT("Data_main"&amp;"["&amp;AT$8&amp;"]"),Data_main[Data],$A111, Data_main[Segment],$B111, Data_main[Scenario],$B$3))</f>
        <v>0</v>
      </c>
      <c r="AU111" s="531">
        <f ca="1">IF($B$6="ON", IF(AU110&gt;=covid_start, IF(AU110&lt;covid_recovery,NA(),SUMIFS(INDIRECT("Data_main"&amp;"["&amp;AU$8&amp;"]"),Data_main[Data],$A111, Data_main[Segment],$B111, Data_main[Scenario],$B$3)),SUMIFS(INDIRECT("Data_main"&amp;"["&amp;AU$8&amp;"]"),Data_main[Data],$A111, Data_main[Segment],$B111, Data_main[Scenario],$B$3)),SUMIFS(INDIRECT("Data_main"&amp;"["&amp;AU$8&amp;"]"),Data_main[Data],$A111, Data_main[Segment],$B111, Data_main[Scenario],$B$3))</f>
        <v>0</v>
      </c>
      <c r="AV111" s="531">
        <f ca="1">IF($B$6="ON", IF(AV110&gt;=covid_start, IF(AV110&lt;covid_recovery,NA(),SUMIFS(INDIRECT("Data_main"&amp;"["&amp;AV$8&amp;"]"),Data_main[Data],$A111, Data_main[Segment],$B111, Data_main[Scenario],$B$3)),SUMIFS(INDIRECT("Data_main"&amp;"["&amp;AV$8&amp;"]"),Data_main[Data],$A111, Data_main[Segment],$B111, Data_main[Scenario],$B$3)),SUMIFS(INDIRECT("Data_main"&amp;"["&amp;AV$8&amp;"]"),Data_main[Data],$A111, Data_main[Segment],$B111, Data_main[Scenario],$B$3))</f>
        <v>0</v>
      </c>
      <c r="AW111" s="531">
        <f ca="1">IF($B$6="ON", IF(AW110&gt;=covid_start, IF(AW110&lt;covid_recovery,NA(),SUMIFS(INDIRECT("Data_main"&amp;"["&amp;AW$8&amp;"]"),Data_main[Data],$A111, Data_main[Segment],$B111, Data_main[Scenario],$B$3)),SUMIFS(INDIRECT("Data_main"&amp;"["&amp;AW$8&amp;"]"),Data_main[Data],$A111, Data_main[Segment],$B111, Data_main[Scenario],$B$3)),SUMIFS(INDIRECT("Data_main"&amp;"["&amp;AW$8&amp;"]"),Data_main[Data],$A111, Data_main[Segment],$B111, Data_main[Scenario],$B$3))</f>
        <v>0</v>
      </c>
      <c r="AX111" s="531">
        <f ca="1">IF($B$6="ON", IF(AX110&gt;=covid_start, IF(AX110&lt;covid_recovery,NA(),SUMIFS(INDIRECT("Data_main"&amp;"["&amp;AX$8&amp;"]"),Data_main[Data],$A111, Data_main[Segment],$B111, Data_main[Scenario],$B$3)),SUMIFS(INDIRECT("Data_main"&amp;"["&amp;AX$8&amp;"]"),Data_main[Data],$A111, Data_main[Segment],$B111, Data_main[Scenario],$B$3)),SUMIFS(INDIRECT("Data_main"&amp;"["&amp;AX$8&amp;"]"),Data_main[Data],$A111, Data_main[Segment],$B111, Data_main[Scenario],$B$3))</f>
        <v>0</v>
      </c>
      <c r="AY111" s="531">
        <f ca="1">IF($B$6="ON", IF(AY110&gt;=covid_start, IF(AY110&lt;covid_recovery,NA(),SUMIFS(INDIRECT("Data_main"&amp;"["&amp;AY$8&amp;"]"),Data_main[Data],$A111, Data_main[Segment],$B111, Data_main[Scenario],$B$3)),SUMIFS(INDIRECT("Data_main"&amp;"["&amp;AY$8&amp;"]"),Data_main[Data],$A111, Data_main[Segment],$B111, Data_main[Scenario],$B$3)),SUMIFS(INDIRECT("Data_main"&amp;"["&amp;AY$8&amp;"]"),Data_main[Data],$A111, Data_main[Segment],$B111, Data_main[Scenario],$B$3))</f>
        <v>0</v>
      </c>
      <c r="AZ111" s="531">
        <f ca="1">IF($B$6="ON", IF(AZ110&gt;=covid_start, IF(AZ110&lt;covid_recovery,NA(),SUMIFS(INDIRECT("Data_main"&amp;"["&amp;AZ$8&amp;"]"),Data_main[Data],$A111, Data_main[Segment],$B111, Data_main[Scenario],$B$3)),SUMIFS(INDIRECT("Data_main"&amp;"["&amp;AZ$8&amp;"]"),Data_main[Data],$A111, Data_main[Segment],$B111, Data_main[Scenario],$B$3)),SUMIFS(INDIRECT("Data_main"&amp;"["&amp;AZ$8&amp;"]"),Data_main[Data],$A111, Data_main[Segment],$B111, Data_main[Scenario],$B$3))</f>
        <v>0</v>
      </c>
      <c r="BA111" s="531">
        <f ca="1">IF($B$6="ON", IF(BA110&gt;=covid_start, IF(BA110&lt;covid_recovery,NA(),SUMIFS(INDIRECT("Data_main"&amp;"["&amp;BA$8&amp;"]"),Data_main[Data],$A111, Data_main[Segment],$B111, Data_main[Scenario],$B$3)),SUMIFS(INDIRECT("Data_main"&amp;"["&amp;BA$8&amp;"]"),Data_main[Data],$A111, Data_main[Segment],$B111, Data_main[Scenario],$B$3)),SUMIFS(INDIRECT("Data_main"&amp;"["&amp;BA$8&amp;"]"),Data_main[Data],$A111, Data_main[Segment],$B111, Data_main[Scenario],$B$3))</f>
        <v>0</v>
      </c>
      <c r="BB111" s="531">
        <f ca="1">IF($B$6="ON", IF(BB110&gt;=covid_start, IF(BB110&lt;covid_recovery,NA(),SUMIFS(INDIRECT("Data_main"&amp;"["&amp;BB$8&amp;"]"),Data_main[Data],$A111, Data_main[Segment],$B111, Data_main[Scenario],$B$3)),SUMIFS(INDIRECT("Data_main"&amp;"["&amp;BB$8&amp;"]"),Data_main[Data],$A111, Data_main[Segment],$B111, Data_main[Scenario],$B$3)),SUMIFS(INDIRECT("Data_main"&amp;"["&amp;BB$8&amp;"]"),Data_main[Data],$A111, Data_main[Segment],$B111, Data_main[Scenario],$B$3))</f>
        <v>0</v>
      </c>
      <c r="BC111" s="531">
        <f ca="1">IF($B$6="ON", IF(BC110&gt;=covid_start, IF(BC110&lt;covid_recovery,NA(),SUMIFS(INDIRECT("Data_main"&amp;"["&amp;BC$8&amp;"]"),Data_main[Data],$A111, Data_main[Segment],$B111, Data_main[Scenario],$B$3)),SUMIFS(INDIRECT("Data_main"&amp;"["&amp;BC$8&amp;"]"),Data_main[Data],$A111, Data_main[Segment],$B111, Data_main[Scenario],$B$3)),SUMIFS(INDIRECT("Data_main"&amp;"["&amp;BC$8&amp;"]"),Data_main[Data],$A111, Data_main[Segment],$B111, Data_main[Scenario],$B$3))</f>
        <v>0</v>
      </c>
      <c r="BD111" s="531">
        <f ca="1">IF($B$6="ON", IF(BD110&gt;=covid_start, IF(BD110&lt;covid_recovery,NA(),SUMIFS(INDIRECT("Data_main"&amp;"["&amp;BD$8&amp;"]"),Data_main[Data],$A111, Data_main[Segment],$B111, Data_main[Scenario],$B$3)),SUMIFS(INDIRECT("Data_main"&amp;"["&amp;BD$8&amp;"]"),Data_main[Data],$A111, Data_main[Segment],$B111, Data_main[Scenario],$B$3)),SUMIFS(INDIRECT("Data_main"&amp;"["&amp;BD$8&amp;"]"),Data_main[Data],$A111, Data_main[Segment],$B111, Data_main[Scenario],$B$3))</f>
        <v>0</v>
      </c>
      <c r="BE111" s="531">
        <f ca="1">IF($B$6="ON", IF(BE110&gt;=covid_start, IF(BE110&lt;covid_recovery,NA(),SUMIFS(INDIRECT("Data_main"&amp;"["&amp;BE$8&amp;"]"),Data_main[Data],$A111, Data_main[Segment],$B111, Data_main[Scenario],$B$3)),SUMIFS(INDIRECT("Data_main"&amp;"["&amp;BE$8&amp;"]"),Data_main[Data],$A111, Data_main[Segment],$B111, Data_main[Scenario],$B$3)),SUMIFS(INDIRECT("Data_main"&amp;"["&amp;BE$8&amp;"]"),Data_main[Data],$A111, Data_main[Segment],$B111, Data_main[Scenario],$B$3))</f>
        <v>0</v>
      </c>
      <c r="BF111" s="531">
        <f ca="1">IF($B$6="ON", IF(BF110&gt;=covid_start, IF(BF110&lt;covid_recovery,NA(),SUMIFS(INDIRECT("Data_main"&amp;"["&amp;BF$8&amp;"]"),Data_main[Data],$A111, Data_main[Segment],$B111, Data_main[Scenario],$B$3)),SUMIFS(INDIRECT("Data_main"&amp;"["&amp;BF$8&amp;"]"),Data_main[Data],$A111, Data_main[Segment],$B111, Data_main[Scenario],$B$3)),SUMIFS(INDIRECT("Data_main"&amp;"["&amp;BF$8&amp;"]"),Data_main[Data],$A111, Data_main[Segment],$B111, Data_main[Scenario],$B$3))</f>
        <v>0</v>
      </c>
      <c r="BG111" s="531">
        <f ca="1">IF($B$6="ON", IF(BG110&gt;=covid_start, IF(BG110&lt;covid_recovery,NA(),SUMIFS(INDIRECT("Data_main"&amp;"["&amp;BG$8&amp;"]"),Data_main[Data],$A111, Data_main[Segment],$B111, Data_main[Scenario],$B$3)),SUMIFS(INDIRECT("Data_main"&amp;"["&amp;BG$8&amp;"]"),Data_main[Data],$A111, Data_main[Segment],$B111, Data_main[Scenario],$B$3)),SUMIFS(INDIRECT("Data_main"&amp;"["&amp;BG$8&amp;"]"),Data_main[Data],$A111, Data_main[Segment],$B111, Data_main[Scenario],$B$3))</f>
        <v>0</v>
      </c>
      <c r="BH111" s="531">
        <f ca="1">IF($B$6="ON", IF(BH110&gt;=covid_start, IF(BH110&lt;covid_recovery,NA(),SUMIFS(INDIRECT("Data_main"&amp;"["&amp;BH$8&amp;"]"),Data_main[Data],$A111, Data_main[Segment],$B111, Data_main[Scenario],$B$3)),SUMIFS(INDIRECT("Data_main"&amp;"["&amp;BH$8&amp;"]"),Data_main[Data],$A111, Data_main[Segment],$B111, Data_main[Scenario],$B$3)),SUMIFS(INDIRECT("Data_main"&amp;"["&amp;BH$8&amp;"]"),Data_main[Data],$A111, Data_main[Segment],$B111, Data_main[Scenario],$B$3))</f>
        <v>0</v>
      </c>
      <c r="BI111" s="531">
        <f ca="1">IF($B$6="ON", IF(BI110&gt;=covid_start, IF(BI110&lt;covid_recovery,NA(),SUMIFS(INDIRECT("Data_main"&amp;"["&amp;BI$8&amp;"]"),Data_main[Data],$A111, Data_main[Segment],$B111, Data_main[Scenario],$B$3)),SUMIFS(INDIRECT("Data_main"&amp;"["&amp;BI$8&amp;"]"),Data_main[Data],$A111, Data_main[Segment],$B111, Data_main[Scenario],$B$3)),SUMIFS(INDIRECT("Data_main"&amp;"["&amp;BI$8&amp;"]"),Data_main[Data],$A111, Data_main[Segment],$B111, Data_main[Scenario],$B$3))</f>
        <v>0</v>
      </c>
      <c r="BJ111" s="531">
        <f ca="1">IF($B$6="ON", IF(BJ110&gt;=covid_start, IF(BJ110&lt;covid_recovery,NA(),SUMIFS(INDIRECT("Data_main"&amp;"["&amp;BJ$8&amp;"]"),Data_main[Data],$A111, Data_main[Segment],$B111, Data_main[Scenario],$B$3)),SUMIFS(INDIRECT("Data_main"&amp;"["&amp;BJ$8&amp;"]"),Data_main[Data],$A111, Data_main[Segment],$B111, Data_main[Scenario],$B$3)),SUMIFS(INDIRECT("Data_main"&amp;"["&amp;BJ$8&amp;"]"),Data_main[Data],$A111, Data_main[Segment],$B111, Data_main[Scenario],$B$3))</f>
        <v>0</v>
      </c>
      <c r="BK111" s="531">
        <f ca="1">IF($B$6="ON", IF(BK110&gt;=covid_start, IF(BK110&lt;covid_recovery,NA(),SUMIFS(INDIRECT("Data_main"&amp;"["&amp;BK$8&amp;"]"),Data_main[Data],$A111, Data_main[Segment],$B111, Data_main[Scenario],$B$3)),SUMIFS(INDIRECT("Data_main"&amp;"["&amp;BK$8&amp;"]"),Data_main[Data],$A111, Data_main[Segment],$B111, Data_main[Scenario],$B$3)),SUMIFS(INDIRECT("Data_main"&amp;"["&amp;BK$8&amp;"]"),Data_main[Data],$A111, Data_main[Segment],$B111, Data_main[Scenario],$B$3))</f>
        <v>0</v>
      </c>
      <c r="BL111" s="531">
        <f ca="1">IF($B$6="ON", IF(BL110&gt;=covid_start, IF(BL110&lt;covid_recovery,NA(),SUMIFS(INDIRECT("Data_main"&amp;"["&amp;BL$8&amp;"]"),Data_main[Data],$A111, Data_main[Segment],$B111, Data_main[Scenario],$B$3)),SUMIFS(INDIRECT("Data_main"&amp;"["&amp;BL$8&amp;"]"),Data_main[Data],$A111, Data_main[Segment],$B111, Data_main[Scenario],$B$3)),SUMIFS(INDIRECT("Data_main"&amp;"["&amp;BL$8&amp;"]"),Data_main[Data],$A111, Data_main[Segment],$B111, Data_main[Scenario],$B$3))</f>
        <v>0</v>
      </c>
      <c r="BM111" s="531">
        <f ca="1">IF($B$6="ON", IF(BM110&gt;=covid_start, IF(BM110&lt;covid_recovery,NA(),SUMIFS(INDIRECT("Data_main"&amp;"["&amp;BM$8&amp;"]"),Data_main[Data],$A111, Data_main[Segment],$B111, Data_main[Scenario],$B$3)),SUMIFS(INDIRECT("Data_main"&amp;"["&amp;BM$8&amp;"]"),Data_main[Data],$A111, Data_main[Segment],$B111, Data_main[Scenario],$B$3)),SUMIFS(INDIRECT("Data_main"&amp;"["&amp;BM$8&amp;"]"),Data_main[Data],$A111, Data_main[Segment],$B111, Data_main[Scenario],$B$3))</f>
        <v>0</v>
      </c>
      <c r="BN111" s="531">
        <f ca="1">IF($B$6="ON", IF(BN110&gt;=covid_start, IF(BN110&lt;covid_recovery,NA(),SUMIFS(INDIRECT("Data_main"&amp;"["&amp;BN$8&amp;"]"),Data_main[Data],$A111, Data_main[Segment],$B111, Data_main[Scenario],$B$3)),SUMIFS(INDIRECT("Data_main"&amp;"["&amp;BN$8&amp;"]"),Data_main[Data],$A111, Data_main[Segment],$B111, Data_main[Scenario],$B$3)),SUMIFS(INDIRECT("Data_main"&amp;"["&amp;BN$8&amp;"]"),Data_main[Data],$A111, Data_main[Segment],$B111, Data_main[Scenario],$B$3))</f>
        <v>0</v>
      </c>
      <c r="BO111" s="531">
        <f ca="1">IF($B$6="ON", IF(BO110&gt;=covid_start, IF(BO110&lt;covid_recovery,NA(),SUMIFS(INDIRECT("Data_main"&amp;"["&amp;BO$8&amp;"]"),Data_main[Data],$A111, Data_main[Segment],$B111, Data_main[Scenario],$B$3)),SUMIFS(INDIRECT("Data_main"&amp;"["&amp;BO$8&amp;"]"),Data_main[Data],$A111, Data_main[Segment],$B111, Data_main[Scenario],$B$3)),SUMIFS(INDIRECT("Data_main"&amp;"["&amp;BO$8&amp;"]"),Data_main[Data],$A111, Data_main[Segment],$B111, Data_main[Scenario],$B$3))</f>
        <v>0</v>
      </c>
      <c r="BP111" s="531">
        <f ca="1">IF($B$6="ON", IF(BP110&gt;=covid_start, IF(BP110&lt;covid_recovery,NA(),SUMIFS(INDIRECT("Data_main"&amp;"["&amp;BP$8&amp;"]"),Data_main[Data],$A111, Data_main[Segment],$B111, Data_main[Scenario],$B$3)),SUMIFS(INDIRECT("Data_main"&amp;"["&amp;BP$8&amp;"]"),Data_main[Data],$A111, Data_main[Segment],$B111, Data_main[Scenario],$B$3)),SUMIFS(INDIRECT("Data_main"&amp;"["&amp;BP$8&amp;"]"),Data_main[Data],$A111, Data_main[Segment],$B111, Data_main[Scenario],$B$3))</f>
        <v>0</v>
      </c>
      <c r="BQ111" s="531">
        <f ca="1">IF($B$6="ON", IF(BQ110&gt;=covid_start, IF(BQ110&lt;covid_recovery,NA(),SUMIFS(INDIRECT("Data_main"&amp;"["&amp;BQ$8&amp;"]"),Data_main[Data],$A111, Data_main[Segment],$B111, Data_main[Scenario],$B$3)),SUMIFS(INDIRECT("Data_main"&amp;"["&amp;BQ$8&amp;"]"),Data_main[Data],$A111, Data_main[Segment],$B111, Data_main[Scenario],$B$3)),SUMIFS(INDIRECT("Data_main"&amp;"["&amp;BQ$8&amp;"]"),Data_main[Data],$A111, Data_main[Segment],$B111, Data_main[Scenario],$B$3))</f>
        <v>0</v>
      </c>
      <c r="BR111" s="531">
        <f ca="1">IF($B$6="ON", IF(BR110&gt;=covid_start, IF(BR110&lt;covid_recovery,NA(),SUMIFS(INDIRECT("Data_main"&amp;"["&amp;BR$8&amp;"]"),Data_main[Data],$A111, Data_main[Segment],$B111, Data_main[Scenario],$B$3)),SUMIFS(INDIRECT("Data_main"&amp;"["&amp;BR$8&amp;"]"),Data_main[Data],$A111, Data_main[Segment],$B111, Data_main[Scenario],$B$3)),SUMIFS(INDIRECT("Data_main"&amp;"["&amp;BR$8&amp;"]"),Data_main[Data],$A111, Data_main[Segment],$B111, Data_main[Scenario],$B$3))</f>
        <v>0</v>
      </c>
      <c r="BS111" s="531">
        <f ca="1">IF($B$6="ON", IF(BS110&gt;=covid_start, IF(BS110&lt;covid_recovery,NA(),SUMIFS(INDIRECT("Data_main"&amp;"["&amp;BS$8&amp;"]"),Data_main[Data],$A111, Data_main[Segment],$B111, Data_main[Scenario],$B$3)),SUMIFS(INDIRECT("Data_main"&amp;"["&amp;BS$8&amp;"]"),Data_main[Data],$A111, Data_main[Segment],$B111, Data_main[Scenario],$B$3)),SUMIFS(INDIRECT("Data_main"&amp;"["&amp;BS$8&amp;"]"),Data_main[Data],$A111, Data_main[Segment],$B111, Data_main[Scenario],$B$3))</f>
        <v>0</v>
      </c>
      <c r="BT111" s="531">
        <f ca="1">IF($B$6="ON", IF(BT110&gt;=covid_start, IF(BT110&lt;covid_recovery,NA(),SUMIFS(INDIRECT("Data_main"&amp;"["&amp;BT$8&amp;"]"),Data_main[Data],$A111, Data_main[Segment],$B111, Data_main[Scenario],$B$3)),SUMIFS(INDIRECT("Data_main"&amp;"["&amp;BT$8&amp;"]"),Data_main[Data],$A111, Data_main[Segment],$B111, Data_main[Scenario],$B$3)),SUMIFS(INDIRECT("Data_main"&amp;"["&amp;BT$8&amp;"]"),Data_main[Data],$A111, Data_main[Segment],$B111, Data_main[Scenario],$B$3))</f>
        <v>0</v>
      </c>
      <c r="BU111" s="531">
        <f ca="1">IF($B$6="ON", IF(BU110&gt;=covid_start, IF(BU110&lt;covid_recovery,NA(),SUMIFS(INDIRECT("Data_main"&amp;"["&amp;BU$8&amp;"]"),Data_main[Data],$A111, Data_main[Segment],$B111, Data_main[Scenario],$B$3)),SUMIFS(INDIRECT("Data_main"&amp;"["&amp;BU$8&amp;"]"),Data_main[Data],$A111, Data_main[Segment],$B111, Data_main[Scenario],$B$3)),SUMIFS(INDIRECT("Data_main"&amp;"["&amp;BU$8&amp;"]"),Data_main[Data],$A111, Data_main[Segment],$B111, Data_main[Scenario],$B$3))</f>
        <v>0</v>
      </c>
      <c r="BV111" s="531">
        <f ca="1">IF($B$6="ON", IF(BV110&gt;=covid_start, IF(BV110&lt;covid_recovery,NA(),SUMIFS(INDIRECT("Data_main"&amp;"["&amp;BV$8&amp;"]"),Data_main[Data],$A111, Data_main[Segment],$B111, Data_main[Scenario],$B$3)),SUMIFS(INDIRECT("Data_main"&amp;"["&amp;BV$8&amp;"]"),Data_main[Data],$A111, Data_main[Segment],$B111, Data_main[Scenario],$B$3)),SUMIFS(INDIRECT("Data_main"&amp;"["&amp;BV$8&amp;"]"),Data_main[Data],$A111, Data_main[Segment],$B111, Data_main[Scenario],$B$3))</f>
        <v>0</v>
      </c>
      <c r="BW111" s="531">
        <f ca="1">IF($B$6="ON", IF(BW110&gt;=covid_start, IF(BW110&lt;covid_recovery,NA(),SUMIFS(INDIRECT("Data_main"&amp;"["&amp;BW$8&amp;"]"),Data_main[Data],$A111, Data_main[Segment],$B111, Data_main[Scenario],$B$3)),SUMIFS(INDIRECT("Data_main"&amp;"["&amp;BW$8&amp;"]"),Data_main[Data],$A111, Data_main[Segment],$B111, Data_main[Scenario],$B$3)),SUMIFS(INDIRECT("Data_main"&amp;"["&amp;BW$8&amp;"]"),Data_main[Data],$A111, Data_main[Segment],$B111, Data_main[Scenario],$B$3))</f>
        <v>0</v>
      </c>
      <c r="BX111" s="531">
        <f ca="1">IF($B$6="ON", IF(BX110&gt;=covid_start, IF(BX110&lt;covid_recovery,NA(),SUMIFS(INDIRECT("Data_main"&amp;"["&amp;BX$8&amp;"]"),Data_main[Data],$A111, Data_main[Segment],$B111, Data_main[Scenario],$B$3)),SUMIFS(INDIRECT("Data_main"&amp;"["&amp;BX$8&amp;"]"),Data_main[Data],$A111, Data_main[Segment],$B111, Data_main[Scenario],$B$3)),SUMIFS(INDIRECT("Data_main"&amp;"["&amp;BX$8&amp;"]"),Data_main[Data],$A111, Data_main[Segment],$B111, Data_main[Scenario],$B$3))</f>
        <v>0</v>
      </c>
      <c r="BY111" s="531">
        <f ca="1">IF($B$6="ON", IF(BY110&gt;=covid_start, IF(BY110&lt;covid_recovery,NA(),SUMIFS(INDIRECT("Data_main"&amp;"["&amp;BY$8&amp;"]"),Data_main[Data],$A111, Data_main[Segment],$B111, Data_main[Scenario],$B$3)),SUMIFS(INDIRECT("Data_main"&amp;"["&amp;BY$8&amp;"]"),Data_main[Data],$A111, Data_main[Segment],$B111, Data_main[Scenario],$B$3)),SUMIFS(INDIRECT("Data_main"&amp;"["&amp;BY$8&amp;"]"),Data_main[Data],$A111, Data_main[Segment],$B111, Data_main[Scenario],$B$3))</f>
        <v>0</v>
      </c>
      <c r="BZ111" s="531">
        <f ca="1">IF($B$6="ON", IF(BZ110&gt;=covid_start, IF(BZ110&lt;covid_recovery,NA(),SUMIFS(INDIRECT("Data_main"&amp;"["&amp;BZ$8&amp;"]"),Data_main[Data],$A111, Data_main[Segment],$B111, Data_main[Scenario],$B$3)),SUMIFS(INDIRECT("Data_main"&amp;"["&amp;BZ$8&amp;"]"),Data_main[Data],$A111, Data_main[Segment],$B111, Data_main[Scenario],$B$3)),SUMIFS(INDIRECT("Data_main"&amp;"["&amp;BZ$8&amp;"]"),Data_main[Data],$A111, Data_main[Segment],$B111, Data_main[Scenario],$B$3))</f>
        <v>0</v>
      </c>
      <c r="CA111" s="531">
        <f ca="1">IF($B$6="ON", IF(CA110&gt;=covid_start, IF(CA110&lt;covid_recovery,NA(),SUMIFS(INDIRECT("Data_main"&amp;"["&amp;CA$8&amp;"]"),Data_main[Data],$A111, Data_main[Segment],$B111, Data_main[Scenario],$B$3)),SUMIFS(INDIRECT("Data_main"&amp;"["&amp;CA$8&amp;"]"),Data_main[Data],$A111, Data_main[Segment],$B111, Data_main[Scenario],$B$3)),SUMIFS(INDIRECT("Data_main"&amp;"["&amp;CA$8&amp;"]"),Data_main[Data],$A111, Data_main[Segment],$B111, Data_main[Scenario],$B$3))</f>
        <v>0</v>
      </c>
      <c r="CB111" s="531">
        <f ca="1">IF($B$6="ON", IF(CB110&gt;=covid_start, IF(CB110&lt;covid_recovery,NA(),SUMIFS(INDIRECT("Data_main"&amp;"["&amp;CB$8&amp;"]"),Data_main[Data],$A111, Data_main[Segment],$B111, Data_main[Scenario],$B$3)),SUMIFS(INDIRECT("Data_main"&amp;"["&amp;CB$8&amp;"]"),Data_main[Data],$A111, Data_main[Segment],$B111, Data_main[Scenario],$B$3)),SUMIFS(INDIRECT("Data_main"&amp;"["&amp;CB$8&amp;"]"),Data_main[Data],$A111, Data_main[Segment],$B111, Data_main[Scenario],$B$3))</f>
        <v>0</v>
      </c>
      <c r="CC111" s="531">
        <f ca="1">IF($B$6="ON", IF(CC110&gt;=covid_start, IF(CC110&lt;covid_recovery,NA(),SUMIFS(INDIRECT("Data_main"&amp;"["&amp;CC$8&amp;"]"),Data_main[Data],$A111, Data_main[Segment],$B111, Data_main[Scenario],$B$3)),SUMIFS(INDIRECT("Data_main"&amp;"["&amp;CC$8&amp;"]"),Data_main[Data],$A111, Data_main[Segment],$B111, Data_main[Scenario],$B$3)),SUMIFS(INDIRECT("Data_main"&amp;"["&amp;CC$8&amp;"]"),Data_main[Data],$A111, Data_main[Segment],$B111, Data_main[Scenario],$B$3))</f>
        <v>0</v>
      </c>
      <c r="CD111" s="531">
        <f ca="1">IF($B$6="ON", IF(CD110&gt;=covid_start, IF(CD110&lt;covid_recovery,NA(),SUMIFS(INDIRECT("Data_main"&amp;"["&amp;CD$8&amp;"]"),Data_main[Data],$A111, Data_main[Segment],$B111, Data_main[Scenario],$B$3)),SUMIFS(INDIRECT("Data_main"&amp;"["&amp;CD$8&amp;"]"),Data_main[Data],$A111, Data_main[Segment],$B111, Data_main[Scenario],$B$3)),SUMIFS(INDIRECT("Data_main"&amp;"["&amp;CD$8&amp;"]"),Data_main[Data],$A111, Data_main[Segment],$B111, Data_main[Scenario],$B$3))</f>
        <v>0</v>
      </c>
      <c r="CE111" s="531">
        <f ca="1">IF($B$6="ON", IF(CE110&gt;=covid_start, IF(CE110&lt;covid_recovery,NA(),SUMIFS(INDIRECT("Data_main"&amp;"["&amp;CE$8&amp;"]"),Data_main[Data],$A111, Data_main[Segment],$B111, Data_main[Scenario],$B$3)),SUMIFS(INDIRECT("Data_main"&amp;"["&amp;CE$8&amp;"]"),Data_main[Data],$A111, Data_main[Segment],$B111, Data_main[Scenario],$B$3)),SUMIFS(INDIRECT("Data_main"&amp;"["&amp;CE$8&amp;"]"),Data_main[Data],$A111, Data_main[Segment],$B111, Data_main[Scenario],$B$3))</f>
        <v>0</v>
      </c>
      <c r="CF111" s="531">
        <f ca="1">IF($B$6="ON", IF(CF110&gt;=covid_start, IF(CF110&lt;covid_recovery,NA(),SUMIFS(INDIRECT("Data_main"&amp;"["&amp;CF$8&amp;"]"),Data_main[Data],$A111, Data_main[Segment],$B111, Data_main[Scenario],$B$3)),SUMIFS(INDIRECT("Data_main"&amp;"["&amp;CF$8&amp;"]"),Data_main[Data],$A111, Data_main[Segment],$B111, Data_main[Scenario],$B$3)),SUMIFS(INDIRECT("Data_main"&amp;"["&amp;CF$8&amp;"]"),Data_main[Data],$A111, Data_main[Segment],$B111, Data_main[Scenario],$B$3))</f>
        <v>0</v>
      </c>
      <c r="CG111" s="531">
        <f ca="1">IF($B$6="ON", IF(CG110&gt;=covid_start, IF(CG110&lt;covid_recovery,NA(),SUMIFS(INDIRECT("Data_main"&amp;"["&amp;CG$8&amp;"]"),Data_main[Data],$A111, Data_main[Segment],$B111, Data_main[Scenario],$B$3)),SUMIFS(INDIRECT("Data_main"&amp;"["&amp;CG$8&amp;"]"),Data_main[Data],$A111, Data_main[Segment],$B111, Data_main[Scenario],$B$3)),SUMIFS(INDIRECT("Data_main"&amp;"["&amp;CG$8&amp;"]"),Data_main[Data],$A111, Data_main[Segment],$B111, Data_main[Scenario],$B$3))</f>
        <v>0</v>
      </c>
      <c r="CH111" s="531">
        <f ca="1">IF($B$6="ON", IF(CH110&gt;=covid_start, IF(CH110&lt;covid_recovery,NA(),SUMIFS(INDIRECT("Data_main"&amp;"["&amp;CH$8&amp;"]"),Data_main[Data],$A111, Data_main[Segment],$B111, Data_main[Scenario],$B$3)),SUMIFS(INDIRECT("Data_main"&amp;"["&amp;CH$8&amp;"]"),Data_main[Data],$A111, Data_main[Segment],$B111, Data_main[Scenario],$B$3)),SUMIFS(INDIRECT("Data_main"&amp;"["&amp;CH$8&amp;"]"),Data_main[Data],$A111, Data_main[Segment],$B111, Data_main[Scenario],$B$3))</f>
        <v>0</v>
      </c>
      <c r="CI111" s="531">
        <f ca="1">IF($B$6="ON", IF(CI110&gt;=covid_start, IF(CI110&lt;covid_recovery,NA(),SUMIFS(INDIRECT("Data_main"&amp;"["&amp;CI$8&amp;"]"),Data_main[Data],$A111, Data_main[Segment],$B111, Data_main[Scenario],$B$3)),SUMIFS(INDIRECT("Data_main"&amp;"["&amp;CI$8&amp;"]"),Data_main[Data],$A111, Data_main[Segment],$B111, Data_main[Scenario],$B$3)),SUMIFS(INDIRECT("Data_main"&amp;"["&amp;CI$8&amp;"]"),Data_main[Data],$A111, Data_main[Segment],$B111, Data_main[Scenario],$B$3))</f>
        <v>0</v>
      </c>
      <c r="CJ111" s="531">
        <f ca="1">IF($B$6="ON", IF(CJ110&gt;=covid_start, IF(CJ110&lt;covid_recovery,NA(),SUMIFS(INDIRECT("Data_main"&amp;"["&amp;CJ$8&amp;"]"),Data_main[Data],$A111, Data_main[Segment],$B111, Data_main[Scenario],$B$3)),SUMIFS(INDIRECT("Data_main"&amp;"["&amp;CJ$8&amp;"]"),Data_main[Data],$A111, Data_main[Segment],$B111, Data_main[Scenario],$B$3)),SUMIFS(INDIRECT("Data_main"&amp;"["&amp;CJ$8&amp;"]"),Data_main[Data],$A111, Data_main[Segment],$B111, Data_main[Scenario],$B$3))</f>
        <v>0</v>
      </c>
      <c r="CK111" s="531">
        <f ca="1">IF($B$6="ON", IF(CK110&gt;=covid_start, IF(CK110&lt;covid_recovery,NA(),SUMIFS(INDIRECT("Data_main"&amp;"["&amp;CK$8&amp;"]"),Data_main[Data],$A111, Data_main[Segment],$B111, Data_main[Scenario],$B$3)),SUMIFS(INDIRECT("Data_main"&amp;"["&amp;CK$8&amp;"]"),Data_main[Data],$A111, Data_main[Segment],$B111, Data_main[Scenario],$B$3)),SUMIFS(INDIRECT("Data_main"&amp;"["&amp;CK$8&amp;"]"),Data_main[Data],$A111, Data_main[Segment],$B111, Data_main[Scenario],$B$3))</f>
        <v>0</v>
      </c>
      <c r="CL111" s="531">
        <f ca="1">IF($B$6="ON", IF(CL110&gt;=covid_start, IF(CL110&lt;covid_recovery,NA(),SUMIFS(INDIRECT("Data_main"&amp;"["&amp;CL$8&amp;"]"),Data_main[Data],$A111, Data_main[Segment],$B111, Data_main[Scenario],$B$3)),SUMIFS(INDIRECT("Data_main"&amp;"["&amp;CL$8&amp;"]"),Data_main[Data],$A111, Data_main[Segment],$B111, Data_main[Scenario],$B$3)),SUMIFS(INDIRECT("Data_main"&amp;"["&amp;CL$8&amp;"]"),Data_main[Data],$A111, Data_main[Segment],$B111, Data_main[Scenario],$B$3))</f>
        <v>0</v>
      </c>
      <c r="CN111" s="613" t="str">
        <f ca="1">IFERROR((Y111/H111)^(1/17)-1,"")</f>
        <v/>
      </c>
      <c r="CO111" s="613" t="str">
        <f ca="1">IFERROR((AN111/Y111)^(1/15)-1,"")</f>
        <v/>
      </c>
      <c r="CP111" s="613" t="str">
        <f ca="1">IFERROR((AN111/H111)^(1/32)-1,"")</f>
        <v/>
      </c>
    </row>
    <row r="112" spans="1:94" outlineLevel="1">
      <c r="A112" s="532" t="s">
        <v>157</v>
      </c>
      <c r="B112" s="532" t="s">
        <v>417</v>
      </c>
      <c r="C112" s="533" t="s">
        <v>353</v>
      </c>
      <c r="D112" s="530"/>
      <c r="E112" s="531">
        <f ca="1">IF($B$6="ON", IF(E110&gt;=covid_start, IF(E110&lt;covid_recovery,NA(),SUMIFS(INDIRECT("Data_main"&amp;"["&amp;E$8&amp;"]"),Data_main[Data],$A112, Data_main[Segment],$B112, Data_main[Scenario],$B$3)),SUMIFS(INDIRECT("Data_main"&amp;"["&amp;E$8&amp;"]"),Data_main[Data],$A112, Data_main[Segment],$B112, Data_main[Scenario],$B$3)),SUMIFS(INDIRECT("Data_main"&amp;"["&amp;E$8&amp;"]"),Data_main[Data],$A112, Data_main[Segment],$B112, Data_main[Scenario],$B$3))</f>
        <v>0</v>
      </c>
      <c r="F112" s="531">
        <f ca="1">IF($B$6="ON", IF(F110&gt;=covid_start, IF(F110&lt;covid_recovery,NA(),SUMIFS(INDIRECT("Data_main"&amp;"["&amp;F$8&amp;"]"),Data_main[Data],$A112, Data_main[Segment],$B112, Data_main[Scenario],$B$3)),SUMIFS(INDIRECT("Data_main"&amp;"["&amp;F$8&amp;"]"),Data_main[Data],$A112, Data_main[Segment],$B112, Data_main[Scenario],$B$3)),SUMIFS(INDIRECT("Data_main"&amp;"["&amp;F$8&amp;"]"),Data_main[Data],$A112, Data_main[Segment],$B112, Data_main[Scenario],$B$3))</f>
        <v>0</v>
      </c>
      <c r="G112" s="531">
        <f ca="1">IF($B$6="ON", IF(G110&gt;=covid_start, IF(G110&lt;covid_recovery,NA(),SUMIFS(INDIRECT("Data_main"&amp;"["&amp;G$8&amp;"]"),Data_main[Data],$A112, Data_main[Segment],$B112, Data_main[Scenario],$B$3)),SUMIFS(INDIRECT("Data_main"&amp;"["&amp;G$8&amp;"]"),Data_main[Data],$A112, Data_main[Segment],$B112, Data_main[Scenario],$B$3)),SUMIFS(INDIRECT("Data_main"&amp;"["&amp;G$8&amp;"]"),Data_main[Data],$A112, Data_main[Segment],$B112, Data_main[Scenario],$B$3))</f>
        <v>0</v>
      </c>
      <c r="H112" s="531">
        <f ca="1">IF($B$6="ON", IF(H110&gt;=covid_start, IF(H110&lt;covid_recovery,NA(),SUMIFS(INDIRECT("Data_main"&amp;"["&amp;H$8&amp;"]"),Data_main[Data],$A112, Data_main[Segment],$B112, Data_main[Scenario],$B$3)),SUMIFS(INDIRECT("Data_main"&amp;"["&amp;H$8&amp;"]"),Data_main[Data],$A112, Data_main[Segment],$B112, Data_main[Scenario],$B$3)),SUMIFS(INDIRECT("Data_main"&amp;"["&amp;H$8&amp;"]"),Data_main[Data],$A112, Data_main[Segment],$B112, Data_main[Scenario],$B$3))</f>
        <v>0</v>
      </c>
      <c r="I112" s="531">
        <f ca="1">IF($B$6="ON", IF(I110&gt;=covid_start, IF(I110&lt;covid_recovery,NA(),SUMIFS(INDIRECT("Data_main"&amp;"["&amp;I$8&amp;"]"),Data_main[Data],$A112, Data_main[Segment],$B112, Data_main[Scenario],$B$3)),SUMIFS(INDIRECT("Data_main"&amp;"["&amp;I$8&amp;"]"),Data_main[Data],$A112, Data_main[Segment],$B112, Data_main[Scenario],$B$3)),SUMIFS(INDIRECT("Data_main"&amp;"["&amp;I$8&amp;"]"),Data_main[Data],$A112, Data_main[Segment],$B112, Data_main[Scenario],$B$3))</f>
        <v>0</v>
      </c>
      <c r="J112" s="531" t="e">
        <f ca="1">IF($B$6="ON", IF(J110&gt;=covid_start, IF(J110&lt;covid_recovery,NA(),SUMIFS(INDIRECT("Data_main"&amp;"["&amp;J$8&amp;"]"),Data_main[Data],$A112, Data_main[Segment],$B112, Data_main[Scenario],$B$3)),SUMIFS(INDIRECT("Data_main"&amp;"["&amp;J$8&amp;"]"),Data_main[Data],$A112, Data_main[Segment],$B112, Data_main[Scenario],$B$3)),SUMIFS(INDIRECT("Data_main"&amp;"["&amp;J$8&amp;"]"),Data_main[Data],$A112, Data_main[Segment],$B112, Data_main[Scenario],$B$3))</f>
        <v>#N/A</v>
      </c>
      <c r="K112" s="531" t="e">
        <f ca="1">IF($B$6="ON", IF(K110&gt;=covid_start, IF(K110&lt;covid_recovery,NA(),SUMIFS(INDIRECT("Data_main"&amp;"["&amp;K$8&amp;"]"),Data_main[Data],$A112, Data_main[Segment],$B112, Data_main[Scenario],$B$3)),SUMIFS(INDIRECT("Data_main"&amp;"["&amp;K$8&amp;"]"),Data_main[Data],$A112, Data_main[Segment],$B112, Data_main[Scenario],$B$3)),SUMIFS(INDIRECT("Data_main"&amp;"["&amp;K$8&amp;"]"),Data_main[Data],$A112, Data_main[Segment],$B112, Data_main[Scenario],$B$3))</f>
        <v>#N/A</v>
      </c>
      <c r="L112" s="531" t="e">
        <f ca="1">IF($B$6="ON", IF(L110&gt;=covid_start, IF(L110&lt;covid_recovery,NA(),SUMIFS(INDIRECT("Data_main"&amp;"["&amp;L$8&amp;"]"),Data_main[Data],$A112, Data_main[Segment],$B112, Data_main[Scenario],$B$3)),SUMIFS(INDIRECT("Data_main"&amp;"["&amp;L$8&amp;"]"),Data_main[Data],$A112, Data_main[Segment],$B112, Data_main[Scenario],$B$3)),SUMIFS(INDIRECT("Data_main"&amp;"["&amp;L$8&amp;"]"),Data_main[Data],$A112, Data_main[Segment],$B112, Data_main[Scenario],$B$3))</f>
        <v>#N/A</v>
      </c>
      <c r="M112" s="531">
        <f ca="1">IF($B$6="ON", IF(M110&gt;=covid_start, IF(M110&lt;covid_recovery,NA(),SUMIFS(INDIRECT("Data_main"&amp;"["&amp;M$8&amp;"]"),Data_main[Data],$A112, Data_main[Segment],$B112, Data_main[Scenario],$B$3)),SUMIFS(INDIRECT("Data_main"&amp;"["&amp;M$8&amp;"]"),Data_main[Data],$A112, Data_main[Segment],$B112, Data_main[Scenario],$B$3)),SUMIFS(INDIRECT("Data_main"&amp;"["&amp;M$8&amp;"]"),Data_main[Data],$A112, Data_main[Segment],$B112, Data_main[Scenario],$B$3))</f>
        <v>0</v>
      </c>
      <c r="N112" s="531">
        <f ca="1">IF($B$6="ON", IF(N110&gt;=covid_start, IF(N110&lt;covid_recovery,NA(),SUMIFS(INDIRECT("Data_main"&amp;"["&amp;N$8&amp;"]"),Data_main[Data],$A112, Data_main[Segment],$B112, Data_main[Scenario],$B$3)),SUMIFS(INDIRECT("Data_main"&amp;"["&amp;N$8&amp;"]"),Data_main[Data],$A112, Data_main[Segment],$B112, Data_main[Scenario],$B$3)),SUMIFS(INDIRECT("Data_main"&amp;"["&amp;N$8&amp;"]"),Data_main[Data],$A112, Data_main[Segment],$B112, Data_main[Scenario],$B$3))</f>
        <v>0</v>
      </c>
      <c r="O112" s="531">
        <f ca="1">IF($B$6="ON", IF(O110&gt;=covid_start, IF(O110&lt;covid_recovery,NA(),SUMIFS(INDIRECT("Data_main"&amp;"["&amp;O$8&amp;"]"),Data_main[Data],$A112, Data_main[Segment],$B112, Data_main[Scenario],$B$3)),SUMIFS(INDIRECT("Data_main"&amp;"["&amp;O$8&amp;"]"),Data_main[Data],$A112, Data_main[Segment],$B112, Data_main[Scenario],$B$3)),SUMIFS(INDIRECT("Data_main"&amp;"["&amp;O$8&amp;"]"),Data_main[Data],$A112, Data_main[Segment],$B112, Data_main[Scenario],$B$3))</f>
        <v>0</v>
      </c>
      <c r="P112" s="531">
        <f ca="1">IF($B$6="ON", IF(P110&gt;=covid_start, IF(P110&lt;covid_recovery,NA(),SUMIFS(INDIRECT("Data_main"&amp;"["&amp;P$8&amp;"]"),Data_main[Data],$A112, Data_main[Segment],$B112, Data_main[Scenario],$B$3)),SUMIFS(INDIRECT("Data_main"&amp;"["&amp;P$8&amp;"]"),Data_main[Data],$A112, Data_main[Segment],$B112, Data_main[Scenario],$B$3)),SUMIFS(INDIRECT("Data_main"&amp;"["&amp;P$8&amp;"]"),Data_main[Data],$A112, Data_main[Segment],$B112, Data_main[Scenario],$B$3))</f>
        <v>0</v>
      </c>
      <c r="Q112" s="531">
        <f ca="1">IF($B$6="ON", IF(Q110&gt;=covid_start, IF(Q110&lt;covid_recovery,NA(),SUMIFS(INDIRECT("Data_main"&amp;"["&amp;Q$8&amp;"]"),Data_main[Data],$A112, Data_main[Segment],$B112, Data_main[Scenario],$B$3)),SUMIFS(INDIRECT("Data_main"&amp;"["&amp;Q$8&amp;"]"),Data_main[Data],$A112, Data_main[Segment],$B112, Data_main[Scenario],$B$3)),SUMIFS(INDIRECT("Data_main"&amp;"["&amp;Q$8&amp;"]"),Data_main[Data],$A112, Data_main[Segment],$B112, Data_main[Scenario],$B$3))</f>
        <v>0</v>
      </c>
      <c r="R112" s="531">
        <f ca="1">IF($B$6="ON", IF(R110&gt;=covid_start, IF(R110&lt;covid_recovery,NA(),SUMIFS(INDIRECT("Data_main"&amp;"["&amp;R$8&amp;"]"),Data_main[Data],$A112, Data_main[Segment],$B112, Data_main[Scenario],$B$3)),SUMIFS(INDIRECT("Data_main"&amp;"["&amp;R$8&amp;"]"),Data_main[Data],$A112, Data_main[Segment],$B112, Data_main[Scenario],$B$3)),SUMIFS(INDIRECT("Data_main"&amp;"["&amp;R$8&amp;"]"),Data_main[Data],$A112, Data_main[Segment],$B112, Data_main[Scenario],$B$3))</f>
        <v>0</v>
      </c>
      <c r="S112" s="531">
        <f ca="1">IF($B$6="ON", IF(S110&gt;=covid_start, IF(S110&lt;covid_recovery,NA(),SUMIFS(INDIRECT("Data_main"&amp;"["&amp;S$8&amp;"]"),Data_main[Data],$A112, Data_main[Segment],$B112, Data_main[Scenario],$B$3)),SUMIFS(INDIRECT("Data_main"&amp;"["&amp;S$8&amp;"]"),Data_main[Data],$A112, Data_main[Segment],$B112, Data_main[Scenario],$B$3)),SUMIFS(INDIRECT("Data_main"&amp;"["&amp;S$8&amp;"]"),Data_main[Data],$A112, Data_main[Segment],$B112, Data_main[Scenario],$B$3))</f>
        <v>0</v>
      </c>
      <c r="T112" s="531">
        <f ca="1">IF($B$6="ON", IF(T110&gt;=covid_start, IF(T110&lt;covid_recovery,NA(),SUMIFS(INDIRECT("Data_main"&amp;"["&amp;T$8&amp;"]"),Data_main[Data],$A112, Data_main[Segment],$B112, Data_main[Scenario],$B$3)),SUMIFS(INDIRECT("Data_main"&amp;"["&amp;T$8&amp;"]"),Data_main[Data],$A112, Data_main[Segment],$B112, Data_main[Scenario],$B$3)),SUMIFS(INDIRECT("Data_main"&amp;"["&amp;T$8&amp;"]"),Data_main[Data],$A112, Data_main[Segment],$B112, Data_main[Scenario],$B$3))</f>
        <v>0</v>
      </c>
      <c r="U112" s="531">
        <f ca="1">IF($B$6="ON", IF(U110&gt;=covid_start, IF(U110&lt;covid_recovery,NA(),SUMIFS(INDIRECT("Data_main"&amp;"["&amp;U$8&amp;"]"),Data_main[Data],$A112, Data_main[Segment],$B112, Data_main[Scenario],$B$3)),SUMIFS(INDIRECT("Data_main"&amp;"["&amp;U$8&amp;"]"),Data_main[Data],$A112, Data_main[Segment],$B112, Data_main[Scenario],$B$3)),SUMIFS(INDIRECT("Data_main"&amp;"["&amp;U$8&amp;"]"),Data_main[Data],$A112, Data_main[Segment],$B112, Data_main[Scenario],$B$3))</f>
        <v>0</v>
      </c>
      <c r="V112" s="531">
        <f ca="1">IF($B$6="ON", IF(V110&gt;=covid_start, IF(V110&lt;covid_recovery,NA(),SUMIFS(INDIRECT("Data_main"&amp;"["&amp;V$8&amp;"]"),Data_main[Data],$A112, Data_main[Segment],$B112, Data_main[Scenario],$B$3)),SUMIFS(INDIRECT("Data_main"&amp;"["&amp;V$8&amp;"]"),Data_main[Data],$A112, Data_main[Segment],$B112, Data_main[Scenario],$B$3)),SUMIFS(INDIRECT("Data_main"&amp;"["&amp;V$8&amp;"]"),Data_main[Data],$A112, Data_main[Segment],$B112, Data_main[Scenario],$B$3))</f>
        <v>0</v>
      </c>
      <c r="W112" s="531">
        <f ca="1">IF($B$6="ON", IF(W110&gt;=covid_start, IF(W110&lt;covid_recovery,NA(),SUMIFS(INDIRECT("Data_main"&amp;"["&amp;W$8&amp;"]"),Data_main[Data],$A112, Data_main[Segment],$B112, Data_main[Scenario],$B$3)),SUMIFS(INDIRECT("Data_main"&amp;"["&amp;W$8&amp;"]"),Data_main[Data],$A112, Data_main[Segment],$B112, Data_main[Scenario],$B$3)),SUMIFS(INDIRECT("Data_main"&amp;"["&amp;W$8&amp;"]"),Data_main[Data],$A112, Data_main[Segment],$B112, Data_main[Scenario],$B$3))</f>
        <v>0</v>
      </c>
      <c r="X112" s="531">
        <f ca="1">IF($B$6="ON", IF(X110&gt;=covid_start, IF(X110&lt;covid_recovery,NA(),SUMIFS(INDIRECT("Data_main"&amp;"["&amp;X$8&amp;"]"),Data_main[Data],$A112, Data_main[Segment],$B112, Data_main[Scenario],$B$3)),SUMIFS(INDIRECT("Data_main"&amp;"["&amp;X$8&amp;"]"),Data_main[Data],$A112, Data_main[Segment],$B112, Data_main[Scenario],$B$3)),SUMIFS(INDIRECT("Data_main"&amp;"["&amp;X$8&amp;"]"),Data_main[Data],$A112, Data_main[Segment],$B112, Data_main[Scenario],$B$3))</f>
        <v>0</v>
      </c>
      <c r="Y112" s="531">
        <f ca="1">IF($B$6="ON", IF(Y110&gt;=covid_start, IF(Y110&lt;covid_recovery,NA(),SUMIFS(INDIRECT("Data_main"&amp;"["&amp;Y$8&amp;"]"),Data_main[Data],$A112, Data_main[Segment],$B112, Data_main[Scenario],$B$3)),SUMIFS(INDIRECT("Data_main"&amp;"["&amp;Y$8&amp;"]"),Data_main[Data],$A112, Data_main[Segment],$B112, Data_main[Scenario],$B$3)),SUMIFS(INDIRECT("Data_main"&amp;"["&amp;Y$8&amp;"]"),Data_main[Data],$A112, Data_main[Segment],$B112, Data_main[Scenario],$B$3))</f>
        <v>0</v>
      </c>
      <c r="Z112" s="531">
        <f ca="1">IF($B$6="ON", IF(Z110&gt;=covid_start, IF(Z110&lt;covid_recovery,NA(),SUMIFS(INDIRECT("Data_main"&amp;"["&amp;Z$8&amp;"]"),Data_main[Data],$A112, Data_main[Segment],$B112, Data_main[Scenario],$B$3)),SUMIFS(INDIRECT("Data_main"&amp;"["&amp;Z$8&amp;"]"),Data_main[Data],$A112, Data_main[Segment],$B112, Data_main[Scenario],$B$3)),SUMIFS(INDIRECT("Data_main"&amp;"["&amp;Z$8&amp;"]"),Data_main[Data],$A112, Data_main[Segment],$B112, Data_main[Scenario],$B$3))</f>
        <v>0</v>
      </c>
      <c r="AA112" s="531">
        <f ca="1">IF($B$6="ON", IF(AA110&gt;=covid_start, IF(AA110&lt;covid_recovery,NA(),SUMIFS(INDIRECT("Data_main"&amp;"["&amp;AA$8&amp;"]"),Data_main[Data],$A112, Data_main[Segment],$B112, Data_main[Scenario],$B$3)),SUMIFS(INDIRECT("Data_main"&amp;"["&amp;AA$8&amp;"]"),Data_main[Data],$A112, Data_main[Segment],$B112, Data_main[Scenario],$B$3)),SUMIFS(INDIRECT("Data_main"&amp;"["&amp;AA$8&amp;"]"),Data_main[Data],$A112, Data_main[Segment],$B112, Data_main[Scenario],$B$3))</f>
        <v>0</v>
      </c>
      <c r="AB112" s="531">
        <f ca="1">IF($B$6="ON", IF(AB110&gt;=covid_start, IF(AB110&lt;covid_recovery,NA(),SUMIFS(INDIRECT("Data_main"&amp;"["&amp;AB$8&amp;"]"),Data_main[Data],$A112, Data_main[Segment],$B112, Data_main[Scenario],$B$3)),SUMIFS(INDIRECT("Data_main"&amp;"["&amp;AB$8&amp;"]"),Data_main[Data],$A112, Data_main[Segment],$B112, Data_main[Scenario],$B$3)),SUMIFS(INDIRECT("Data_main"&amp;"["&amp;AB$8&amp;"]"),Data_main[Data],$A112, Data_main[Segment],$B112, Data_main[Scenario],$B$3))</f>
        <v>0</v>
      </c>
      <c r="AC112" s="531">
        <f ca="1">IF($B$6="ON", IF(AC110&gt;=covid_start, IF(AC110&lt;covid_recovery,NA(),SUMIFS(INDIRECT("Data_main"&amp;"["&amp;AC$8&amp;"]"),Data_main[Data],$A112, Data_main[Segment],$B112, Data_main[Scenario],$B$3)),SUMIFS(INDIRECT("Data_main"&amp;"["&amp;AC$8&amp;"]"),Data_main[Data],$A112, Data_main[Segment],$B112, Data_main[Scenario],$B$3)),SUMIFS(INDIRECT("Data_main"&amp;"["&amp;AC$8&amp;"]"),Data_main[Data],$A112, Data_main[Segment],$B112, Data_main[Scenario],$B$3))</f>
        <v>0</v>
      </c>
      <c r="AD112" s="531">
        <f ca="1">IF($B$6="ON", IF(AD110&gt;=covid_start, IF(AD110&lt;covid_recovery,NA(),SUMIFS(INDIRECT("Data_main"&amp;"["&amp;AD$8&amp;"]"),Data_main[Data],$A112, Data_main[Segment],$B112, Data_main[Scenario],$B$3)),SUMIFS(INDIRECT("Data_main"&amp;"["&amp;AD$8&amp;"]"),Data_main[Data],$A112, Data_main[Segment],$B112, Data_main[Scenario],$B$3)),SUMIFS(INDIRECT("Data_main"&amp;"["&amp;AD$8&amp;"]"),Data_main[Data],$A112, Data_main[Segment],$B112, Data_main[Scenario],$B$3))</f>
        <v>0</v>
      </c>
      <c r="AE112" s="531">
        <f ca="1">IF($B$6="ON", IF(AE110&gt;=covid_start, IF(AE110&lt;covid_recovery,NA(),SUMIFS(INDIRECT("Data_main"&amp;"["&amp;AE$8&amp;"]"),Data_main[Data],$A112, Data_main[Segment],$B112, Data_main[Scenario],$B$3)),SUMIFS(INDIRECT("Data_main"&amp;"["&amp;AE$8&amp;"]"),Data_main[Data],$A112, Data_main[Segment],$B112, Data_main[Scenario],$B$3)),SUMIFS(INDIRECT("Data_main"&amp;"["&amp;AE$8&amp;"]"),Data_main[Data],$A112, Data_main[Segment],$B112, Data_main[Scenario],$B$3))</f>
        <v>0</v>
      </c>
      <c r="AF112" s="531">
        <f ca="1">IF($B$6="ON", IF(AF110&gt;=covid_start, IF(AF110&lt;covid_recovery,NA(),SUMIFS(INDIRECT("Data_main"&amp;"["&amp;AF$8&amp;"]"),Data_main[Data],$A112, Data_main[Segment],$B112, Data_main[Scenario],$B$3)),SUMIFS(INDIRECT("Data_main"&amp;"["&amp;AF$8&amp;"]"),Data_main[Data],$A112, Data_main[Segment],$B112, Data_main[Scenario],$B$3)),SUMIFS(INDIRECT("Data_main"&amp;"["&amp;AF$8&amp;"]"),Data_main[Data],$A112, Data_main[Segment],$B112, Data_main[Scenario],$B$3))</f>
        <v>0</v>
      </c>
      <c r="AG112" s="531">
        <f ca="1">IF($B$6="ON", IF(AG110&gt;=covid_start, IF(AG110&lt;covid_recovery,NA(),SUMIFS(INDIRECT("Data_main"&amp;"["&amp;AG$8&amp;"]"),Data_main[Data],$A112, Data_main[Segment],$B112, Data_main[Scenario],$B$3)),SUMIFS(INDIRECT("Data_main"&amp;"["&amp;AG$8&amp;"]"),Data_main[Data],$A112, Data_main[Segment],$B112, Data_main[Scenario],$B$3)),SUMIFS(INDIRECT("Data_main"&amp;"["&amp;AG$8&amp;"]"),Data_main[Data],$A112, Data_main[Segment],$B112, Data_main[Scenario],$B$3))</f>
        <v>0</v>
      </c>
      <c r="AH112" s="531">
        <f ca="1">IF($B$6="ON", IF(AH110&gt;=covid_start, IF(AH110&lt;covid_recovery,NA(),SUMIFS(INDIRECT("Data_main"&amp;"["&amp;AH$8&amp;"]"),Data_main[Data],$A112, Data_main[Segment],$B112, Data_main[Scenario],$B$3)),SUMIFS(INDIRECT("Data_main"&amp;"["&amp;AH$8&amp;"]"),Data_main[Data],$A112, Data_main[Segment],$B112, Data_main[Scenario],$B$3)),SUMIFS(INDIRECT("Data_main"&amp;"["&amp;AH$8&amp;"]"),Data_main[Data],$A112, Data_main[Segment],$B112, Data_main[Scenario],$B$3))</f>
        <v>0</v>
      </c>
      <c r="AI112" s="531">
        <f ca="1">IF($B$6="ON", IF(AI110&gt;=covid_start, IF(AI110&lt;covid_recovery,NA(),SUMIFS(INDIRECT("Data_main"&amp;"["&amp;AI$8&amp;"]"),Data_main[Data],$A112, Data_main[Segment],$B112, Data_main[Scenario],$B$3)),SUMIFS(INDIRECT("Data_main"&amp;"["&amp;AI$8&amp;"]"),Data_main[Data],$A112, Data_main[Segment],$B112, Data_main[Scenario],$B$3)),SUMIFS(INDIRECT("Data_main"&amp;"["&amp;AI$8&amp;"]"),Data_main[Data],$A112, Data_main[Segment],$B112, Data_main[Scenario],$B$3))</f>
        <v>0</v>
      </c>
      <c r="AJ112" s="531">
        <f ca="1">IF($B$6="ON", IF(AJ110&gt;=covid_start, IF(AJ110&lt;covid_recovery,NA(),SUMIFS(INDIRECT("Data_main"&amp;"["&amp;AJ$8&amp;"]"),Data_main[Data],$A112, Data_main[Segment],$B112, Data_main[Scenario],$B$3)),SUMIFS(INDIRECT("Data_main"&amp;"["&amp;AJ$8&amp;"]"),Data_main[Data],$A112, Data_main[Segment],$B112, Data_main[Scenario],$B$3)),SUMIFS(INDIRECT("Data_main"&amp;"["&amp;AJ$8&amp;"]"),Data_main[Data],$A112, Data_main[Segment],$B112, Data_main[Scenario],$B$3))</f>
        <v>0</v>
      </c>
      <c r="AK112" s="531">
        <f ca="1">IF($B$6="ON", IF(AK110&gt;=covid_start, IF(AK110&lt;covid_recovery,NA(),SUMIFS(INDIRECT("Data_main"&amp;"["&amp;AK$8&amp;"]"),Data_main[Data],$A112, Data_main[Segment],$B112, Data_main[Scenario],$B$3)),SUMIFS(INDIRECT("Data_main"&amp;"["&amp;AK$8&amp;"]"),Data_main[Data],$A112, Data_main[Segment],$B112, Data_main[Scenario],$B$3)),SUMIFS(INDIRECT("Data_main"&amp;"["&amp;AK$8&amp;"]"),Data_main[Data],$A112, Data_main[Segment],$B112, Data_main[Scenario],$B$3))</f>
        <v>0</v>
      </c>
      <c r="AL112" s="531">
        <f ca="1">IF($B$6="ON", IF(AL110&gt;=covid_start, IF(AL110&lt;covid_recovery,NA(),SUMIFS(INDIRECT("Data_main"&amp;"["&amp;AL$8&amp;"]"),Data_main[Data],$A112, Data_main[Segment],$B112, Data_main[Scenario],$B$3)),SUMIFS(INDIRECT("Data_main"&amp;"["&amp;AL$8&amp;"]"),Data_main[Data],$A112, Data_main[Segment],$B112, Data_main[Scenario],$B$3)),SUMIFS(INDIRECT("Data_main"&amp;"["&amp;AL$8&amp;"]"),Data_main[Data],$A112, Data_main[Segment],$B112, Data_main[Scenario],$B$3))</f>
        <v>0</v>
      </c>
      <c r="AM112" s="531">
        <f ca="1">IF($B$6="ON", IF(AM110&gt;=covid_start, IF(AM110&lt;covid_recovery,NA(),SUMIFS(INDIRECT("Data_main"&amp;"["&amp;AM$8&amp;"]"),Data_main[Data],$A112, Data_main[Segment],$B112, Data_main[Scenario],$B$3)),SUMIFS(INDIRECT("Data_main"&amp;"["&amp;AM$8&amp;"]"),Data_main[Data],$A112, Data_main[Segment],$B112, Data_main[Scenario],$B$3)),SUMIFS(INDIRECT("Data_main"&amp;"["&amp;AM$8&amp;"]"),Data_main[Data],$A112, Data_main[Segment],$B112, Data_main[Scenario],$B$3))</f>
        <v>0</v>
      </c>
      <c r="AN112" s="531">
        <f ca="1">IF($B$6="ON", IF(AN110&gt;=covid_start, IF(AN110&lt;covid_recovery,NA(),SUMIFS(INDIRECT("Data_main"&amp;"["&amp;AN$8&amp;"]"),Data_main[Data],$A112, Data_main[Segment],$B112, Data_main[Scenario],$B$3)),SUMIFS(INDIRECT("Data_main"&amp;"["&amp;AN$8&amp;"]"),Data_main[Data],$A112, Data_main[Segment],$B112, Data_main[Scenario],$B$3)),SUMIFS(INDIRECT("Data_main"&amp;"["&amp;AN$8&amp;"]"),Data_main[Data],$A112, Data_main[Segment],$B112, Data_main[Scenario],$B$3))</f>
        <v>0</v>
      </c>
      <c r="AO112" s="531">
        <f ca="1">IF($B$6="ON", IF(AO110&gt;=covid_start, IF(AO110&lt;covid_recovery,NA(),SUMIFS(INDIRECT("Data_main"&amp;"["&amp;AO$8&amp;"]"),Data_main[Data],$A112, Data_main[Segment],$B112, Data_main[Scenario],$B$3)),SUMIFS(INDIRECT("Data_main"&amp;"["&amp;AO$8&amp;"]"),Data_main[Data],$A112, Data_main[Segment],$B112, Data_main[Scenario],$B$3)),SUMIFS(INDIRECT("Data_main"&amp;"["&amp;AO$8&amp;"]"),Data_main[Data],$A112, Data_main[Segment],$B112, Data_main[Scenario],$B$3))</f>
        <v>0</v>
      </c>
      <c r="AP112" s="531">
        <f ca="1">IF($B$6="ON", IF(AP110&gt;=covid_start, IF(AP110&lt;covid_recovery,NA(),SUMIFS(INDIRECT("Data_main"&amp;"["&amp;AP$8&amp;"]"),Data_main[Data],$A112, Data_main[Segment],$B112, Data_main[Scenario],$B$3)),SUMIFS(INDIRECT("Data_main"&amp;"["&amp;AP$8&amp;"]"),Data_main[Data],$A112, Data_main[Segment],$B112, Data_main[Scenario],$B$3)),SUMIFS(INDIRECT("Data_main"&amp;"["&amp;AP$8&amp;"]"),Data_main[Data],$A112, Data_main[Segment],$B112, Data_main[Scenario],$B$3))</f>
        <v>0</v>
      </c>
      <c r="AQ112" s="531">
        <f ca="1">IF($B$6="ON", IF(AQ110&gt;=covid_start, IF(AQ110&lt;covid_recovery,NA(),SUMIFS(INDIRECT("Data_main"&amp;"["&amp;AQ$8&amp;"]"),Data_main[Data],$A112, Data_main[Segment],$B112, Data_main[Scenario],$B$3)),SUMIFS(INDIRECT("Data_main"&amp;"["&amp;AQ$8&amp;"]"),Data_main[Data],$A112, Data_main[Segment],$B112, Data_main[Scenario],$B$3)),SUMIFS(INDIRECT("Data_main"&amp;"["&amp;AQ$8&amp;"]"),Data_main[Data],$A112, Data_main[Segment],$B112, Data_main[Scenario],$B$3))</f>
        <v>0</v>
      </c>
      <c r="AR112" s="531">
        <f ca="1">IF($B$6="ON", IF(AR110&gt;=covid_start, IF(AR110&lt;covid_recovery,NA(),SUMIFS(INDIRECT("Data_main"&amp;"["&amp;AR$8&amp;"]"),Data_main[Data],$A112, Data_main[Segment],$B112, Data_main[Scenario],$B$3)),SUMIFS(INDIRECT("Data_main"&amp;"["&amp;AR$8&amp;"]"),Data_main[Data],$A112, Data_main[Segment],$B112, Data_main[Scenario],$B$3)),SUMIFS(INDIRECT("Data_main"&amp;"["&amp;AR$8&amp;"]"),Data_main[Data],$A112, Data_main[Segment],$B112, Data_main[Scenario],$B$3))</f>
        <v>0</v>
      </c>
      <c r="AS112" s="531">
        <f ca="1">IF($B$6="ON", IF(AS110&gt;=covid_start, IF(AS110&lt;covid_recovery,NA(),SUMIFS(INDIRECT("Data_main"&amp;"["&amp;AS$8&amp;"]"),Data_main[Data],$A112, Data_main[Segment],$B112, Data_main[Scenario],$B$3)),SUMIFS(INDIRECT("Data_main"&amp;"["&amp;AS$8&amp;"]"),Data_main[Data],$A112, Data_main[Segment],$B112, Data_main[Scenario],$B$3)),SUMIFS(INDIRECT("Data_main"&amp;"["&amp;AS$8&amp;"]"),Data_main[Data],$A112, Data_main[Segment],$B112, Data_main[Scenario],$B$3))</f>
        <v>0</v>
      </c>
      <c r="AT112" s="531">
        <f ca="1">IF($B$6="ON", IF(AT110&gt;=covid_start, IF(AT110&lt;covid_recovery,NA(),SUMIFS(INDIRECT("Data_main"&amp;"["&amp;AT$8&amp;"]"),Data_main[Data],$A112, Data_main[Segment],$B112, Data_main[Scenario],$B$3)),SUMIFS(INDIRECT("Data_main"&amp;"["&amp;AT$8&amp;"]"),Data_main[Data],$A112, Data_main[Segment],$B112, Data_main[Scenario],$B$3)),SUMIFS(INDIRECT("Data_main"&amp;"["&amp;AT$8&amp;"]"),Data_main[Data],$A112, Data_main[Segment],$B112, Data_main[Scenario],$B$3))</f>
        <v>0</v>
      </c>
      <c r="AU112" s="531">
        <f ca="1">IF($B$6="ON", IF(AU110&gt;=covid_start, IF(AU110&lt;covid_recovery,NA(),SUMIFS(INDIRECT("Data_main"&amp;"["&amp;AU$8&amp;"]"),Data_main[Data],$A112, Data_main[Segment],$B112, Data_main[Scenario],$B$3)),SUMIFS(INDIRECT("Data_main"&amp;"["&amp;AU$8&amp;"]"),Data_main[Data],$A112, Data_main[Segment],$B112, Data_main[Scenario],$B$3)),SUMIFS(INDIRECT("Data_main"&amp;"["&amp;AU$8&amp;"]"),Data_main[Data],$A112, Data_main[Segment],$B112, Data_main[Scenario],$B$3))</f>
        <v>0</v>
      </c>
      <c r="AV112" s="531">
        <f ca="1">IF($B$6="ON", IF(AV110&gt;=covid_start, IF(AV110&lt;covid_recovery,NA(),SUMIFS(INDIRECT("Data_main"&amp;"["&amp;AV$8&amp;"]"),Data_main[Data],$A112, Data_main[Segment],$B112, Data_main[Scenario],$B$3)),SUMIFS(INDIRECT("Data_main"&amp;"["&amp;AV$8&amp;"]"),Data_main[Data],$A112, Data_main[Segment],$B112, Data_main[Scenario],$B$3)),SUMIFS(INDIRECT("Data_main"&amp;"["&amp;AV$8&amp;"]"),Data_main[Data],$A112, Data_main[Segment],$B112, Data_main[Scenario],$B$3))</f>
        <v>0</v>
      </c>
      <c r="AW112" s="531">
        <f ca="1">IF($B$6="ON", IF(AW110&gt;=covid_start, IF(AW110&lt;covid_recovery,NA(),SUMIFS(INDIRECT("Data_main"&amp;"["&amp;AW$8&amp;"]"),Data_main[Data],$A112, Data_main[Segment],$B112, Data_main[Scenario],$B$3)),SUMIFS(INDIRECT("Data_main"&amp;"["&amp;AW$8&amp;"]"),Data_main[Data],$A112, Data_main[Segment],$B112, Data_main[Scenario],$B$3)),SUMIFS(INDIRECT("Data_main"&amp;"["&amp;AW$8&amp;"]"),Data_main[Data],$A112, Data_main[Segment],$B112, Data_main[Scenario],$B$3))</f>
        <v>0</v>
      </c>
      <c r="AX112" s="531">
        <f ca="1">IF($B$6="ON", IF(AX110&gt;=covid_start, IF(AX110&lt;covid_recovery,NA(),SUMIFS(INDIRECT("Data_main"&amp;"["&amp;AX$8&amp;"]"),Data_main[Data],$A112, Data_main[Segment],$B112, Data_main[Scenario],$B$3)),SUMIFS(INDIRECT("Data_main"&amp;"["&amp;AX$8&amp;"]"),Data_main[Data],$A112, Data_main[Segment],$B112, Data_main[Scenario],$B$3)),SUMIFS(INDIRECT("Data_main"&amp;"["&amp;AX$8&amp;"]"),Data_main[Data],$A112, Data_main[Segment],$B112, Data_main[Scenario],$B$3))</f>
        <v>0</v>
      </c>
      <c r="AY112" s="531">
        <f ca="1">IF($B$6="ON", IF(AY110&gt;=covid_start, IF(AY110&lt;covid_recovery,NA(),SUMIFS(INDIRECT("Data_main"&amp;"["&amp;AY$8&amp;"]"),Data_main[Data],$A112, Data_main[Segment],$B112, Data_main[Scenario],$B$3)),SUMIFS(INDIRECT("Data_main"&amp;"["&amp;AY$8&amp;"]"),Data_main[Data],$A112, Data_main[Segment],$B112, Data_main[Scenario],$B$3)),SUMIFS(INDIRECT("Data_main"&amp;"["&amp;AY$8&amp;"]"),Data_main[Data],$A112, Data_main[Segment],$B112, Data_main[Scenario],$B$3))</f>
        <v>0</v>
      </c>
      <c r="AZ112" s="531">
        <f ca="1">IF($B$6="ON", IF(AZ110&gt;=covid_start, IF(AZ110&lt;covid_recovery,NA(),SUMIFS(INDIRECT("Data_main"&amp;"["&amp;AZ$8&amp;"]"),Data_main[Data],$A112, Data_main[Segment],$B112, Data_main[Scenario],$B$3)),SUMIFS(INDIRECT("Data_main"&amp;"["&amp;AZ$8&amp;"]"),Data_main[Data],$A112, Data_main[Segment],$B112, Data_main[Scenario],$B$3)),SUMIFS(INDIRECT("Data_main"&amp;"["&amp;AZ$8&amp;"]"),Data_main[Data],$A112, Data_main[Segment],$B112, Data_main[Scenario],$B$3))</f>
        <v>0</v>
      </c>
      <c r="BA112" s="531">
        <f ca="1">IF($B$6="ON", IF(BA110&gt;=covid_start, IF(BA110&lt;covid_recovery,NA(),SUMIFS(INDIRECT("Data_main"&amp;"["&amp;BA$8&amp;"]"),Data_main[Data],$A112, Data_main[Segment],$B112, Data_main[Scenario],$B$3)),SUMIFS(INDIRECT("Data_main"&amp;"["&amp;BA$8&amp;"]"),Data_main[Data],$A112, Data_main[Segment],$B112, Data_main[Scenario],$B$3)),SUMIFS(INDIRECT("Data_main"&amp;"["&amp;BA$8&amp;"]"),Data_main[Data],$A112, Data_main[Segment],$B112, Data_main[Scenario],$B$3))</f>
        <v>0</v>
      </c>
      <c r="BB112" s="531">
        <f ca="1">IF($B$6="ON", IF(BB110&gt;=covid_start, IF(BB110&lt;covid_recovery,NA(),SUMIFS(INDIRECT("Data_main"&amp;"["&amp;BB$8&amp;"]"),Data_main[Data],$A112, Data_main[Segment],$B112, Data_main[Scenario],$B$3)),SUMIFS(INDIRECT("Data_main"&amp;"["&amp;BB$8&amp;"]"),Data_main[Data],$A112, Data_main[Segment],$B112, Data_main[Scenario],$B$3)),SUMIFS(INDIRECT("Data_main"&amp;"["&amp;BB$8&amp;"]"),Data_main[Data],$A112, Data_main[Segment],$B112, Data_main[Scenario],$B$3))</f>
        <v>0</v>
      </c>
      <c r="BC112" s="531">
        <f ca="1">IF($B$6="ON", IF(BC110&gt;=covid_start, IF(BC110&lt;covid_recovery,NA(),SUMIFS(INDIRECT("Data_main"&amp;"["&amp;BC$8&amp;"]"),Data_main[Data],$A112, Data_main[Segment],$B112, Data_main[Scenario],$B$3)),SUMIFS(INDIRECT("Data_main"&amp;"["&amp;BC$8&amp;"]"),Data_main[Data],$A112, Data_main[Segment],$B112, Data_main[Scenario],$B$3)),SUMIFS(INDIRECT("Data_main"&amp;"["&amp;BC$8&amp;"]"),Data_main[Data],$A112, Data_main[Segment],$B112, Data_main[Scenario],$B$3))</f>
        <v>0</v>
      </c>
      <c r="BD112" s="531">
        <f ca="1">IF($B$6="ON", IF(BD110&gt;=covid_start, IF(BD110&lt;covid_recovery,NA(),SUMIFS(INDIRECT("Data_main"&amp;"["&amp;BD$8&amp;"]"),Data_main[Data],$A112, Data_main[Segment],$B112, Data_main[Scenario],$B$3)),SUMIFS(INDIRECT("Data_main"&amp;"["&amp;BD$8&amp;"]"),Data_main[Data],$A112, Data_main[Segment],$B112, Data_main[Scenario],$B$3)),SUMIFS(INDIRECT("Data_main"&amp;"["&amp;BD$8&amp;"]"),Data_main[Data],$A112, Data_main[Segment],$B112, Data_main[Scenario],$B$3))</f>
        <v>0</v>
      </c>
      <c r="BE112" s="531">
        <f ca="1">IF($B$6="ON", IF(BE110&gt;=covid_start, IF(BE110&lt;covid_recovery,NA(),SUMIFS(INDIRECT("Data_main"&amp;"["&amp;BE$8&amp;"]"),Data_main[Data],$A112, Data_main[Segment],$B112, Data_main[Scenario],$B$3)),SUMIFS(INDIRECT("Data_main"&amp;"["&amp;BE$8&amp;"]"),Data_main[Data],$A112, Data_main[Segment],$B112, Data_main[Scenario],$B$3)),SUMIFS(INDIRECT("Data_main"&amp;"["&amp;BE$8&amp;"]"),Data_main[Data],$A112, Data_main[Segment],$B112, Data_main[Scenario],$B$3))</f>
        <v>0</v>
      </c>
      <c r="BF112" s="531">
        <f ca="1">IF($B$6="ON", IF(BF110&gt;=covid_start, IF(BF110&lt;covid_recovery,NA(),SUMIFS(INDIRECT("Data_main"&amp;"["&amp;BF$8&amp;"]"),Data_main[Data],$A112, Data_main[Segment],$B112, Data_main[Scenario],$B$3)),SUMIFS(INDIRECT("Data_main"&amp;"["&amp;BF$8&amp;"]"),Data_main[Data],$A112, Data_main[Segment],$B112, Data_main[Scenario],$B$3)),SUMIFS(INDIRECT("Data_main"&amp;"["&amp;BF$8&amp;"]"),Data_main[Data],$A112, Data_main[Segment],$B112, Data_main[Scenario],$B$3))</f>
        <v>0</v>
      </c>
      <c r="BG112" s="531">
        <f ca="1">IF($B$6="ON", IF(BG110&gt;=covid_start, IF(BG110&lt;covid_recovery,NA(),SUMIFS(INDIRECT("Data_main"&amp;"["&amp;BG$8&amp;"]"),Data_main[Data],$A112, Data_main[Segment],$B112, Data_main[Scenario],$B$3)),SUMIFS(INDIRECT("Data_main"&amp;"["&amp;BG$8&amp;"]"),Data_main[Data],$A112, Data_main[Segment],$B112, Data_main[Scenario],$B$3)),SUMIFS(INDIRECT("Data_main"&amp;"["&amp;BG$8&amp;"]"),Data_main[Data],$A112, Data_main[Segment],$B112, Data_main[Scenario],$B$3))</f>
        <v>0</v>
      </c>
      <c r="BH112" s="531">
        <f ca="1">IF($B$6="ON", IF(BH110&gt;=covid_start, IF(BH110&lt;covid_recovery,NA(),SUMIFS(INDIRECT("Data_main"&amp;"["&amp;BH$8&amp;"]"),Data_main[Data],$A112, Data_main[Segment],$B112, Data_main[Scenario],$B$3)),SUMIFS(INDIRECT("Data_main"&amp;"["&amp;BH$8&amp;"]"),Data_main[Data],$A112, Data_main[Segment],$B112, Data_main[Scenario],$B$3)),SUMIFS(INDIRECT("Data_main"&amp;"["&amp;BH$8&amp;"]"),Data_main[Data],$A112, Data_main[Segment],$B112, Data_main[Scenario],$B$3))</f>
        <v>0</v>
      </c>
      <c r="BI112" s="531">
        <f ca="1">IF($B$6="ON", IF(BI110&gt;=covid_start, IF(BI110&lt;covid_recovery,NA(),SUMIFS(INDIRECT("Data_main"&amp;"["&amp;BI$8&amp;"]"),Data_main[Data],$A112, Data_main[Segment],$B112, Data_main[Scenario],$B$3)),SUMIFS(INDIRECT("Data_main"&amp;"["&amp;BI$8&amp;"]"),Data_main[Data],$A112, Data_main[Segment],$B112, Data_main[Scenario],$B$3)),SUMIFS(INDIRECT("Data_main"&amp;"["&amp;BI$8&amp;"]"),Data_main[Data],$A112, Data_main[Segment],$B112, Data_main[Scenario],$B$3))</f>
        <v>0</v>
      </c>
      <c r="BJ112" s="531">
        <f ca="1">IF($B$6="ON", IF(BJ110&gt;=covid_start, IF(BJ110&lt;covid_recovery,NA(),SUMIFS(INDIRECT("Data_main"&amp;"["&amp;BJ$8&amp;"]"),Data_main[Data],$A112, Data_main[Segment],$B112, Data_main[Scenario],$B$3)),SUMIFS(INDIRECT("Data_main"&amp;"["&amp;BJ$8&amp;"]"),Data_main[Data],$A112, Data_main[Segment],$B112, Data_main[Scenario],$B$3)),SUMIFS(INDIRECT("Data_main"&amp;"["&amp;BJ$8&amp;"]"),Data_main[Data],$A112, Data_main[Segment],$B112, Data_main[Scenario],$B$3))</f>
        <v>0</v>
      </c>
      <c r="BK112" s="531">
        <f ca="1">IF($B$6="ON", IF(BK110&gt;=covid_start, IF(BK110&lt;covid_recovery,NA(),SUMIFS(INDIRECT("Data_main"&amp;"["&amp;BK$8&amp;"]"),Data_main[Data],$A112, Data_main[Segment],$B112, Data_main[Scenario],$B$3)),SUMIFS(INDIRECT("Data_main"&amp;"["&amp;BK$8&amp;"]"),Data_main[Data],$A112, Data_main[Segment],$B112, Data_main[Scenario],$B$3)),SUMIFS(INDIRECT("Data_main"&amp;"["&amp;BK$8&amp;"]"),Data_main[Data],$A112, Data_main[Segment],$B112, Data_main[Scenario],$B$3))</f>
        <v>0</v>
      </c>
      <c r="BL112" s="531">
        <f ca="1">IF($B$6="ON", IF(BL110&gt;=covid_start, IF(BL110&lt;covid_recovery,NA(),SUMIFS(INDIRECT("Data_main"&amp;"["&amp;BL$8&amp;"]"),Data_main[Data],$A112, Data_main[Segment],$B112, Data_main[Scenario],$B$3)),SUMIFS(INDIRECT("Data_main"&amp;"["&amp;BL$8&amp;"]"),Data_main[Data],$A112, Data_main[Segment],$B112, Data_main[Scenario],$B$3)),SUMIFS(INDIRECT("Data_main"&amp;"["&amp;BL$8&amp;"]"),Data_main[Data],$A112, Data_main[Segment],$B112, Data_main[Scenario],$B$3))</f>
        <v>0</v>
      </c>
      <c r="BM112" s="531">
        <f ca="1">IF($B$6="ON", IF(BM110&gt;=covid_start, IF(BM110&lt;covid_recovery,NA(),SUMIFS(INDIRECT("Data_main"&amp;"["&amp;BM$8&amp;"]"),Data_main[Data],$A112, Data_main[Segment],$B112, Data_main[Scenario],$B$3)),SUMIFS(INDIRECT("Data_main"&amp;"["&amp;BM$8&amp;"]"),Data_main[Data],$A112, Data_main[Segment],$B112, Data_main[Scenario],$B$3)),SUMIFS(INDIRECT("Data_main"&amp;"["&amp;BM$8&amp;"]"),Data_main[Data],$A112, Data_main[Segment],$B112, Data_main[Scenario],$B$3))</f>
        <v>0</v>
      </c>
      <c r="BN112" s="531">
        <f ca="1">IF($B$6="ON", IF(BN110&gt;=covid_start, IF(BN110&lt;covid_recovery,NA(),SUMIFS(INDIRECT("Data_main"&amp;"["&amp;BN$8&amp;"]"),Data_main[Data],$A112, Data_main[Segment],$B112, Data_main[Scenario],$B$3)),SUMIFS(INDIRECT("Data_main"&amp;"["&amp;BN$8&amp;"]"),Data_main[Data],$A112, Data_main[Segment],$B112, Data_main[Scenario],$B$3)),SUMIFS(INDIRECT("Data_main"&amp;"["&amp;BN$8&amp;"]"),Data_main[Data],$A112, Data_main[Segment],$B112, Data_main[Scenario],$B$3))</f>
        <v>0</v>
      </c>
      <c r="BO112" s="531">
        <f ca="1">IF($B$6="ON", IF(BO110&gt;=covid_start, IF(BO110&lt;covid_recovery,NA(),SUMIFS(INDIRECT("Data_main"&amp;"["&amp;BO$8&amp;"]"),Data_main[Data],$A112, Data_main[Segment],$B112, Data_main[Scenario],$B$3)),SUMIFS(INDIRECT("Data_main"&amp;"["&amp;BO$8&amp;"]"),Data_main[Data],$A112, Data_main[Segment],$B112, Data_main[Scenario],$B$3)),SUMIFS(INDIRECT("Data_main"&amp;"["&amp;BO$8&amp;"]"),Data_main[Data],$A112, Data_main[Segment],$B112, Data_main[Scenario],$B$3))</f>
        <v>0</v>
      </c>
      <c r="BP112" s="531">
        <f ca="1">IF($B$6="ON", IF(BP110&gt;=covid_start, IF(BP110&lt;covid_recovery,NA(),SUMIFS(INDIRECT("Data_main"&amp;"["&amp;BP$8&amp;"]"),Data_main[Data],$A112, Data_main[Segment],$B112, Data_main[Scenario],$B$3)),SUMIFS(INDIRECT("Data_main"&amp;"["&amp;BP$8&amp;"]"),Data_main[Data],$A112, Data_main[Segment],$B112, Data_main[Scenario],$B$3)),SUMIFS(INDIRECT("Data_main"&amp;"["&amp;BP$8&amp;"]"),Data_main[Data],$A112, Data_main[Segment],$B112, Data_main[Scenario],$B$3))</f>
        <v>0</v>
      </c>
      <c r="BQ112" s="531">
        <f ca="1">IF($B$6="ON", IF(BQ110&gt;=covid_start, IF(BQ110&lt;covid_recovery,NA(),SUMIFS(INDIRECT("Data_main"&amp;"["&amp;BQ$8&amp;"]"),Data_main[Data],$A112, Data_main[Segment],$B112, Data_main[Scenario],$B$3)),SUMIFS(INDIRECT("Data_main"&amp;"["&amp;BQ$8&amp;"]"),Data_main[Data],$A112, Data_main[Segment],$B112, Data_main[Scenario],$B$3)),SUMIFS(INDIRECT("Data_main"&amp;"["&amp;BQ$8&amp;"]"),Data_main[Data],$A112, Data_main[Segment],$B112, Data_main[Scenario],$B$3))</f>
        <v>0</v>
      </c>
      <c r="BR112" s="531">
        <f ca="1">IF($B$6="ON", IF(BR110&gt;=covid_start, IF(BR110&lt;covid_recovery,NA(),SUMIFS(INDIRECT("Data_main"&amp;"["&amp;BR$8&amp;"]"),Data_main[Data],$A112, Data_main[Segment],$B112, Data_main[Scenario],$B$3)),SUMIFS(INDIRECT("Data_main"&amp;"["&amp;BR$8&amp;"]"),Data_main[Data],$A112, Data_main[Segment],$B112, Data_main[Scenario],$B$3)),SUMIFS(INDIRECT("Data_main"&amp;"["&amp;BR$8&amp;"]"),Data_main[Data],$A112, Data_main[Segment],$B112, Data_main[Scenario],$B$3))</f>
        <v>0</v>
      </c>
      <c r="BS112" s="531">
        <f ca="1">IF($B$6="ON", IF(BS110&gt;=covid_start, IF(BS110&lt;covid_recovery,NA(),SUMIFS(INDIRECT("Data_main"&amp;"["&amp;BS$8&amp;"]"),Data_main[Data],$A112, Data_main[Segment],$B112, Data_main[Scenario],$B$3)),SUMIFS(INDIRECT("Data_main"&amp;"["&amp;BS$8&amp;"]"),Data_main[Data],$A112, Data_main[Segment],$B112, Data_main[Scenario],$B$3)),SUMIFS(INDIRECT("Data_main"&amp;"["&amp;BS$8&amp;"]"),Data_main[Data],$A112, Data_main[Segment],$B112, Data_main[Scenario],$B$3))</f>
        <v>0</v>
      </c>
      <c r="BT112" s="531">
        <f ca="1">IF($B$6="ON", IF(BT110&gt;=covid_start, IF(BT110&lt;covid_recovery,NA(),SUMIFS(INDIRECT("Data_main"&amp;"["&amp;BT$8&amp;"]"),Data_main[Data],$A112, Data_main[Segment],$B112, Data_main[Scenario],$B$3)),SUMIFS(INDIRECT("Data_main"&amp;"["&amp;BT$8&amp;"]"),Data_main[Data],$A112, Data_main[Segment],$B112, Data_main[Scenario],$B$3)),SUMIFS(INDIRECT("Data_main"&amp;"["&amp;BT$8&amp;"]"),Data_main[Data],$A112, Data_main[Segment],$B112, Data_main[Scenario],$B$3))</f>
        <v>0</v>
      </c>
      <c r="BU112" s="531">
        <f ca="1">IF($B$6="ON", IF(BU110&gt;=covid_start, IF(BU110&lt;covid_recovery,NA(),SUMIFS(INDIRECT("Data_main"&amp;"["&amp;BU$8&amp;"]"),Data_main[Data],$A112, Data_main[Segment],$B112, Data_main[Scenario],$B$3)),SUMIFS(INDIRECT("Data_main"&amp;"["&amp;BU$8&amp;"]"),Data_main[Data],$A112, Data_main[Segment],$B112, Data_main[Scenario],$B$3)),SUMIFS(INDIRECT("Data_main"&amp;"["&amp;BU$8&amp;"]"),Data_main[Data],$A112, Data_main[Segment],$B112, Data_main[Scenario],$B$3))</f>
        <v>0</v>
      </c>
      <c r="BV112" s="531">
        <f ca="1">IF($B$6="ON", IF(BV110&gt;=covid_start, IF(BV110&lt;covid_recovery,NA(),SUMIFS(INDIRECT("Data_main"&amp;"["&amp;BV$8&amp;"]"),Data_main[Data],$A112, Data_main[Segment],$B112, Data_main[Scenario],$B$3)),SUMIFS(INDIRECT("Data_main"&amp;"["&amp;BV$8&amp;"]"),Data_main[Data],$A112, Data_main[Segment],$B112, Data_main[Scenario],$B$3)),SUMIFS(INDIRECT("Data_main"&amp;"["&amp;BV$8&amp;"]"),Data_main[Data],$A112, Data_main[Segment],$B112, Data_main[Scenario],$B$3))</f>
        <v>0</v>
      </c>
      <c r="BW112" s="531">
        <f ca="1">IF($B$6="ON", IF(BW110&gt;=covid_start, IF(BW110&lt;covid_recovery,NA(),SUMIFS(INDIRECT("Data_main"&amp;"["&amp;BW$8&amp;"]"),Data_main[Data],$A112, Data_main[Segment],$B112, Data_main[Scenario],$B$3)),SUMIFS(INDIRECT("Data_main"&amp;"["&amp;BW$8&amp;"]"),Data_main[Data],$A112, Data_main[Segment],$B112, Data_main[Scenario],$B$3)),SUMIFS(INDIRECT("Data_main"&amp;"["&amp;BW$8&amp;"]"),Data_main[Data],$A112, Data_main[Segment],$B112, Data_main[Scenario],$B$3))</f>
        <v>0</v>
      </c>
      <c r="BX112" s="531">
        <f ca="1">IF($B$6="ON", IF(BX110&gt;=covid_start, IF(BX110&lt;covid_recovery,NA(),SUMIFS(INDIRECT("Data_main"&amp;"["&amp;BX$8&amp;"]"),Data_main[Data],$A112, Data_main[Segment],$B112, Data_main[Scenario],$B$3)),SUMIFS(INDIRECT("Data_main"&amp;"["&amp;BX$8&amp;"]"),Data_main[Data],$A112, Data_main[Segment],$B112, Data_main[Scenario],$B$3)),SUMIFS(INDIRECT("Data_main"&amp;"["&amp;BX$8&amp;"]"),Data_main[Data],$A112, Data_main[Segment],$B112, Data_main[Scenario],$B$3))</f>
        <v>0</v>
      </c>
      <c r="BY112" s="531">
        <f ca="1">IF($B$6="ON", IF(BY110&gt;=covid_start, IF(BY110&lt;covid_recovery,NA(),SUMIFS(INDIRECT("Data_main"&amp;"["&amp;BY$8&amp;"]"),Data_main[Data],$A112, Data_main[Segment],$B112, Data_main[Scenario],$B$3)),SUMIFS(INDIRECT("Data_main"&amp;"["&amp;BY$8&amp;"]"),Data_main[Data],$A112, Data_main[Segment],$B112, Data_main[Scenario],$B$3)),SUMIFS(INDIRECT("Data_main"&amp;"["&amp;BY$8&amp;"]"),Data_main[Data],$A112, Data_main[Segment],$B112, Data_main[Scenario],$B$3))</f>
        <v>0</v>
      </c>
      <c r="BZ112" s="531">
        <f ca="1">IF($B$6="ON", IF(BZ110&gt;=covid_start, IF(BZ110&lt;covid_recovery,NA(),SUMIFS(INDIRECT("Data_main"&amp;"["&amp;BZ$8&amp;"]"),Data_main[Data],$A112, Data_main[Segment],$B112, Data_main[Scenario],$B$3)),SUMIFS(INDIRECT("Data_main"&amp;"["&amp;BZ$8&amp;"]"),Data_main[Data],$A112, Data_main[Segment],$B112, Data_main[Scenario],$B$3)),SUMIFS(INDIRECT("Data_main"&amp;"["&amp;BZ$8&amp;"]"),Data_main[Data],$A112, Data_main[Segment],$B112, Data_main[Scenario],$B$3))</f>
        <v>0</v>
      </c>
      <c r="CA112" s="531">
        <f ca="1">IF($B$6="ON", IF(CA110&gt;=covid_start, IF(CA110&lt;covid_recovery,NA(),SUMIFS(INDIRECT("Data_main"&amp;"["&amp;CA$8&amp;"]"),Data_main[Data],$A112, Data_main[Segment],$B112, Data_main[Scenario],$B$3)),SUMIFS(INDIRECT("Data_main"&amp;"["&amp;CA$8&amp;"]"),Data_main[Data],$A112, Data_main[Segment],$B112, Data_main[Scenario],$B$3)),SUMIFS(INDIRECT("Data_main"&amp;"["&amp;CA$8&amp;"]"),Data_main[Data],$A112, Data_main[Segment],$B112, Data_main[Scenario],$B$3))</f>
        <v>0</v>
      </c>
      <c r="CB112" s="531">
        <f ca="1">IF($B$6="ON", IF(CB110&gt;=covid_start, IF(CB110&lt;covid_recovery,NA(),SUMIFS(INDIRECT("Data_main"&amp;"["&amp;CB$8&amp;"]"),Data_main[Data],$A112, Data_main[Segment],$B112, Data_main[Scenario],$B$3)),SUMIFS(INDIRECT("Data_main"&amp;"["&amp;CB$8&amp;"]"),Data_main[Data],$A112, Data_main[Segment],$B112, Data_main[Scenario],$B$3)),SUMIFS(INDIRECT("Data_main"&amp;"["&amp;CB$8&amp;"]"),Data_main[Data],$A112, Data_main[Segment],$B112, Data_main[Scenario],$B$3))</f>
        <v>0</v>
      </c>
      <c r="CC112" s="531">
        <f ca="1">IF($B$6="ON", IF(CC110&gt;=covid_start, IF(CC110&lt;covid_recovery,NA(),SUMIFS(INDIRECT("Data_main"&amp;"["&amp;CC$8&amp;"]"),Data_main[Data],$A112, Data_main[Segment],$B112, Data_main[Scenario],$B$3)),SUMIFS(INDIRECT("Data_main"&amp;"["&amp;CC$8&amp;"]"),Data_main[Data],$A112, Data_main[Segment],$B112, Data_main[Scenario],$B$3)),SUMIFS(INDIRECT("Data_main"&amp;"["&amp;CC$8&amp;"]"),Data_main[Data],$A112, Data_main[Segment],$B112, Data_main[Scenario],$B$3))</f>
        <v>0</v>
      </c>
      <c r="CD112" s="531">
        <f ca="1">IF($B$6="ON", IF(CD110&gt;=covid_start, IF(CD110&lt;covid_recovery,NA(),SUMIFS(INDIRECT("Data_main"&amp;"["&amp;CD$8&amp;"]"),Data_main[Data],$A112, Data_main[Segment],$B112, Data_main[Scenario],$B$3)),SUMIFS(INDIRECT("Data_main"&amp;"["&amp;CD$8&amp;"]"),Data_main[Data],$A112, Data_main[Segment],$B112, Data_main[Scenario],$B$3)),SUMIFS(INDIRECT("Data_main"&amp;"["&amp;CD$8&amp;"]"),Data_main[Data],$A112, Data_main[Segment],$B112, Data_main[Scenario],$B$3))</f>
        <v>0</v>
      </c>
      <c r="CE112" s="531">
        <f ca="1">IF($B$6="ON", IF(CE110&gt;=covid_start, IF(CE110&lt;covid_recovery,NA(),SUMIFS(INDIRECT("Data_main"&amp;"["&amp;CE$8&amp;"]"),Data_main[Data],$A112, Data_main[Segment],$B112, Data_main[Scenario],$B$3)),SUMIFS(INDIRECT("Data_main"&amp;"["&amp;CE$8&amp;"]"),Data_main[Data],$A112, Data_main[Segment],$B112, Data_main[Scenario],$B$3)),SUMIFS(INDIRECT("Data_main"&amp;"["&amp;CE$8&amp;"]"),Data_main[Data],$A112, Data_main[Segment],$B112, Data_main[Scenario],$B$3))</f>
        <v>0</v>
      </c>
      <c r="CF112" s="531">
        <f ca="1">IF($B$6="ON", IF(CF110&gt;=covid_start, IF(CF110&lt;covid_recovery,NA(),SUMIFS(INDIRECT("Data_main"&amp;"["&amp;CF$8&amp;"]"),Data_main[Data],$A112, Data_main[Segment],$B112, Data_main[Scenario],$B$3)),SUMIFS(INDIRECT("Data_main"&amp;"["&amp;CF$8&amp;"]"),Data_main[Data],$A112, Data_main[Segment],$B112, Data_main[Scenario],$B$3)),SUMIFS(INDIRECT("Data_main"&amp;"["&amp;CF$8&amp;"]"),Data_main[Data],$A112, Data_main[Segment],$B112, Data_main[Scenario],$B$3))</f>
        <v>0</v>
      </c>
      <c r="CG112" s="531">
        <f ca="1">IF($B$6="ON", IF(CG110&gt;=covid_start, IF(CG110&lt;covid_recovery,NA(),SUMIFS(INDIRECT("Data_main"&amp;"["&amp;CG$8&amp;"]"),Data_main[Data],$A112, Data_main[Segment],$B112, Data_main[Scenario],$B$3)),SUMIFS(INDIRECT("Data_main"&amp;"["&amp;CG$8&amp;"]"),Data_main[Data],$A112, Data_main[Segment],$B112, Data_main[Scenario],$B$3)),SUMIFS(INDIRECT("Data_main"&amp;"["&amp;CG$8&amp;"]"),Data_main[Data],$A112, Data_main[Segment],$B112, Data_main[Scenario],$B$3))</f>
        <v>0</v>
      </c>
      <c r="CH112" s="531">
        <f ca="1">IF($B$6="ON", IF(CH110&gt;=covid_start, IF(CH110&lt;covid_recovery,NA(),SUMIFS(INDIRECT("Data_main"&amp;"["&amp;CH$8&amp;"]"),Data_main[Data],$A112, Data_main[Segment],$B112, Data_main[Scenario],$B$3)),SUMIFS(INDIRECT("Data_main"&amp;"["&amp;CH$8&amp;"]"),Data_main[Data],$A112, Data_main[Segment],$B112, Data_main[Scenario],$B$3)),SUMIFS(INDIRECT("Data_main"&amp;"["&amp;CH$8&amp;"]"),Data_main[Data],$A112, Data_main[Segment],$B112, Data_main[Scenario],$B$3))</f>
        <v>0</v>
      </c>
      <c r="CI112" s="531">
        <f ca="1">IF($B$6="ON", IF(CI110&gt;=covid_start, IF(CI110&lt;covid_recovery,NA(),SUMIFS(INDIRECT("Data_main"&amp;"["&amp;CI$8&amp;"]"),Data_main[Data],$A112, Data_main[Segment],$B112, Data_main[Scenario],$B$3)),SUMIFS(INDIRECT("Data_main"&amp;"["&amp;CI$8&amp;"]"),Data_main[Data],$A112, Data_main[Segment],$B112, Data_main[Scenario],$B$3)),SUMIFS(INDIRECT("Data_main"&amp;"["&amp;CI$8&amp;"]"),Data_main[Data],$A112, Data_main[Segment],$B112, Data_main[Scenario],$B$3))</f>
        <v>0</v>
      </c>
      <c r="CJ112" s="531">
        <f ca="1">IF($B$6="ON", IF(CJ110&gt;=covid_start, IF(CJ110&lt;covid_recovery,NA(),SUMIFS(INDIRECT("Data_main"&amp;"["&amp;CJ$8&amp;"]"),Data_main[Data],$A112, Data_main[Segment],$B112, Data_main[Scenario],$B$3)),SUMIFS(INDIRECT("Data_main"&amp;"["&amp;CJ$8&amp;"]"),Data_main[Data],$A112, Data_main[Segment],$B112, Data_main[Scenario],$B$3)),SUMIFS(INDIRECT("Data_main"&amp;"["&amp;CJ$8&amp;"]"),Data_main[Data],$A112, Data_main[Segment],$B112, Data_main[Scenario],$B$3))</f>
        <v>0</v>
      </c>
      <c r="CK112" s="531">
        <f ca="1">IF($B$6="ON", IF(CK110&gt;=covid_start, IF(CK110&lt;covid_recovery,NA(),SUMIFS(INDIRECT("Data_main"&amp;"["&amp;CK$8&amp;"]"),Data_main[Data],$A112, Data_main[Segment],$B112, Data_main[Scenario],$B$3)),SUMIFS(INDIRECT("Data_main"&amp;"["&amp;CK$8&amp;"]"),Data_main[Data],$A112, Data_main[Segment],$B112, Data_main[Scenario],$B$3)),SUMIFS(INDIRECT("Data_main"&amp;"["&amp;CK$8&amp;"]"),Data_main[Data],$A112, Data_main[Segment],$B112, Data_main[Scenario],$B$3))</f>
        <v>0</v>
      </c>
      <c r="CL112" s="531">
        <f ca="1">IF($B$6="ON", IF(CL110&gt;=covid_start, IF(CL110&lt;covid_recovery,NA(),SUMIFS(INDIRECT("Data_main"&amp;"["&amp;CL$8&amp;"]"),Data_main[Data],$A112, Data_main[Segment],$B112, Data_main[Scenario],$B$3)),SUMIFS(INDIRECT("Data_main"&amp;"["&amp;CL$8&amp;"]"),Data_main[Data],$A112, Data_main[Segment],$B112, Data_main[Scenario],$B$3)),SUMIFS(INDIRECT("Data_main"&amp;"["&amp;CL$8&amp;"]"),Data_main[Data],$A112, Data_main[Segment],$B112, Data_main[Scenario],$B$3))</f>
        <v>0</v>
      </c>
      <c r="CN112" s="613" t="str">
        <f ca="1">IFERROR((Y112/H112)^(1/17)-1,"")</f>
        <v/>
      </c>
      <c r="CO112" s="613" t="str">
        <f ca="1">IFERROR((AN112/Y112)^(1/15)-1,"")</f>
        <v/>
      </c>
      <c r="CP112" s="613" t="str">
        <f ca="1">IFERROR((AN112/H112)^(1/32)-1,"")</f>
        <v/>
      </c>
    </row>
    <row r="113" spans="1:94" outlineLevel="1">
      <c r="A113" s="532" t="s">
        <v>158</v>
      </c>
      <c r="B113" s="532" t="s">
        <v>417</v>
      </c>
      <c r="C113" s="533" t="s">
        <v>354</v>
      </c>
      <c r="D113" s="530" t="s">
        <v>355</v>
      </c>
      <c r="E113" s="531">
        <f ca="1">IF($B$6="ON", IF(E110&gt;=covid_start, IF(E110&lt;covid_recovery,NA(),SUMIFS(INDIRECT("Data_main"&amp;"["&amp;E$8&amp;"]"),Data_main[Data],$A113, Data_main[Segment],$B113, Data_main[Scenario],$B$3)),SUMIFS(INDIRECT("Data_main"&amp;"["&amp;E$8&amp;"]"),Data_main[Data],$A113, Data_main[Segment],$B113, Data_main[Scenario],$B$3)),SUMIFS(INDIRECT("Data_main"&amp;"["&amp;E$8&amp;"]"),Data_main[Data],$A113, Data_main[Segment],$B113, Data_main[Scenario],$B$3))</f>
        <v>0</v>
      </c>
      <c r="F113" s="531">
        <f ca="1">IF($B$6="ON", IF(F110&gt;=covid_start, IF(F110&lt;covid_recovery,NA(),SUMIFS(INDIRECT("Data_main"&amp;"["&amp;F$8&amp;"]"),Data_main[Data],$A113, Data_main[Segment],$B113, Data_main[Scenario],$B$3)),SUMIFS(INDIRECT("Data_main"&amp;"["&amp;F$8&amp;"]"),Data_main[Data],$A113, Data_main[Segment],$B113, Data_main[Scenario],$B$3)),SUMIFS(INDIRECT("Data_main"&amp;"["&amp;F$8&amp;"]"),Data_main[Data],$A113, Data_main[Segment],$B113, Data_main[Scenario],$B$3))</f>
        <v>0</v>
      </c>
      <c r="G113" s="531">
        <f ca="1">IF($B$6="ON", IF(G110&gt;=covid_start, IF(G110&lt;covid_recovery,NA(),SUMIFS(INDIRECT("Data_main"&amp;"["&amp;G$8&amp;"]"),Data_main[Data],$A113, Data_main[Segment],$B113, Data_main[Scenario],$B$3)),SUMIFS(INDIRECT("Data_main"&amp;"["&amp;G$8&amp;"]"),Data_main[Data],$A113, Data_main[Segment],$B113, Data_main[Scenario],$B$3)),SUMIFS(INDIRECT("Data_main"&amp;"["&amp;G$8&amp;"]"),Data_main[Data],$A113, Data_main[Segment],$B113, Data_main[Scenario],$B$3))</f>
        <v>0</v>
      </c>
      <c r="H113" s="531">
        <f ca="1">IF($B$6="ON", IF(H110&gt;=covid_start, IF(H110&lt;covid_recovery,NA(),SUMIFS(INDIRECT("Data_main"&amp;"["&amp;H$8&amp;"]"),Data_main[Data],$A113, Data_main[Segment],$B113, Data_main[Scenario],$B$3)),SUMIFS(INDIRECT("Data_main"&amp;"["&amp;H$8&amp;"]"),Data_main[Data],$A113, Data_main[Segment],$B113, Data_main[Scenario],$B$3)),SUMIFS(INDIRECT("Data_main"&amp;"["&amp;H$8&amp;"]"),Data_main[Data],$A113, Data_main[Segment],$B113, Data_main[Scenario],$B$3))</f>
        <v>0</v>
      </c>
      <c r="I113" s="531">
        <f ca="1">IF($B$6="ON", IF(I110&gt;=covid_start, IF(I110&lt;covid_recovery,NA(),SUMIFS(INDIRECT("Data_main"&amp;"["&amp;I$8&amp;"]"),Data_main[Data],$A113, Data_main[Segment],$B113, Data_main[Scenario],$B$3)),SUMIFS(INDIRECT("Data_main"&amp;"["&amp;I$8&amp;"]"),Data_main[Data],$A113, Data_main[Segment],$B113, Data_main[Scenario],$B$3)),SUMIFS(INDIRECT("Data_main"&amp;"["&amp;I$8&amp;"]"),Data_main[Data],$A113, Data_main[Segment],$B113, Data_main[Scenario],$B$3))</f>
        <v>0</v>
      </c>
      <c r="J113" s="531" t="e">
        <f ca="1">IF($B$6="ON", IF(J110&gt;=covid_start, IF(J110&lt;covid_recovery,NA(),SUMIFS(INDIRECT("Data_main"&amp;"["&amp;J$8&amp;"]"),Data_main[Data],$A113, Data_main[Segment],$B113, Data_main[Scenario],$B$3)),SUMIFS(INDIRECT("Data_main"&amp;"["&amp;J$8&amp;"]"),Data_main[Data],$A113, Data_main[Segment],$B113, Data_main[Scenario],$B$3)),SUMIFS(INDIRECT("Data_main"&amp;"["&amp;J$8&amp;"]"),Data_main[Data],$A113, Data_main[Segment],$B113, Data_main[Scenario],$B$3))</f>
        <v>#N/A</v>
      </c>
      <c r="K113" s="531" t="e">
        <f ca="1">IF($B$6="ON", IF(K110&gt;=covid_start, IF(K110&lt;covid_recovery,NA(),SUMIFS(INDIRECT("Data_main"&amp;"["&amp;K$8&amp;"]"),Data_main[Data],$A113, Data_main[Segment],$B113, Data_main[Scenario],$B$3)),SUMIFS(INDIRECT("Data_main"&amp;"["&amp;K$8&amp;"]"),Data_main[Data],$A113, Data_main[Segment],$B113, Data_main[Scenario],$B$3)),SUMIFS(INDIRECT("Data_main"&amp;"["&amp;K$8&amp;"]"),Data_main[Data],$A113, Data_main[Segment],$B113, Data_main[Scenario],$B$3))</f>
        <v>#N/A</v>
      </c>
      <c r="L113" s="531" t="e">
        <f ca="1">IF($B$6="ON", IF(L110&gt;=covid_start, IF(L110&lt;covid_recovery,NA(),SUMIFS(INDIRECT("Data_main"&amp;"["&amp;L$8&amp;"]"),Data_main[Data],$A113, Data_main[Segment],$B113, Data_main[Scenario],$B$3)),SUMIFS(INDIRECT("Data_main"&amp;"["&amp;L$8&amp;"]"),Data_main[Data],$A113, Data_main[Segment],$B113, Data_main[Scenario],$B$3)),SUMIFS(INDIRECT("Data_main"&amp;"["&amp;L$8&amp;"]"),Data_main[Data],$A113, Data_main[Segment],$B113, Data_main[Scenario],$B$3))</f>
        <v>#N/A</v>
      </c>
      <c r="M113" s="531">
        <f ca="1">IF($B$6="ON", IF(M110&gt;=covid_start, IF(M110&lt;covid_recovery,NA(),SUMIFS(INDIRECT("Data_main"&amp;"["&amp;M$8&amp;"]"),Data_main[Data],$A113, Data_main[Segment],$B113, Data_main[Scenario],$B$3)),SUMIFS(INDIRECT("Data_main"&amp;"["&amp;M$8&amp;"]"),Data_main[Data],$A113, Data_main[Segment],$B113, Data_main[Scenario],$B$3)),SUMIFS(INDIRECT("Data_main"&amp;"["&amp;M$8&amp;"]"),Data_main[Data],$A113, Data_main[Segment],$B113, Data_main[Scenario],$B$3))</f>
        <v>0</v>
      </c>
      <c r="N113" s="531">
        <f ca="1">IF($B$6="ON", IF(N110&gt;=covid_start, IF(N110&lt;covid_recovery,NA(),SUMIFS(INDIRECT("Data_main"&amp;"["&amp;N$8&amp;"]"),Data_main[Data],$A113, Data_main[Segment],$B113, Data_main[Scenario],$B$3)),SUMIFS(INDIRECT("Data_main"&amp;"["&amp;N$8&amp;"]"),Data_main[Data],$A113, Data_main[Segment],$B113, Data_main[Scenario],$B$3)),SUMIFS(INDIRECT("Data_main"&amp;"["&amp;N$8&amp;"]"),Data_main[Data],$A113, Data_main[Segment],$B113, Data_main[Scenario],$B$3))</f>
        <v>0</v>
      </c>
      <c r="O113" s="531">
        <f ca="1">IF($B$6="ON", IF(O110&gt;=covid_start, IF(O110&lt;covid_recovery,NA(),SUMIFS(INDIRECT("Data_main"&amp;"["&amp;O$8&amp;"]"),Data_main[Data],$A113, Data_main[Segment],$B113, Data_main[Scenario],$B$3)),SUMIFS(INDIRECT("Data_main"&amp;"["&amp;O$8&amp;"]"),Data_main[Data],$A113, Data_main[Segment],$B113, Data_main[Scenario],$B$3)),SUMIFS(INDIRECT("Data_main"&amp;"["&amp;O$8&amp;"]"),Data_main[Data],$A113, Data_main[Segment],$B113, Data_main[Scenario],$B$3))</f>
        <v>0</v>
      </c>
      <c r="P113" s="531">
        <f ca="1">IF($B$6="ON", IF(P110&gt;=covid_start, IF(P110&lt;covid_recovery,NA(),SUMIFS(INDIRECT("Data_main"&amp;"["&amp;P$8&amp;"]"),Data_main[Data],$A113, Data_main[Segment],$B113, Data_main[Scenario],$B$3)),SUMIFS(INDIRECT("Data_main"&amp;"["&amp;P$8&amp;"]"),Data_main[Data],$A113, Data_main[Segment],$B113, Data_main[Scenario],$B$3)),SUMIFS(INDIRECT("Data_main"&amp;"["&amp;P$8&amp;"]"),Data_main[Data],$A113, Data_main[Segment],$B113, Data_main[Scenario],$B$3))</f>
        <v>0</v>
      </c>
      <c r="Q113" s="531">
        <f ca="1">IF($B$6="ON", IF(Q110&gt;=covid_start, IF(Q110&lt;covid_recovery,NA(),SUMIFS(INDIRECT("Data_main"&amp;"["&amp;Q$8&amp;"]"),Data_main[Data],$A113, Data_main[Segment],$B113, Data_main[Scenario],$B$3)),SUMIFS(INDIRECT("Data_main"&amp;"["&amp;Q$8&amp;"]"),Data_main[Data],$A113, Data_main[Segment],$B113, Data_main[Scenario],$B$3)),SUMIFS(INDIRECT("Data_main"&amp;"["&amp;Q$8&amp;"]"),Data_main[Data],$A113, Data_main[Segment],$B113, Data_main[Scenario],$B$3))</f>
        <v>0</v>
      </c>
      <c r="R113" s="531">
        <f ca="1">IF($B$6="ON", IF(R110&gt;=covid_start, IF(R110&lt;covid_recovery,NA(),SUMIFS(INDIRECT("Data_main"&amp;"["&amp;R$8&amp;"]"),Data_main[Data],$A113, Data_main[Segment],$B113, Data_main[Scenario],$B$3)),SUMIFS(INDIRECT("Data_main"&amp;"["&amp;R$8&amp;"]"),Data_main[Data],$A113, Data_main[Segment],$B113, Data_main[Scenario],$B$3)),SUMIFS(INDIRECT("Data_main"&amp;"["&amp;R$8&amp;"]"),Data_main[Data],$A113, Data_main[Segment],$B113, Data_main[Scenario],$B$3))</f>
        <v>0</v>
      </c>
      <c r="S113" s="531">
        <f ca="1">IF($B$6="ON", IF(S110&gt;=covid_start, IF(S110&lt;covid_recovery,NA(),SUMIFS(INDIRECT("Data_main"&amp;"["&amp;S$8&amp;"]"),Data_main[Data],$A113, Data_main[Segment],$B113, Data_main[Scenario],$B$3)),SUMIFS(INDIRECT("Data_main"&amp;"["&amp;S$8&amp;"]"),Data_main[Data],$A113, Data_main[Segment],$B113, Data_main[Scenario],$B$3)),SUMIFS(INDIRECT("Data_main"&amp;"["&amp;S$8&amp;"]"),Data_main[Data],$A113, Data_main[Segment],$B113, Data_main[Scenario],$B$3))</f>
        <v>0</v>
      </c>
      <c r="T113" s="531">
        <f ca="1">IF($B$6="ON", IF(T110&gt;=covid_start, IF(T110&lt;covid_recovery,NA(),SUMIFS(INDIRECT("Data_main"&amp;"["&amp;T$8&amp;"]"),Data_main[Data],$A113, Data_main[Segment],$B113, Data_main[Scenario],$B$3)),SUMIFS(INDIRECT("Data_main"&amp;"["&amp;T$8&amp;"]"),Data_main[Data],$A113, Data_main[Segment],$B113, Data_main[Scenario],$B$3)),SUMIFS(INDIRECT("Data_main"&amp;"["&amp;T$8&amp;"]"),Data_main[Data],$A113, Data_main[Segment],$B113, Data_main[Scenario],$B$3))</f>
        <v>0</v>
      </c>
      <c r="U113" s="531">
        <f ca="1">IF($B$6="ON", IF(U110&gt;=covid_start, IF(U110&lt;covid_recovery,NA(),SUMIFS(INDIRECT("Data_main"&amp;"["&amp;U$8&amp;"]"),Data_main[Data],$A113, Data_main[Segment],$B113, Data_main[Scenario],$B$3)),SUMIFS(INDIRECT("Data_main"&amp;"["&amp;U$8&amp;"]"),Data_main[Data],$A113, Data_main[Segment],$B113, Data_main[Scenario],$B$3)),SUMIFS(INDIRECT("Data_main"&amp;"["&amp;U$8&amp;"]"),Data_main[Data],$A113, Data_main[Segment],$B113, Data_main[Scenario],$B$3))</f>
        <v>0</v>
      </c>
      <c r="V113" s="531">
        <f ca="1">IF($B$6="ON", IF(V110&gt;=covid_start, IF(V110&lt;covid_recovery,NA(),SUMIFS(INDIRECT("Data_main"&amp;"["&amp;V$8&amp;"]"),Data_main[Data],$A113, Data_main[Segment],$B113, Data_main[Scenario],$B$3)),SUMIFS(INDIRECT("Data_main"&amp;"["&amp;V$8&amp;"]"),Data_main[Data],$A113, Data_main[Segment],$B113, Data_main[Scenario],$B$3)),SUMIFS(INDIRECT("Data_main"&amp;"["&amp;V$8&amp;"]"),Data_main[Data],$A113, Data_main[Segment],$B113, Data_main[Scenario],$B$3))</f>
        <v>0</v>
      </c>
      <c r="W113" s="531">
        <f ca="1">IF($B$6="ON", IF(W110&gt;=covid_start, IF(W110&lt;covid_recovery,NA(),SUMIFS(INDIRECT("Data_main"&amp;"["&amp;W$8&amp;"]"),Data_main[Data],$A113, Data_main[Segment],$B113, Data_main[Scenario],$B$3)),SUMIFS(INDIRECT("Data_main"&amp;"["&amp;W$8&amp;"]"),Data_main[Data],$A113, Data_main[Segment],$B113, Data_main[Scenario],$B$3)),SUMIFS(INDIRECT("Data_main"&amp;"["&amp;W$8&amp;"]"),Data_main[Data],$A113, Data_main[Segment],$B113, Data_main[Scenario],$B$3))</f>
        <v>0</v>
      </c>
      <c r="X113" s="531">
        <f ca="1">IF($B$6="ON", IF(X110&gt;=covid_start, IF(X110&lt;covid_recovery,NA(),SUMIFS(INDIRECT("Data_main"&amp;"["&amp;X$8&amp;"]"),Data_main[Data],$A113, Data_main[Segment],$B113, Data_main[Scenario],$B$3)),SUMIFS(INDIRECT("Data_main"&amp;"["&amp;X$8&amp;"]"),Data_main[Data],$A113, Data_main[Segment],$B113, Data_main[Scenario],$B$3)),SUMIFS(INDIRECT("Data_main"&amp;"["&amp;X$8&amp;"]"),Data_main[Data],$A113, Data_main[Segment],$B113, Data_main[Scenario],$B$3))</f>
        <v>0</v>
      </c>
      <c r="Y113" s="531">
        <f ca="1">IF($B$6="ON", IF(Y110&gt;=covid_start, IF(Y110&lt;covid_recovery,NA(),SUMIFS(INDIRECT("Data_main"&amp;"["&amp;Y$8&amp;"]"),Data_main[Data],$A113, Data_main[Segment],$B113, Data_main[Scenario],$B$3)),SUMIFS(INDIRECT("Data_main"&amp;"["&amp;Y$8&amp;"]"),Data_main[Data],$A113, Data_main[Segment],$B113, Data_main[Scenario],$B$3)),SUMIFS(INDIRECT("Data_main"&amp;"["&amp;Y$8&amp;"]"),Data_main[Data],$A113, Data_main[Segment],$B113, Data_main[Scenario],$B$3))</f>
        <v>0</v>
      </c>
      <c r="Z113" s="531">
        <f ca="1">IF($B$6="ON", IF(Z110&gt;=covid_start, IF(Z110&lt;covid_recovery,NA(),SUMIFS(INDIRECT("Data_main"&amp;"["&amp;Z$8&amp;"]"),Data_main[Data],$A113, Data_main[Segment],$B113, Data_main[Scenario],$B$3)),SUMIFS(INDIRECT("Data_main"&amp;"["&amp;Z$8&amp;"]"),Data_main[Data],$A113, Data_main[Segment],$B113, Data_main[Scenario],$B$3)),SUMIFS(INDIRECT("Data_main"&amp;"["&amp;Z$8&amp;"]"),Data_main[Data],$A113, Data_main[Segment],$B113, Data_main[Scenario],$B$3))</f>
        <v>0</v>
      </c>
      <c r="AA113" s="531">
        <f ca="1">IF($B$6="ON", IF(AA110&gt;=covid_start, IF(AA110&lt;covid_recovery,NA(),SUMIFS(INDIRECT("Data_main"&amp;"["&amp;AA$8&amp;"]"),Data_main[Data],$A113, Data_main[Segment],$B113, Data_main[Scenario],$B$3)),SUMIFS(INDIRECT("Data_main"&amp;"["&amp;AA$8&amp;"]"),Data_main[Data],$A113, Data_main[Segment],$B113, Data_main[Scenario],$B$3)),SUMIFS(INDIRECT("Data_main"&amp;"["&amp;AA$8&amp;"]"),Data_main[Data],$A113, Data_main[Segment],$B113, Data_main[Scenario],$B$3))</f>
        <v>0</v>
      </c>
      <c r="AB113" s="531">
        <f ca="1">IF($B$6="ON", IF(AB110&gt;=covid_start, IF(AB110&lt;covid_recovery,NA(),SUMIFS(INDIRECT("Data_main"&amp;"["&amp;AB$8&amp;"]"),Data_main[Data],$A113, Data_main[Segment],$B113, Data_main[Scenario],$B$3)),SUMIFS(INDIRECT("Data_main"&amp;"["&amp;AB$8&amp;"]"),Data_main[Data],$A113, Data_main[Segment],$B113, Data_main[Scenario],$B$3)),SUMIFS(INDIRECT("Data_main"&amp;"["&amp;AB$8&amp;"]"),Data_main[Data],$A113, Data_main[Segment],$B113, Data_main[Scenario],$B$3))</f>
        <v>0</v>
      </c>
      <c r="AC113" s="531">
        <f ca="1">IF($B$6="ON", IF(AC110&gt;=covid_start, IF(AC110&lt;covid_recovery,NA(),SUMIFS(INDIRECT("Data_main"&amp;"["&amp;AC$8&amp;"]"),Data_main[Data],$A113, Data_main[Segment],$B113, Data_main[Scenario],$B$3)),SUMIFS(INDIRECT("Data_main"&amp;"["&amp;AC$8&amp;"]"),Data_main[Data],$A113, Data_main[Segment],$B113, Data_main[Scenario],$B$3)),SUMIFS(INDIRECT("Data_main"&amp;"["&amp;AC$8&amp;"]"),Data_main[Data],$A113, Data_main[Segment],$B113, Data_main[Scenario],$B$3))</f>
        <v>0</v>
      </c>
      <c r="AD113" s="531">
        <f ca="1">IF($B$6="ON", IF(AD110&gt;=covid_start, IF(AD110&lt;covid_recovery,NA(),SUMIFS(INDIRECT("Data_main"&amp;"["&amp;AD$8&amp;"]"),Data_main[Data],$A113, Data_main[Segment],$B113, Data_main[Scenario],$B$3)),SUMIFS(INDIRECT("Data_main"&amp;"["&amp;AD$8&amp;"]"),Data_main[Data],$A113, Data_main[Segment],$B113, Data_main[Scenario],$B$3)),SUMIFS(INDIRECT("Data_main"&amp;"["&amp;AD$8&amp;"]"),Data_main[Data],$A113, Data_main[Segment],$B113, Data_main[Scenario],$B$3))</f>
        <v>0</v>
      </c>
      <c r="AE113" s="531">
        <f ca="1">IF($B$6="ON", IF(AE110&gt;=covid_start, IF(AE110&lt;covid_recovery,NA(),SUMIFS(INDIRECT("Data_main"&amp;"["&amp;AE$8&amp;"]"),Data_main[Data],$A113, Data_main[Segment],$B113, Data_main[Scenario],$B$3)),SUMIFS(INDIRECT("Data_main"&amp;"["&amp;AE$8&amp;"]"),Data_main[Data],$A113, Data_main[Segment],$B113, Data_main[Scenario],$B$3)),SUMIFS(INDIRECT("Data_main"&amp;"["&amp;AE$8&amp;"]"),Data_main[Data],$A113, Data_main[Segment],$B113, Data_main[Scenario],$B$3))</f>
        <v>0</v>
      </c>
      <c r="AF113" s="531">
        <f ca="1">IF($B$6="ON", IF(AF110&gt;=covid_start, IF(AF110&lt;covid_recovery,NA(),SUMIFS(INDIRECT("Data_main"&amp;"["&amp;AF$8&amp;"]"),Data_main[Data],$A113, Data_main[Segment],$B113, Data_main[Scenario],$B$3)),SUMIFS(INDIRECT("Data_main"&amp;"["&amp;AF$8&amp;"]"),Data_main[Data],$A113, Data_main[Segment],$B113, Data_main[Scenario],$B$3)),SUMIFS(INDIRECT("Data_main"&amp;"["&amp;AF$8&amp;"]"),Data_main[Data],$A113, Data_main[Segment],$B113, Data_main[Scenario],$B$3))</f>
        <v>0</v>
      </c>
      <c r="AG113" s="531">
        <f ca="1">IF($B$6="ON", IF(AG110&gt;=covid_start, IF(AG110&lt;covid_recovery,NA(),SUMIFS(INDIRECT("Data_main"&amp;"["&amp;AG$8&amp;"]"),Data_main[Data],$A113, Data_main[Segment],$B113, Data_main[Scenario],$B$3)),SUMIFS(INDIRECT("Data_main"&amp;"["&amp;AG$8&amp;"]"),Data_main[Data],$A113, Data_main[Segment],$B113, Data_main[Scenario],$B$3)),SUMIFS(INDIRECT("Data_main"&amp;"["&amp;AG$8&amp;"]"),Data_main[Data],$A113, Data_main[Segment],$B113, Data_main[Scenario],$B$3))</f>
        <v>0</v>
      </c>
      <c r="AH113" s="531">
        <f ca="1">IF($B$6="ON", IF(AH110&gt;=covid_start, IF(AH110&lt;covid_recovery,NA(),SUMIFS(INDIRECT("Data_main"&amp;"["&amp;AH$8&amp;"]"),Data_main[Data],$A113, Data_main[Segment],$B113, Data_main[Scenario],$B$3)),SUMIFS(INDIRECT("Data_main"&amp;"["&amp;AH$8&amp;"]"),Data_main[Data],$A113, Data_main[Segment],$B113, Data_main[Scenario],$B$3)),SUMIFS(INDIRECT("Data_main"&amp;"["&amp;AH$8&amp;"]"),Data_main[Data],$A113, Data_main[Segment],$B113, Data_main[Scenario],$B$3))</f>
        <v>0</v>
      </c>
      <c r="AI113" s="531">
        <f ca="1">IF($B$6="ON", IF(AI110&gt;=covid_start, IF(AI110&lt;covid_recovery,NA(),SUMIFS(INDIRECT("Data_main"&amp;"["&amp;AI$8&amp;"]"),Data_main[Data],$A113, Data_main[Segment],$B113, Data_main[Scenario],$B$3)),SUMIFS(INDIRECT("Data_main"&amp;"["&amp;AI$8&amp;"]"),Data_main[Data],$A113, Data_main[Segment],$B113, Data_main[Scenario],$B$3)),SUMIFS(INDIRECT("Data_main"&amp;"["&amp;AI$8&amp;"]"),Data_main[Data],$A113, Data_main[Segment],$B113, Data_main[Scenario],$B$3))</f>
        <v>0</v>
      </c>
      <c r="AJ113" s="531">
        <f ca="1">IF($B$6="ON", IF(AJ110&gt;=covid_start, IF(AJ110&lt;covid_recovery,NA(),SUMIFS(INDIRECT("Data_main"&amp;"["&amp;AJ$8&amp;"]"),Data_main[Data],$A113, Data_main[Segment],$B113, Data_main[Scenario],$B$3)),SUMIFS(INDIRECT("Data_main"&amp;"["&amp;AJ$8&amp;"]"),Data_main[Data],$A113, Data_main[Segment],$B113, Data_main[Scenario],$B$3)),SUMIFS(INDIRECT("Data_main"&amp;"["&amp;AJ$8&amp;"]"),Data_main[Data],$A113, Data_main[Segment],$B113, Data_main[Scenario],$B$3))</f>
        <v>0</v>
      </c>
      <c r="AK113" s="531">
        <f ca="1">IF($B$6="ON", IF(AK110&gt;=covid_start, IF(AK110&lt;covid_recovery,NA(),SUMIFS(INDIRECT("Data_main"&amp;"["&amp;AK$8&amp;"]"),Data_main[Data],$A113, Data_main[Segment],$B113, Data_main[Scenario],$B$3)),SUMIFS(INDIRECT("Data_main"&amp;"["&amp;AK$8&amp;"]"),Data_main[Data],$A113, Data_main[Segment],$B113, Data_main[Scenario],$B$3)),SUMIFS(INDIRECT("Data_main"&amp;"["&amp;AK$8&amp;"]"),Data_main[Data],$A113, Data_main[Segment],$B113, Data_main[Scenario],$B$3))</f>
        <v>0</v>
      </c>
      <c r="AL113" s="531">
        <f ca="1">IF($B$6="ON", IF(AL110&gt;=covid_start, IF(AL110&lt;covid_recovery,NA(),SUMIFS(INDIRECT("Data_main"&amp;"["&amp;AL$8&amp;"]"),Data_main[Data],$A113, Data_main[Segment],$B113, Data_main[Scenario],$B$3)),SUMIFS(INDIRECT("Data_main"&amp;"["&amp;AL$8&amp;"]"),Data_main[Data],$A113, Data_main[Segment],$B113, Data_main[Scenario],$B$3)),SUMIFS(INDIRECT("Data_main"&amp;"["&amp;AL$8&amp;"]"),Data_main[Data],$A113, Data_main[Segment],$B113, Data_main[Scenario],$B$3))</f>
        <v>0</v>
      </c>
      <c r="AM113" s="531">
        <f ca="1">IF($B$6="ON", IF(AM110&gt;=covid_start, IF(AM110&lt;covid_recovery,NA(),SUMIFS(INDIRECT("Data_main"&amp;"["&amp;AM$8&amp;"]"),Data_main[Data],$A113, Data_main[Segment],$B113, Data_main[Scenario],$B$3)),SUMIFS(INDIRECT("Data_main"&amp;"["&amp;AM$8&amp;"]"),Data_main[Data],$A113, Data_main[Segment],$B113, Data_main[Scenario],$B$3)),SUMIFS(INDIRECT("Data_main"&amp;"["&amp;AM$8&amp;"]"),Data_main[Data],$A113, Data_main[Segment],$B113, Data_main[Scenario],$B$3))</f>
        <v>0</v>
      </c>
      <c r="AN113" s="531">
        <f ca="1">IF($B$6="ON", IF(AN110&gt;=covid_start, IF(AN110&lt;covid_recovery,NA(),SUMIFS(INDIRECT("Data_main"&amp;"["&amp;AN$8&amp;"]"),Data_main[Data],$A113, Data_main[Segment],$B113, Data_main[Scenario],$B$3)),SUMIFS(INDIRECT("Data_main"&amp;"["&amp;AN$8&amp;"]"),Data_main[Data],$A113, Data_main[Segment],$B113, Data_main[Scenario],$B$3)),SUMIFS(INDIRECT("Data_main"&amp;"["&amp;AN$8&amp;"]"),Data_main[Data],$A113, Data_main[Segment],$B113, Data_main[Scenario],$B$3))</f>
        <v>0</v>
      </c>
      <c r="AO113" s="531">
        <f ca="1">IF($B$6="ON", IF(AO110&gt;=covid_start, IF(AO110&lt;covid_recovery,NA(),SUMIFS(INDIRECT("Data_main"&amp;"["&amp;AO$8&amp;"]"),Data_main[Data],$A113, Data_main[Segment],$B113, Data_main[Scenario],$B$3)),SUMIFS(INDIRECT("Data_main"&amp;"["&amp;AO$8&amp;"]"),Data_main[Data],$A113, Data_main[Segment],$B113, Data_main[Scenario],$B$3)),SUMIFS(INDIRECT("Data_main"&amp;"["&amp;AO$8&amp;"]"),Data_main[Data],$A113, Data_main[Segment],$B113, Data_main[Scenario],$B$3))</f>
        <v>0</v>
      </c>
      <c r="AP113" s="531">
        <f ca="1">IF($B$6="ON", IF(AP110&gt;=covid_start, IF(AP110&lt;covid_recovery,NA(),SUMIFS(INDIRECT("Data_main"&amp;"["&amp;AP$8&amp;"]"),Data_main[Data],$A113, Data_main[Segment],$B113, Data_main[Scenario],$B$3)),SUMIFS(INDIRECT("Data_main"&amp;"["&amp;AP$8&amp;"]"),Data_main[Data],$A113, Data_main[Segment],$B113, Data_main[Scenario],$B$3)),SUMIFS(INDIRECT("Data_main"&amp;"["&amp;AP$8&amp;"]"),Data_main[Data],$A113, Data_main[Segment],$B113, Data_main[Scenario],$B$3))</f>
        <v>0</v>
      </c>
      <c r="AQ113" s="531">
        <f ca="1">IF($B$6="ON", IF(AQ110&gt;=covid_start, IF(AQ110&lt;covid_recovery,NA(),SUMIFS(INDIRECT("Data_main"&amp;"["&amp;AQ$8&amp;"]"),Data_main[Data],$A113, Data_main[Segment],$B113, Data_main[Scenario],$B$3)),SUMIFS(INDIRECT("Data_main"&amp;"["&amp;AQ$8&amp;"]"),Data_main[Data],$A113, Data_main[Segment],$B113, Data_main[Scenario],$B$3)),SUMIFS(INDIRECT("Data_main"&amp;"["&amp;AQ$8&amp;"]"),Data_main[Data],$A113, Data_main[Segment],$B113, Data_main[Scenario],$B$3))</f>
        <v>0</v>
      </c>
      <c r="AR113" s="531">
        <f ca="1">IF($B$6="ON", IF(AR110&gt;=covid_start, IF(AR110&lt;covid_recovery,NA(),SUMIFS(INDIRECT("Data_main"&amp;"["&amp;AR$8&amp;"]"),Data_main[Data],$A113, Data_main[Segment],$B113, Data_main[Scenario],$B$3)),SUMIFS(INDIRECT("Data_main"&amp;"["&amp;AR$8&amp;"]"),Data_main[Data],$A113, Data_main[Segment],$B113, Data_main[Scenario],$B$3)),SUMIFS(INDIRECT("Data_main"&amp;"["&amp;AR$8&amp;"]"),Data_main[Data],$A113, Data_main[Segment],$B113, Data_main[Scenario],$B$3))</f>
        <v>0</v>
      </c>
      <c r="AS113" s="531">
        <f ca="1">IF($B$6="ON", IF(AS110&gt;=covid_start, IF(AS110&lt;covid_recovery,NA(),SUMIFS(INDIRECT("Data_main"&amp;"["&amp;AS$8&amp;"]"),Data_main[Data],$A113, Data_main[Segment],$B113, Data_main[Scenario],$B$3)),SUMIFS(INDIRECT("Data_main"&amp;"["&amp;AS$8&amp;"]"),Data_main[Data],$A113, Data_main[Segment],$B113, Data_main[Scenario],$B$3)),SUMIFS(INDIRECT("Data_main"&amp;"["&amp;AS$8&amp;"]"),Data_main[Data],$A113, Data_main[Segment],$B113, Data_main[Scenario],$B$3))</f>
        <v>0</v>
      </c>
      <c r="AT113" s="531">
        <f ca="1">IF($B$6="ON", IF(AT110&gt;=covid_start, IF(AT110&lt;covid_recovery,NA(),SUMIFS(INDIRECT("Data_main"&amp;"["&amp;AT$8&amp;"]"),Data_main[Data],$A113, Data_main[Segment],$B113, Data_main[Scenario],$B$3)),SUMIFS(INDIRECT("Data_main"&amp;"["&amp;AT$8&amp;"]"),Data_main[Data],$A113, Data_main[Segment],$B113, Data_main[Scenario],$B$3)),SUMIFS(INDIRECT("Data_main"&amp;"["&amp;AT$8&amp;"]"),Data_main[Data],$A113, Data_main[Segment],$B113, Data_main[Scenario],$B$3))</f>
        <v>0</v>
      </c>
      <c r="AU113" s="531">
        <f ca="1">IF($B$6="ON", IF(AU110&gt;=covid_start, IF(AU110&lt;covid_recovery,NA(),SUMIFS(INDIRECT("Data_main"&amp;"["&amp;AU$8&amp;"]"),Data_main[Data],$A113, Data_main[Segment],$B113, Data_main[Scenario],$B$3)),SUMIFS(INDIRECT("Data_main"&amp;"["&amp;AU$8&amp;"]"),Data_main[Data],$A113, Data_main[Segment],$B113, Data_main[Scenario],$B$3)),SUMIFS(INDIRECT("Data_main"&amp;"["&amp;AU$8&amp;"]"),Data_main[Data],$A113, Data_main[Segment],$B113, Data_main[Scenario],$B$3))</f>
        <v>0</v>
      </c>
      <c r="AV113" s="531">
        <f ca="1">IF($B$6="ON", IF(AV110&gt;=covid_start, IF(AV110&lt;covid_recovery,NA(),SUMIFS(INDIRECT("Data_main"&amp;"["&amp;AV$8&amp;"]"),Data_main[Data],$A113, Data_main[Segment],$B113, Data_main[Scenario],$B$3)),SUMIFS(INDIRECT("Data_main"&amp;"["&amp;AV$8&amp;"]"),Data_main[Data],$A113, Data_main[Segment],$B113, Data_main[Scenario],$B$3)),SUMIFS(INDIRECT("Data_main"&amp;"["&amp;AV$8&amp;"]"),Data_main[Data],$A113, Data_main[Segment],$B113, Data_main[Scenario],$B$3))</f>
        <v>0</v>
      </c>
      <c r="AW113" s="531">
        <f ca="1">IF($B$6="ON", IF(AW110&gt;=covid_start, IF(AW110&lt;covid_recovery,NA(),SUMIFS(INDIRECT("Data_main"&amp;"["&amp;AW$8&amp;"]"),Data_main[Data],$A113, Data_main[Segment],$B113, Data_main[Scenario],$B$3)),SUMIFS(INDIRECT("Data_main"&amp;"["&amp;AW$8&amp;"]"),Data_main[Data],$A113, Data_main[Segment],$B113, Data_main[Scenario],$B$3)),SUMIFS(INDIRECT("Data_main"&amp;"["&amp;AW$8&amp;"]"),Data_main[Data],$A113, Data_main[Segment],$B113, Data_main[Scenario],$B$3))</f>
        <v>0</v>
      </c>
      <c r="AX113" s="531">
        <f ca="1">IF($B$6="ON", IF(AX110&gt;=covid_start, IF(AX110&lt;covid_recovery,NA(),SUMIFS(INDIRECT("Data_main"&amp;"["&amp;AX$8&amp;"]"),Data_main[Data],$A113, Data_main[Segment],$B113, Data_main[Scenario],$B$3)),SUMIFS(INDIRECT("Data_main"&amp;"["&amp;AX$8&amp;"]"),Data_main[Data],$A113, Data_main[Segment],$B113, Data_main[Scenario],$B$3)),SUMIFS(INDIRECT("Data_main"&amp;"["&amp;AX$8&amp;"]"),Data_main[Data],$A113, Data_main[Segment],$B113, Data_main[Scenario],$B$3))</f>
        <v>0</v>
      </c>
      <c r="AY113" s="531">
        <f ca="1">IF($B$6="ON", IF(AY110&gt;=covid_start, IF(AY110&lt;covid_recovery,NA(),SUMIFS(INDIRECT("Data_main"&amp;"["&amp;AY$8&amp;"]"),Data_main[Data],$A113, Data_main[Segment],$B113, Data_main[Scenario],$B$3)),SUMIFS(INDIRECT("Data_main"&amp;"["&amp;AY$8&amp;"]"),Data_main[Data],$A113, Data_main[Segment],$B113, Data_main[Scenario],$B$3)),SUMIFS(INDIRECT("Data_main"&amp;"["&amp;AY$8&amp;"]"),Data_main[Data],$A113, Data_main[Segment],$B113, Data_main[Scenario],$B$3))</f>
        <v>0</v>
      </c>
      <c r="AZ113" s="531">
        <f ca="1">IF($B$6="ON", IF(AZ110&gt;=covid_start, IF(AZ110&lt;covid_recovery,NA(),SUMIFS(INDIRECT("Data_main"&amp;"["&amp;AZ$8&amp;"]"),Data_main[Data],$A113, Data_main[Segment],$B113, Data_main[Scenario],$B$3)),SUMIFS(INDIRECT("Data_main"&amp;"["&amp;AZ$8&amp;"]"),Data_main[Data],$A113, Data_main[Segment],$B113, Data_main[Scenario],$B$3)),SUMIFS(INDIRECT("Data_main"&amp;"["&amp;AZ$8&amp;"]"),Data_main[Data],$A113, Data_main[Segment],$B113, Data_main[Scenario],$B$3))</f>
        <v>0</v>
      </c>
      <c r="BA113" s="531">
        <f ca="1">IF($B$6="ON", IF(BA110&gt;=covid_start, IF(BA110&lt;covid_recovery,NA(),SUMIFS(INDIRECT("Data_main"&amp;"["&amp;BA$8&amp;"]"),Data_main[Data],$A113, Data_main[Segment],$B113, Data_main[Scenario],$B$3)),SUMIFS(INDIRECT("Data_main"&amp;"["&amp;BA$8&amp;"]"),Data_main[Data],$A113, Data_main[Segment],$B113, Data_main[Scenario],$B$3)),SUMIFS(INDIRECT("Data_main"&amp;"["&amp;BA$8&amp;"]"),Data_main[Data],$A113, Data_main[Segment],$B113, Data_main[Scenario],$B$3))</f>
        <v>0</v>
      </c>
      <c r="BB113" s="531">
        <f ca="1">IF($B$6="ON", IF(BB110&gt;=covid_start, IF(BB110&lt;covid_recovery,NA(),SUMIFS(INDIRECT("Data_main"&amp;"["&amp;BB$8&amp;"]"),Data_main[Data],$A113, Data_main[Segment],$B113, Data_main[Scenario],$B$3)),SUMIFS(INDIRECT("Data_main"&amp;"["&amp;BB$8&amp;"]"),Data_main[Data],$A113, Data_main[Segment],$B113, Data_main[Scenario],$B$3)),SUMIFS(INDIRECT("Data_main"&amp;"["&amp;BB$8&amp;"]"),Data_main[Data],$A113, Data_main[Segment],$B113, Data_main[Scenario],$B$3))</f>
        <v>0</v>
      </c>
      <c r="BC113" s="531">
        <f ca="1">IF($B$6="ON", IF(BC110&gt;=covid_start, IF(BC110&lt;covid_recovery,NA(),SUMIFS(INDIRECT("Data_main"&amp;"["&amp;BC$8&amp;"]"),Data_main[Data],$A113, Data_main[Segment],$B113, Data_main[Scenario],$B$3)),SUMIFS(INDIRECT("Data_main"&amp;"["&amp;BC$8&amp;"]"),Data_main[Data],$A113, Data_main[Segment],$B113, Data_main[Scenario],$B$3)),SUMIFS(INDIRECT("Data_main"&amp;"["&amp;BC$8&amp;"]"),Data_main[Data],$A113, Data_main[Segment],$B113, Data_main[Scenario],$B$3))</f>
        <v>0</v>
      </c>
      <c r="BD113" s="531">
        <f ca="1">IF($B$6="ON", IF(BD110&gt;=covid_start, IF(BD110&lt;covid_recovery,NA(),SUMIFS(INDIRECT("Data_main"&amp;"["&amp;BD$8&amp;"]"),Data_main[Data],$A113, Data_main[Segment],$B113, Data_main[Scenario],$B$3)),SUMIFS(INDIRECT("Data_main"&amp;"["&amp;BD$8&amp;"]"),Data_main[Data],$A113, Data_main[Segment],$B113, Data_main[Scenario],$B$3)),SUMIFS(INDIRECT("Data_main"&amp;"["&amp;BD$8&amp;"]"),Data_main[Data],$A113, Data_main[Segment],$B113, Data_main[Scenario],$B$3))</f>
        <v>0</v>
      </c>
      <c r="BE113" s="531">
        <f ca="1">IF($B$6="ON", IF(BE110&gt;=covid_start, IF(BE110&lt;covid_recovery,NA(),SUMIFS(INDIRECT("Data_main"&amp;"["&amp;BE$8&amp;"]"),Data_main[Data],$A113, Data_main[Segment],$B113, Data_main[Scenario],$B$3)),SUMIFS(INDIRECT("Data_main"&amp;"["&amp;BE$8&amp;"]"),Data_main[Data],$A113, Data_main[Segment],$B113, Data_main[Scenario],$B$3)),SUMIFS(INDIRECT("Data_main"&amp;"["&amp;BE$8&amp;"]"),Data_main[Data],$A113, Data_main[Segment],$B113, Data_main[Scenario],$B$3))</f>
        <v>0</v>
      </c>
      <c r="BF113" s="531">
        <f ca="1">IF($B$6="ON", IF(BF110&gt;=covid_start, IF(BF110&lt;covid_recovery,NA(),SUMIFS(INDIRECT("Data_main"&amp;"["&amp;BF$8&amp;"]"),Data_main[Data],$A113, Data_main[Segment],$B113, Data_main[Scenario],$B$3)),SUMIFS(INDIRECT("Data_main"&amp;"["&amp;BF$8&amp;"]"),Data_main[Data],$A113, Data_main[Segment],$B113, Data_main[Scenario],$B$3)),SUMIFS(INDIRECT("Data_main"&amp;"["&amp;BF$8&amp;"]"),Data_main[Data],$A113, Data_main[Segment],$B113, Data_main[Scenario],$B$3))</f>
        <v>0</v>
      </c>
      <c r="BG113" s="531">
        <f ca="1">IF($B$6="ON", IF(BG110&gt;=covid_start, IF(BG110&lt;covid_recovery,NA(),SUMIFS(INDIRECT("Data_main"&amp;"["&amp;BG$8&amp;"]"),Data_main[Data],$A113, Data_main[Segment],$B113, Data_main[Scenario],$B$3)),SUMIFS(INDIRECT("Data_main"&amp;"["&amp;BG$8&amp;"]"),Data_main[Data],$A113, Data_main[Segment],$B113, Data_main[Scenario],$B$3)),SUMIFS(INDIRECT("Data_main"&amp;"["&amp;BG$8&amp;"]"),Data_main[Data],$A113, Data_main[Segment],$B113, Data_main[Scenario],$B$3))</f>
        <v>0</v>
      </c>
      <c r="BH113" s="531">
        <f ca="1">IF($B$6="ON", IF(BH110&gt;=covid_start, IF(BH110&lt;covid_recovery,NA(),SUMIFS(INDIRECT("Data_main"&amp;"["&amp;BH$8&amp;"]"),Data_main[Data],$A113, Data_main[Segment],$B113, Data_main[Scenario],$B$3)),SUMIFS(INDIRECT("Data_main"&amp;"["&amp;BH$8&amp;"]"),Data_main[Data],$A113, Data_main[Segment],$B113, Data_main[Scenario],$B$3)),SUMIFS(INDIRECT("Data_main"&amp;"["&amp;BH$8&amp;"]"),Data_main[Data],$A113, Data_main[Segment],$B113, Data_main[Scenario],$B$3))</f>
        <v>0</v>
      </c>
      <c r="BI113" s="531">
        <f ca="1">IF($B$6="ON", IF(BI110&gt;=covid_start, IF(BI110&lt;covid_recovery,NA(),SUMIFS(INDIRECT("Data_main"&amp;"["&amp;BI$8&amp;"]"),Data_main[Data],$A113, Data_main[Segment],$B113, Data_main[Scenario],$B$3)),SUMIFS(INDIRECT("Data_main"&amp;"["&amp;BI$8&amp;"]"),Data_main[Data],$A113, Data_main[Segment],$B113, Data_main[Scenario],$B$3)),SUMIFS(INDIRECT("Data_main"&amp;"["&amp;BI$8&amp;"]"),Data_main[Data],$A113, Data_main[Segment],$B113, Data_main[Scenario],$B$3))</f>
        <v>0</v>
      </c>
      <c r="BJ113" s="531">
        <f ca="1">IF($B$6="ON", IF(BJ110&gt;=covid_start, IF(BJ110&lt;covid_recovery,NA(),SUMIFS(INDIRECT("Data_main"&amp;"["&amp;BJ$8&amp;"]"),Data_main[Data],$A113, Data_main[Segment],$B113, Data_main[Scenario],$B$3)),SUMIFS(INDIRECT("Data_main"&amp;"["&amp;BJ$8&amp;"]"),Data_main[Data],$A113, Data_main[Segment],$B113, Data_main[Scenario],$B$3)),SUMIFS(INDIRECT("Data_main"&amp;"["&amp;BJ$8&amp;"]"),Data_main[Data],$A113, Data_main[Segment],$B113, Data_main[Scenario],$B$3))</f>
        <v>0</v>
      </c>
      <c r="BK113" s="531">
        <f ca="1">IF($B$6="ON", IF(BK110&gt;=covid_start, IF(BK110&lt;covid_recovery,NA(),SUMIFS(INDIRECT("Data_main"&amp;"["&amp;BK$8&amp;"]"),Data_main[Data],$A113, Data_main[Segment],$B113, Data_main[Scenario],$B$3)),SUMIFS(INDIRECT("Data_main"&amp;"["&amp;BK$8&amp;"]"),Data_main[Data],$A113, Data_main[Segment],$B113, Data_main[Scenario],$B$3)),SUMIFS(INDIRECT("Data_main"&amp;"["&amp;BK$8&amp;"]"),Data_main[Data],$A113, Data_main[Segment],$B113, Data_main[Scenario],$B$3))</f>
        <v>0</v>
      </c>
      <c r="BL113" s="531">
        <f ca="1">IF($B$6="ON", IF(BL110&gt;=covid_start, IF(BL110&lt;covid_recovery,NA(),SUMIFS(INDIRECT("Data_main"&amp;"["&amp;BL$8&amp;"]"),Data_main[Data],$A113, Data_main[Segment],$B113, Data_main[Scenario],$B$3)),SUMIFS(INDIRECT("Data_main"&amp;"["&amp;BL$8&amp;"]"),Data_main[Data],$A113, Data_main[Segment],$B113, Data_main[Scenario],$B$3)),SUMIFS(INDIRECT("Data_main"&amp;"["&amp;BL$8&amp;"]"),Data_main[Data],$A113, Data_main[Segment],$B113, Data_main[Scenario],$B$3))</f>
        <v>0</v>
      </c>
      <c r="BM113" s="531">
        <f ca="1">IF($B$6="ON", IF(BM110&gt;=covid_start, IF(BM110&lt;covid_recovery,NA(),SUMIFS(INDIRECT("Data_main"&amp;"["&amp;BM$8&amp;"]"),Data_main[Data],$A113, Data_main[Segment],$B113, Data_main[Scenario],$B$3)),SUMIFS(INDIRECT("Data_main"&amp;"["&amp;BM$8&amp;"]"),Data_main[Data],$A113, Data_main[Segment],$B113, Data_main[Scenario],$B$3)),SUMIFS(INDIRECT("Data_main"&amp;"["&amp;BM$8&amp;"]"),Data_main[Data],$A113, Data_main[Segment],$B113, Data_main[Scenario],$B$3))</f>
        <v>0</v>
      </c>
      <c r="BN113" s="531">
        <f ca="1">IF($B$6="ON", IF(BN110&gt;=covid_start, IF(BN110&lt;covid_recovery,NA(),SUMIFS(INDIRECT("Data_main"&amp;"["&amp;BN$8&amp;"]"),Data_main[Data],$A113, Data_main[Segment],$B113, Data_main[Scenario],$B$3)),SUMIFS(INDIRECT("Data_main"&amp;"["&amp;BN$8&amp;"]"),Data_main[Data],$A113, Data_main[Segment],$B113, Data_main[Scenario],$B$3)),SUMIFS(INDIRECT("Data_main"&amp;"["&amp;BN$8&amp;"]"),Data_main[Data],$A113, Data_main[Segment],$B113, Data_main[Scenario],$B$3))</f>
        <v>0</v>
      </c>
      <c r="BO113" s="531">
        <f ca="1">IF($B$6="ON", IF(BO110&gt;=covid_start, IF(BO110&lt;covid_recovery,NA(),SUMIFS(INDIRECT("Data_main"&amp;"["&amp;BO$8&amp;"]"),Data_main[Data],$A113, Data_main[Segment],$B113, Data_main[Scenario],$B$3)),SUMIFS(INDIRECT("Data_main"&amp;"["&amp;BO$8&amp;"]"),Data_main[Data],$A113, Data_main[Segment],$B113, Data_main[Scenario],$B$3)),SUMIFS(INDIRECT("Data_main"&amp;"["&amp;BO$8&amp;"]"),Data_main[Data],$A113, Data_main[Segment],$B113, Data_main[Scenario],$B$3))</f>
        <v>0</v>
      </c>
      <c r="BP113" s="531">
        <f ca="1">IF($B$6="ON", IF(BP110&gt;=covid_start, IF(BP110&lt;covid_recovery,NA(),SUMIFS(INDIRECT("Data_main"&amp;"["&amp;BP$8&amp;"]"),Data_main[Data],$A113, Data_main[Segment],$B113, Data_main[Scenario],$B$3)),SUMIFS(INDIRECT("Data_main"&amp;"["&amp;BP$8&amp;"]"),Data_main[Data],$A113, Data_main[Segment],$B113, Data_main[Scenario],$B$3)),SUMIFS(INDIRECT("Data_main"&amp;"["&amp;BP$8&amp;"]"),Data_main[Data],$A113, Data_main[Segment],$B113, Data_main[Scenario],$B$3))</f>
        <v>0</v>
      </c>
      <c r="BQ113" s="531">
        <f ca="1">IF($B$6="ON", IF(BQ110&gt;=covid_start, IF(BQ110&lt;covid_recovery,NA(),SUMIFS(INDIRECT("Data_main"&amp;"["&amp;BQ$8&amp;"]"),Data_main[Data],$A113, Data_main[Segment],$B113, Data_main[Scenario],$B$3)),SUMIFS(INDIRECT("Data_main"&amp;"["&amp;BQ$8&amp;"]"),Data_main[Data],$A113, Data_main[Segment],$B113, Data_main[Scenario],$B$3)),SUMIFS(INDIRECT("Data_main"&amp;"["&amp;BQ$8&amp;"]"),Data_main[Data],$A113, Data_main[Segment],$B113, Data_main[Scenario],$B$3))</f>
        <v>0</v>
      </c>
      <c r="BR113" s="531">
        <f ca="1">IF($B$6="ON", IF(BR110&gt;=covid_start, IF(BR110&lt;covid_recovery,NA(),SUMIFS(INDIRECT("Data_main"&amp;"["&amp;BR$8&amp;"]"),Data_main[Data],$A113, Data_main[Segment],$B113, Data_main[Scenario],$B$3)),SUMIFS(INDIRECT("Data_main"&amp;"["&amp;BR$8&amp;"]"),Data_main[Data],$A113, Data_main[Segment],$B113, Data_main[Scenario],$B$3)),SUMIFS(INDIRECT("Data_main"&amp;"["&amp;BR$8&amp;"]"),Data_main[Data],$A113, Data_main[Segment],$B113, Data_main[Scenario],$B$3))</f>
        <v>0</v>
      </c>
      <c r="BS113" s="531">
        <f ca="1">IF($B$6="ON", IF(BS110&gt;=covid_start, IF(BS110&lt;covid_recovery,NA(),SUMIFS(INDIRECT("Data_main"&amp;"["&amp;BS$8&amp;"]"),Data_main[Data],$A113, Data_main[Segment],$B113, Data_main[Scenario],$B$3)),SUMIFS(INDIRECT("Data_main"&amp;"["&amp;BS$8&amp;"]"),Data_main[Data],$A113, Data_main[Segment],$B113, Data_main[Scenario],$B$3)),SUMIFS(INDIRECT("Data_main"&amp;"["&amp;BS$8&amp;"]"),Data_main[Data],$A113, Data_main[Segment],$B113, Data_main[Scenario],$B$3))</f>
        <v>0</v>
      </c>
      <c r="BT113" s="531">
        <f ca="1">IF($B$6="ON", IF(BT110&gt;=covid_start, IF(BT110&lt;covid_recovery,NA(),SUMIFS(INDIRECT("Data_main"&amp;"["&amp;BT$8&amp;"]"),Data_main[Data],$A113, Data_main[Segment],$B113, Data_main[Scenario],$B$3)),SUMIFS(INDIRECT("Data_main"&amp;"["&amp;BT$8&amp;"]"),Data_main[Data],$A113, Data_main[Segment],$B113, Data_main[Scenario],$B$3)),SUMIFS(INDIRECT("Data_main"&amp;"["&amp;BT$8&amp;"]"),Data_main[Data],$A113, Data_main[Segment],$B113, Data_main[Scenario],$B$3))</f>
        <v>0</v>
      </c>
      <c r="BU113" s="531">
        <f ca="1">IF($B$6="ON", IF(BU110&gt;=covid_start, IF(BU110&lt;covid_recovery,NA(),SUMIFS(INDIRECT("Data_main"&amp;"["&amp;BU$8&amp;"]"),Data_main[Data],$A113, Data_main[Segment],$B113, Data_main[Scenario],$B$3)),SUMIFS(INDIRECT("Data_main"&amp;"["&amp;BU$8&amp;"]"),Data_main[Data],$A113, Data_main[Segment],$B113, Data_main[Scenario],$B$3)),SUMIFS(INDIRECT("Data_main"&amp;"["&amp;BU$8&amp;"]"),Data_main[Data],$A113, Data_main[Segment],$B113, Data_main[Scenario],$B$3))</f>
        <v>0</v>
      </c>
      <c r="BV113" s="531">
        <f ca="1">IF($B$6="ON", IF(BV110&gt;=covid_start, IF(BV110&lt;covid_recovery,NA(),SUMIFS(INDIRECT("Data_main"&amp;"["&amp;BV$8&amp;"]"),Data_main[Data],$A113, Data_main[Segment],$B113, Data_main[Scenario],$B$3)),SUMIFS(INDIRECT("Data_main"&amp;"["&amp;BV$8&amp;"]"),Data_main[Data],$A113, Data_main[Segment],$B113, Data_main[Scenario],$B$3)),SUMIFS(INDIRECT("Data_main"&amp;"["&amp;BV$8&amp;"]"),Data_main[Data],$A113, Data_main[Segment],$B113, Data_main[Scenario],$B$3))</f>
        <v>0</v>
      </c>
      <c r="BW113" s="531">
        <f ca="1">IF($B$6="ON", IF(BW110&gt;=covid_start, IF(BW110&lt;covid_recovery,NA(),SUMIFS(INDIRECT("Data_main"&amp;"["&amp;BW$8&amp;"]"),Data_main[Data],$A113, Data_main[Segment],$B113, Data_main[Scenario],$B$3)),SUMIFS(INDIRECT("Data_main"&amp;"["&amp;BW$8&amp;"]"),Data_main[Data],$A113, Data_main[Segment],$B113, Data_main[Scenario],$B$3)),SUMIFS(INDIRECT("Data_main"&amp;"["&amp;BW$8&amp;"]"),Data_main[Data],$A113, Data_main[Segment],$B113, Data_main[Scenario],$B$3))</f>
        <v>0</v>
      </c>
      <c r="BX113" s="531">
        <f ca="1">IF($B$6="ON", IF(BX110&gt;=covid_start, IF(BX110&lt;covid_recovery,NA(),SUMIFS(INDIRECT("Data_main"&amp;"["&amp;BX$8&amp;"]"),Data_main[Data],$A113, Data_main[Segment],$B113, Data_main[Scenario],$B$3)),SUMIFS(INDIRECT("Data_main"&amp;"["&amp;BX$8&amp;"]"),Data_main[Data],$A113, Data_main[Segment],$B113, Data_main[Scenario],$B$3)),SUMIFS(INDIRECT("Data_main"&amp;"["&amp;BX$8&amp;"]"),Data_main[Data],$A113, Data_main[Segment],$B113, Data_main[Scenario],$B$3))</f>
        <v>0</v>
      </c>
      <c r="BY113" s="531">
        <f ca="1">IF($B$6="ON", IF(BY110&gt;=covid_start, IF(BY110&lt;covid_recovery,NA(),SUMIFS(INDIRECT("Data_main"&amp;"["&amp;BY$8&amp;"]"),Data_main[Data],$A113, Data_main[Segment],$B113, Data_main[Scenario],$B$3)),SUMIFS(INDIRECT("Data_main"&amp;"["&amp;BY$8&amp;"]"),Data_main[Data],$A113, Data_main[Segment],$B113, Data_main[Scenario],$B$3)),SUMIFS(INDIRECT("Data_main"&amp;"["&amp;BY$8&amp;"]"),Data_main[Data],$A113, Data_main[Segment],$B113, Data_main[Scenario],$B$3))</f>
        <v>0</v>
      </c>
      <c r="BZ113" s="531">
        <f ca="1">IF($B$6="ON", IF(BZ110&gt;=covid_start, IF(BZ110&lt;covid_recovery,NA(),SUMIFS(INDIRECT("Data_main"&amp;"["&amp;BZ$8&amp;"]"),Data_main[Data],$A113, Data_main[Segment],$B113, Data_main[Scenario],$B$3)),SUMIFS(INDIRECT("Data_main"&amp;"["&amp;BZ$8&amp;"]"),Data_main[Data],$A113, Data_main[Segment],$B113, Data_main[Scenario],$B$3)),SUMIFS(INDIRECT("Data_main"&amp;"["&amp;BZ$8&amp;"]"),Data_main[Data],$A113, Data_main[Segment],$B113, Data_main[Scenario],$B$3))</f>
        <v>0</v>
      </c>
      <c r="CA113" s="531">
        <f ca="1">IF($B$6="ON", IF(CA110&gt;=covid_start, IF(CA110&lt;covid_recovery,NA(),SUMIFS(INDIRECT("Data_main"&amp;"["&amp;CA$8&amp;"]"),Data_main[Data],$A113, Data_main[Segment],$B113, Data_main[Scenario],$B$3)),SUMIFS(INDIRECT("Data_main"&amp;"["&amp;CA$8&amp;"]"),Data_main[Data],$A113, Data_main[Segment],$B113, Data_main[Scenario],$B$3)),SUMIFS(INDIRECT("Data_main"&amp;"["&amp;CA$8&amp;"]"),Data_main[Data],$A113, Data_main[Segment],$B113, Data_main[Scenario],$B$3))</f>
        <v>0</v>
      </c>
      <c r="CB113" s="531">
        <f ca="1">IF($B$6="ON", IF(CB110&gt;=covid_start, IF(CB110&lt;covid_recovery,NA(),SUMIFS(INDIRECT("Data_main"&amp;"["&amp;CB$8&amp;"]"),Data_main[Data],$A113, Data_main[Segment],$B113, Data_main[Scenario],$B$3)),SUMIFS(INDIRECT("Data_main"&amp;"["&amp;CB$8&amp;"]"),Data_main[Data],$A113, Data_main[Segment],$B113, Data_main[Scenario],$B$3)),SUMIFS(INDIRECT("Data_main"&amp;"["&amp;CB$8&amp;"]"),Data_main[Data],$A113, Data_main[Segment],$B113, Data_main[Scenario],$B$3))</f>
        <v>0</v>
      </c>
      <c r="CC113" s="531">
        <f ca="1">IF($B$6="ON", IF(CC110&gt;=covid_start, IF(CC110&lt;covid_recovery,NA(),SUMIFS(INDIRECT("Data_main"&amp;"["&amp;CC$8&amp;"]"),Data_main[Data],$A113, Data_main[Segment],$B113, Data_main[Scenario],$B$3)),SUMIFS(INDIRECT("Data_main"&amp;"["&amp;CC$8&amp;"]"),Data_main[Data],$A113, Data_main[Segment],$B113, Data_main[Scenario],$B$3)),SUMIFS(INDIRECT("Data_main"&amp;"["&amp;CC$8&amp;"]"),Data_main[Data],$A113, Data_main[Segment],$B113, Data_main[Scenario],$B$3))</f>
        <v>0</v>
      </c>
      <c r="CD113" s="531">
        <f ca="1">IF($B$6="ON", IF(CD110&gt;=covid_start, IF(CD110&lt;covid_recovery,NA(),SUMIFS(INDIRECT("Data_main"&amp;"["&amp;CD$8&amp;"]"),Data_main[Data],$A113, Data_main[Segment],$B113, Data_main[Scenario],$B$3)),SUMIFS(INDIRECT("Data_main"&amp;"["&amp;CD$8&amp;"]"),Data_main[Data],$A113, Data_main[Segment],$B113, Data_main[Scenario],$B$3)),SUMIFS(INDIRECT("Data_main"&amp;"["&amp;CD$8&amp;"]"),Data_main[Data],$A113, Data_main[Segment],$B113, Data_main[Scenario],$B$3))</f>
        <v>0</v>
      </c>
      <c r="CE113" s="531">
        <f ca="1">IF($B$6="ON", IF(CE110&gt;=covid_start, IF(CE110&lt;covid_recovery,NA(),SUMIFS(INDIRECT("Data_main"&amp;"["&amp;CE$8&amp;"]"),Data_main[Data],$A113, Data_main[Segment],$B113, Data_main[Scenario],$B$3)),SUMIFS(INDIRECT("Data_main"&amp;"["&amp;CE$8&amp;"]"),Data_main[Data],$A113, Data_main[Segment],$B113, Data_main[Scenario],$B$3)),SUMIFS(INDIRECT("Data_main"&amp;"["&amp;CE$8&amp;"]"),Data_main[Data],$A113, Data_main[Segment],$B113, Data_main[Scenario],$B$3))</f>
        <v>0</v>
      </c>
      <c r="CF113" s="531">
        <f ca="1">IF($B$6="ON", IF(CF110&gt;=covid_start, IF(CF110&lt;covid_recovery,NA(),SUMIFS(INDIRECT("Data_main"&amp;"["&amp;CF$8&amp;"]"),Data_main[Data],$A113, Data_main[Segment],$B113, Data_main[Scenario],$B$3)),SUMIFS(INDIRECT("Data_main"&amp;"["&amp;CF$8&amp;"]"),Data_main[Data],$A113, Data_main[Segment],$B113, Data_main[Scenario],$B$3)),SUMIFS(INDIRECT("Data_main"&amp;"["&amp;CF$8&amp;"]"),Data_main[Data],$A113, Data_main[Segment],$B113, Data_main[Scenario],$B$3))</f>
        <v>0</v>
      </c>
      <c r="CG113" s="531">
        <f ca="1">IF($B$6="ON", IF(CG110&gt;=covid_start, IF(CG110&lt;covid_recovery,NA(),SUMIFS(INDIRECT("Data_main"&amp;"["&amp;CG$8&amp;"]"),Data_main[Data],$A113, Data_main[Segment],$B113, Data_main[Scenario],$B$3)),SUMIFS(INDIRECT("Data_main"&amp;"["&amp;CG$8&amp;"]"),Data_main[Data],$A113, Data_main[Segment],$B113, Data_main[Scenario],$B$3)),SUMIFS(INDIRECT("Data_main"&amp;"["&amp;CG$8&amp;"]"),Data_main[Data],$A113, Data_main[Segment],$B113, Data_main[Scenario],$B$3))</f>
        <v>0</v>
      </c>
      <c r="CH113" s="531">
        <f ca="1">IF($B$6="ON", IF(CH110&gt;=covid_start, IF(CH110&lt;covid_recovery,NA(),SUMIFS(INDIRECT("Data_main"&amp;"["&amp;CH$8&amp;"]"),Data_main[Data],$A113, Data_main[Segment],$B113, Data_main[Scenario],$B$3)),SUMIFS(INDIRECT("Data_main"&amp;"["&amp;CH$8&amp;"]"),Data_main[Data],$A113, Data_main[Segment],$B113, Data_main[Scenario],$B$3)),SUMIFS(INDIRECT("Data_main"&amp;"["&amp;CH$8&amp;"]"),Data_main[Data],$A113, Data_main[Segment],$B113, Data_main[Scenario],$B$3))</f>
        <v>0</v>
      </c>
      <c r="CI113" s="531">
        <f ca="1">IF($B$6="ON", IF(CI110&gt;=covid_start, IF(CI110&lt;covid_recovery,NA(),SUMIFS(INDIRECT("Data_main"&amp;"["&amp;CI$8&amp;"]"),Data_main[Data],$A113, Data_main[Segment],$B113, Data_main[Scenario],$B$3)),SUMIFS(INDIRECT("Data_main"&amp;"["&amp;CI$8&amp;"]"),Data_main[Data],$A113, Data_main[Segment],$B113, Data_main[Scenario],$B$3)),SUMIFS(INDIRECT("Data_main"&amp;"["&amp;CI$8&amp;"]"),Data_main[Data],$A113, Data_main[Segment],$B113, Data_main[Scenario],$B$3))</f>
        <v>0</v>
      </c>
      <c r="CJ113" s="531">
        <f ca="1">IF($B$6="ON", IF(CJ110&gt;=covid_start, IF(CJ110&lt;covid_recovery,NA(),SUMIFS(INDIRECT("Data_main"&amp;"["&amp;CJ$8&amp;"]"),Data_main[Data],$A113, Data_main[Segment],$B113, Data_main[Scenario],$B$3)),SUMIFS(INDIRECT("Data_main"&amp;"["&amp;CJ$8&amp;"]"),Data_main[Data],$A113, Data_main[Segment],$B113, Data_main[Scenario],$B$3)),SUMIFS(INDIRECT("Data_main"&amp;"["&amp;CJ$8&amp;"]"),Data_main[Data],$A113, Data_main[Segment],$B113, Data_main[Scenario],$B$3))</f>
        <v>0</v>
      </c>
      <c r="CK113" s="531">
        <f ca="1">IF($B$6="ON", IF(CK110&gt;=covid_start, IF(CK110&lt;covid_recovery,NA(),SUMIFS(INDIRECT("Data_main"&amp;"["&amp;CK$8&amp;"]"),Data_main[Data],$A113, Data_main[Segment],$B113, Data_main[Scenario],$B$3)),SUMIFS(INDIRECT("Data_main"&amp;"["&amp;CK$8&amp;"]"),Data_main[Data],$A113, Data_main[Segment],$B113, Data_main[Scenario],$B$3)),SUMIFS(INDIRECT("Data_main"&amp;"["&amp;CK$8&amp;"]"),Data_main[Data],$A113, Data_main[Segment],$B113, Data_main[Scenario],$B$3))</f>
        <v>0</v>
      </c>
      <c r="CL113" s="531">
        <f ca="1">IF($B$6="ON", IF(CL110&gt;=covid_start, IF(CL110&lt;covid_recovery,NA(),SUMIFS(INDIRECT("Data_main"&amp;"["&amp;CL$8&amp;"]"),Data_main[Data],$A113, Data_main[Segment],$B113, Data_main[Scenario],$B$3)),SUMIFS(INDIRECT("Data_main"&amp;"["&amp;CL$8&amp;"]"),Data_main[Data],$A113, Data_main[Segment],$B113, Data_main[Scenario],$B$3)),SUMIFS(INDIRECT("Data_main"&amp;"["&amp;CL$8&amp;"]"),Data_main[Data],$A113, Data_main[Segment],$B113, Data_main[Scenario],$B$3))</f>
        <v>0</v>
      </c>
      <c r="CN113" s="613" t="str">
        <f ca="1">IFERROR((Y113/H113)^(1/17)-1,"")</f>
        <v/>
      </c>
      <c r="CO113" s="613" t="str">
        <f ca="1">IFERROR((AN113/Y113)^(1/15)-1,"")</f>
        <v/>
      </c>
      <c r="CP113" s="613" t="str">
        <f ca="1">IFERROR((AN113/H113)^(1/32)-1,"")</f>
        <v/>
      </c>
    </row>
    <row r="114" spans="1:94" outlineLevel="1">
      <c r="A114" s="614"/>
      <c r="B114" s="614" t="s">
        <v>26</v>
      </c>
      <c r="C114" s="614" t="s">
        <v>356</v>
      </c>
      <c r="D114" s="614" t="s">
        <v>357</v>
      </c>
      <c r="E114" s="616" t="e">
        <f t="shared" ref="E114:BP114" ca="1" si="331">(E113-INDEX($E110:$CL113,4,MATCH($B$5,$E110:$CL110,0)))/(INDEX($E110:$CL113,4,MATCH($B$4,$E110:$CL110,0))-INDEX($E110:$CL113,4,MATCH($B$5,$E110:$CL110,0)))</f>
        <v>#DIV/0!</v>
      </c>
      <c r="F114" s="617" t="e">
        <f t="shared" ca="1" si="331"/>
        <v>#DIV/0!</v>
      </c>
      <c r="G114" s="617" t="e">
        <f t="shared" ca="1" si="331"/>
        <v>#DIV/0!</v>
      </c>
      <c r="H114" s="617" t="e">
        <f t="shared" ca="1" si="331"/>
        <v>#DIV/0!</v>
      </c>
      <c r="I114" s="617" t="e">
        <f t="shared" ca="1" si="331"/>
        <v>#DIV/0!</v>
      </c>
      <c r="J114" s="617" t="e">
        <f t="shared" ca="1" si="331"/>
        <v>#N/A</v>
      </c>
      <c r="K114" s="617" t="e">
        <f t="shared" ca="1" si="331"/>
        <v>#N/A</v>
      </c>
      <c r="L114" s="617" t="e">
        <f t="shared" ca="1" si="331"/>
        <v>#N/A</v>
      </c>
      <c r="M114" s="617" t="e">
        <f t="shared" ca="1" si="331"/>
        <v>#DIV/0!</v>
      </c>
      <c r="N114" s="617" t="e">
        <f t="shared" ca="1" si="331"/>
        <v>#DIV/0!</v>
      </c>
      <c r="O114" s="617" t="e">
        <f t="shared" ca="1" si="331"/>
        <v>#DIV/0!</v>
      </c>
      <c r="P114" s="617" t="e">
        <f t="shared" ca="1" si="331"/>
        <v>#DIV/0!</v>
      </c>
      <c r="Q114" s="617" t="e">
        <f t="shared" ca="1" si="331"/>
        <v>#DIV/0!</v>
      </c>
      <c r="R114" s="617" t="e">
        <f t="shared" ca="1" si="331"/>
        <v>#DIV/0!</v>
      </c>
      <c r="S114" s="617" t="e">
        <f t="shared" ca="1" si="331"/>
        <v>#DIV/0!</v>
      </c>
      <c r="T114" s="617" t="e">
        <f t="shared" ca="1" si="331"/>
        <v>#DIV/0!</v>
      </c>
      <c r="U114" s="617" t="e">
        <f t="shared" ca="1" si="331"/>
        <v>#DIV/0!</v>
      </c>
      <c r="V114" s="617" t="e">
        <f t="shared" ca="1" si="331"/>
        <v>#DIV/0!</v>
      </c>
      <c r="W114" s="617" t="e">
        <f t="shared" ca="1" si="331"/>
        <v>#DIV/0!</v>
      </c>
      <c r="X114" s="617" t="e">
        <f t="shared" ca="1" si="331"/>
        <v>#DIV/0!</v>
      </c>
      <c r="Y114" s="617" t="e">
        <f t="shared" ca="1" si="331"/>
        <v>#DIV/0!</v>
      </c>
      <c r="Z114" s="617" t="e">
        <f t="shared" ca="1" si="331"/>
        <v>#DIV/0!</v>
      </c>
      <c r="AA114" s="617" t="e">
        <f t="shared" ca="1" si="331"/>
        <v>#DIV/0!</v>
      </c>
      <c r="AB114" s="617" t="e">
        <f t="shared" ca="1" si="331"/>
        <v>#DIV/0!</v>
      </c>
      <c r="AC114" s="617" t="e">
        <f t="shared" ca="1" si="331"/>
        <v>#DIV/0!</v>
      </c>
      <c r="AD114" s="617" t="e">
        <f t="shared" ca="1" si="331"/>
        <v>#DIV/0!</v>
      </c>
      <c r="AE114" s="617" t="e">
        <f t="shared" ca="1" si="331"/>
        <v>#DIV/0!</v>
      </c>
      <c r="AF114" s="617" t="e">
        <f t="shared" ca="1" si="331"/>
        <v>#DIV/0!</v>
      </c>
      <c r="AG114" s="617" t="e">
        <f t="shared" ca="1" si="331"/>
        <v>#DIV/0!</v>
      </c>
      <c r="AH114" s="617" t="e">
        <f t="shared" ca="1" si="331"/>
        <v>#DIV/0!</v>
      </c>
      <c r="AI114" s="617" t="e">
        <f t="shared" ca="1" si="331"/>
        <v>#DIV/0!</v>
      </c>
      <c r="AJ114" s="617" t="e">
        <f t="shared" ca="1" si="331"/>
        <v>#DIV/0!</v>
      </c>
      <c r="AK114" s="617" t="e">
        <f t="shared" ca="1" si="331"/>
        <v>#DIV/0!</v>
      </c>
      <c r="AL114" s="617" t="e">
        <f t="shared" ca="1" si="331"/>
        <v>#DIV/0!</v>
      </c>
      <c r="AM114" s="617" t="e">
        <f t="shared" ca="1" si="331"/>
        <v>#DIV/0!</v>
      </c>
      <c r="AN114" s="617" t="e">
        <f t="shared" ca="1" si="331"/>
        <v>#DIV/0!</v>
      </c>
      <c r="AO114" s="617" t="e">
        <f t="shared" ca="1" si="331"/>
        <v>#DIV/0!</v>
      </c>
      <c r="AP114" s="617" t="e">
        <f t="shared" ca="1" si="331"/>
        <v>#DIV/0!</v>
      </c>
      <c r="AQ114" s="617" t="e">
        <f t="shared" ca="1" si="331"/>
        <v>#DIV/0!</v>
      </c>
      <c r="AR114" s="617" t="e">
        <f t="shared" ca="1" si="331"/>
        <v>#DIV/0!</v>
      </c>
      <c r="AS114" s="617" t="e">
        <f t="shared" ca="1" si="331"/>
        <v>#DIV/0!</v>
      </c>
      <c r="AT114" s="617" t="e">
        <f t="shared" ca="1" si="331"/>
        <v>#DIV/0!</v>
      </c>
      <c r="AU114" s="617" t="e">
        <f t="shared" ca="1" si="331"/>
        <v>#DIV/0!</v>
      </c>
      <c r="AV114" s="617" t="e">
        <f t="shared" ca="1" si="331"/>
        <v>#DIV/0!</v>
      </c>
      <c r="AW114" s="617" t="e">
        <f t="shared" ca="1" si="331"/>
        <v>#DIV/0!</v>
      </c>
      <c r="AX114" s="617" t="e">
        <f t="shared" ca="1" si="331"/>
        <v>#DIV/0!</v>
      </c>
      <c r="AY114" s="617" t="e">
        <f t="shared" ca="1" si="331"/>
        <v>#DIV/0!</v>
      </c>
      <c r="AZ114" s="617" t="e">
        <f t="shared" ca="1" si="331"/>
        <v>#DIV/0!</v>
      </c>
      <c r="BA114" s="617" t="e">
        <f t="shared" ca="1" si="331"/>
        <v>#DIV/0!</v>
      </c>
      <c r="BB114" s="617" t="e">
        <f t="shared" ca="1" si="331"/>
        <v>#DIV/0!</v>
      </c>
      <c r="BC114" s="617" t="e">
        <f t="shared" ca="1" si="331"/>
        <v>#DIV/0!</v>
      </c>
      <c r="BD114" s="617" t="e">
        <f t="shared" ca="1" si="331"/>
        <v>#DIV/0!</v>
      </c>
      <c r="BE114" s="617" t="e">
        <f t="shared" ca="1" si="331"/>
        <v>#DIV/0!</v>
      </c>
      <c r="BF114" s="617" t="e">
        <f t="shared" ca="1" si="331"/>
        <v>#DIV/0!</v>
      </c>
      <c r="BG114" s="617" t="e">
        <f t="shared" ca="1" si="331"/>
        <v>#DIV/0!</v>
      </c>
      <c r="BH114" s="617" t="e">
        <f t="shared" ca="1" si="331"/>
        <v>#DIV/0!</v>
      </c>
      <c r="BI114" s="617" t="e">
        <f t="shared" ca="1" si="331"/>
        <v>#DIV/0!</v>
      </c>
      <c r="BJ114" s="617" t="e">
        <f t="shared" ca="1" si="331"/>
        <v>#DIV/0!</v>
      </c>
      <c r="BK114" s="617" t="e">
        <f t="shared" ca="1" si="331"/>
        <v>#DIV/0!</v>
      </c>
      <c r="BL114" s="617" t="e">
        <f t="shared" ca="1" si="331"/>
        <v>#DIV/0!</v>
      </c>
      <c r="BM114" s="617" t="e">
        <f t="shared" ca="1" si="331"/>
        <v>#DIV/0!</v>
      </c>
      <c r="BN114" s="617" t="e">
        <f t="shared" ca="1" si="331"/>
        <v>#DIV/0!</v>
      </c>
      <c r="BO114" s="617" t="e">
        <f t="shared" ca="1" si="331"/>
        <v>#DIV/0!</v>
      </c>
      <c r="BP114" s="617" t="e">
        <f t="shared" ca="1" si="331"/>
        <v>#DIV/0!</v>
      </c>
      <c r="BQ114" s="617" t="e">
        <f t="shared" ref="BQ114:CL114" ca="1" si="332">(BQ113-INDEX($E110:$CL113,4,MATCH($B$5,$E110:$CL110,0)))/(INDEX($E110:$CL113,4,MATCH($B$4,$E110:$CL110,0))-INDEX($E110:$CL113,4,MATCH($B$5,$E110:$CL110,0)))</f>
        <v>#DIV/0!</v>
      </c>
      <c r="BR114" s="617" t="e">
        <f t="shared" ca="1" si="332"/>
        <v>#DIV/0!</v>
      </c>
      <c r="BS114" s="617" t="e">
        <f t="shared" ca="1" si="332"/>
        <v>#DIV/0!</v>
      </c>
      <c r="BT114" s="617" t="e">
        <f t="shared" ca="1" si="332"/>
        <v>#DIV/0!</v>
      </c>
      <c r="BU114" s="617" t="e">
        <f t="shared" ca="1" si="332"/>
        <v>#DIV/0!</v>
      </c>
      <c r="BV114" s="617" t="e">
        <f t="shared" ca="1" si="332"/>
        <v>#DIV/0!</v>
      </c>
      <c r="BW114" s="617" t="e">
        <f t="shared" ca="1" si="332"/>
        <v>#DIV/0!</v>
      </c>
      <c r="BX114" s="617" t="e">
        <f t="shared" ca="1" si="332"/>
        <v>#DIV/0!</v>
      </c>
      <c r="BY114" s="617" t="e">
        <f t="shared" ca="1" si="332"/>
        <v>#DIV/0!</v>
      </c>
      <c r="BZ114" s="617" t="e">
        <f t="shared" ca="1" si="332"/>
        <v>#DIV/0!</v>
      </c>
      <c r="CA114" s="617" t="e">
        <f t="shared" ca="1" si="332"/>
        <v>#DIV/0!</v>
      </c>
      <c r="CB114" s="617" t="e">
        <f t="shared" ca="1" si="332"/>
        <v>#DIV/0!</v>
      </c>
      <c r="CC114" s="617" t="e">
        <f t="shared" ca="1" si="332"/>
        <v>#DIV/0!</v>
      </c>
      <c r="CD114" s="617" t="e">
        <f t="shared" ca="1" si="332"/>
        <v>#DIV/0!</v>
      </c>
      <c r="CE114" s="617" t="e">
        <f t="shared" ca="1" si="332"/>
        <v>#DIV/0!</v>
      </c>
      <c r="CF114" s="617" t="e">
        <f t="shared" ca="1" si="332"/>
        <v>#DIV/0!</v>
      </c>
      <c r="CG114" s="617" t="e">
        <f t="shared" ca="1" si="332"/>
        <v>#DIV/0!</v>
      </c>
      <c r="CH114" s="617" t="e">
        <f t="shared" ca="1" si="332"/>
        <v>#DIV/0!</v>
      </c>
      <c r="CI114" s="617" t="e">
        <f t="shared" ca="1" si="332"/>
        <v>#DIV/0!</v>
      </c>
      <c r="CJ114" s="617" t="e">
        <f t="shared" ca="1" si="332"/>
        <v>#DIV/0!</v>
      </c>
      <c r="CK114" s="617" t="e">
        <f t="shared" ca="1" si="332"/>
        <v>#DIV/0!</v>
      </c>
      <c r="CL114" s="617" t="e">
        <f t="shared" ca="1" si="332"/>
        <v>#DIV/0!</v>
      </c>
      <c r="CN114" s="618"/>
      <c r="CO114" s="618"/>
      <c r="CP114" s="618"/>
    </row>
    <row r="115" spans="1:94" outlineLevel="1">
      <c r="A115" s="550"/>
      <c r="B115" s="550" t="s">
        <v>28</v>
      </c>
      <c r="C115" s="550" t="s">
        <v>358</v>
      </c>
      <c r="D115" s="550" t="s">
        <v>359</v>
      </c>
      <c r="E115" s="551">
        <f t="shared" ref="E115:BP115" ca="1" si="333">INDEX($E110:$CL113,4,MATCH($B$5,$E110:$CL110,0))</f>
        <v>0</v>
      </c>
      <c r="F115" s="552">
        <f t="shared" ca="1" si="333"/>
        <v>0</v>
      </c>
      <c r="G115" s="552">
        <f t="shared" ca="1" si="333"/>
        <v>0</v>
      </c>
      <c r="H115" s="552">
        <f t="shared" ca="1" si="333"/>
        <v>0</v>
      </c>
      <c r="I115" s="552">
        <f t="shared" ca="1" si="333"/>
        <v>0</v>
      </c>
      <c r="J115" s="552">
        <f t="shared" ca="1" si="333"/>
        <v>0</v>
      </c>
      <c r="K115" s="552">
        <f t="shared" ca="1" si="333"/>
        <v>0</v>
      </c>
      <c r="L115" s="552">
        <f t="shared" ca="1" si="333"/>
        <v>0</v>
      </c>
      <c r="M115" s="552">
        <f t="shared" ca="1" si="333"/>
        <v>0</v>
      </c>
      <c r="N115" s="552">
        <f t="shared" ca="1" si="333"/>
        <v>0</v>
      </c>
      <c r="O115" s="552">
        <f t="shared" ca="1" si="333"/>
        <v>0</v>
      </c>
      <c r="P115" s="552">
        <f t="shared" ca="1" si="333"/>
        <v>0</v>
      </c>
      <c r="Q115" s="552">
        <f t="shared" ca="1" si="333"/>
        <v>0</v>
      </c>
      <c r="R115" s="552">
        <f t="shared" ca="1" si="333"/>
        <v>0</v>
      </c>
      <c r="S115" s="552">
        <f t="shared" ca="1" si="333"/>
        <v>0</v>
      </c>
      <c r="T115" s="552">
        <f t="shared" ca="1" si="333"/>
        <v>0</v>
      </c>
      <c r="U115" s="552">
        <f t="shared" ca="1" si="333"/>
        <v>0</v>
      </c>
      <c r="V115" s="552">
        <f t="shared" ca="1" si="333"/>
        <v>0</v>
      </c>
      <c r="W115" s="552">
        <f t="shared" ca="1" si="333"/>
        <v>0</v>
      </c>
      <c r="X115" s="552">
        <f t="shared" ca="1" si="333"/>
        <v>0</v>
      </c>
      <c r="Y115" s="552">
        <f t="shared" ca="1" si="333"/>
        <v>0</v>
      </c>
      <c r="Z115" s="552">
        <f t="shared" ca="1" si="333"/>
        <v>0</v>
      </c>
      <c r="AA115" s="552">
        <f t="shared" ca="1" si="333"/>
        <v>0</v>
      </c>
      <c r="AB115" s="552">
        <f t="shared" ca="1" si="333"/>
        <v>0</v>
      </c>
      <c r="AC115" s="552">
        <f t="shared" ca="1" si="333"/>
        <v>0</v>
      </c>
      <c r="AD115" s="552">
        <f t="shared" ca="1" si="333"/>
        <v>0</v>
      </c>
      <c r="AE115" s="552">
        <f t="shared" ca="1" si="333"/>
        <v>0</v>
      </c>
      <c r="AF115" s="552">
        <f t="shared" ca="1" si="333"/>
        <v>0</v>
      </c>
      <c r="AG115" s="552">
        <f t="shared" ca="1" si="333"/>
        <v>0</v>
      </c>
      <c r="AH115" s="552">
        <f t="shared" ca="1" si="333"/>
        <v>0</v>
      </c>
      <c r="AI115" s="552">
        <f t="shared" ca="1" si="333"/>
        <v>0</v>
      </c>
      <c r="AJ115" s="552">
        <f t="shared" ca="1" si="333"/>
        <v>0</v>
      </c>
      <c r="AK115" s="552">
        <f t="shared" ca="1" si="333"/>
        <v>0</v>
      </c>
      <c r="AL115" s="552">
        <f t="shared" ca="1" si="333"/>
        <v>0</v>
      </c>
      <c r="AM115" s="552">
        <f t="shared" ca="1" si="333"/>
        <v>0</v>
      </c>
      <c r="AN115" s="552">
        <f t="shared" ca="1" si="333"/>
        <v>0</v>
      </c>
      <c r="AO115" s="552">
        <f t="shared" ca="1" si="333"/>
        <v>0</v>
      </c>
      <c r="AP115" s="552">
        <f t="shared" ca="1" si="333"/>
        <v>0</v>
      </c>
      <c r="AQ115" s="552">
        <f t="shared" ca="1" si="333"/>
        <v>0</v>
      </c>
      <c r="AR115" s="552">
        <f t="shared" ca="1" si="333"/>
        <v>0</v>
      </c>
      <c r="AS115" s="552">
        <f t="shared" ca="1" si="333"/>
        <v>0</v>
      </c>
      <c r="AT115" s="552">
        <f t="shared" ca="1" si="333"/>
        <v>0</v>
      </c>
      <c r="AU115" s="552">
        <f t="shared" ca="1" si="333"/>
        <v>0</v>
      </c>
      <c r="AV115" s="552">
        <f t="shared" ca="1" si="333"/>
        <v>0</v>
      </c>
      <c r="AW115" s="552">
        <f t="shared" ca="1" si="333"/>
        <v>0</v>
      </c>
      <c r="AX115" s="552">
        <f t="shared" ca="1" si="333"/>
        <v>0</v>
      </c>
      <c r="AY115" s="552">
        <f t="shared" ca="1" si="333"/>
        <v>0</v>
      </c>
      <c r="AZ115" s="552">
        <f t="shared" ca="1" si="333"/>
        <v>0</v>
      </c>
      <c r="BA115" s="552">
        <f t="shared" ca="1" si="333"/>
        <v>0</v>
      </c>
      <c r="BB115" s="552">
        <f t="shared" ca="1" si="333"/>
        <v>0</v>
      </c>
      <c r="BC115" s="552">
        <f t="shared" ca="1" si="333"/>
        <v>0</v>
      </c>
      <c r="BD115" s="552">
        <f t="shared" ca="1" si="333"/>
        <v>0</v>
      </c>
      <c r="BE115" s="552">
        <f t="shared" ca="1" si="333"/>
        <v>0</v>
      </c>
      <c r="BF115" s="552">
        <f t="shared" ca="1" si="333"/>
        <v>0</v>
      </c>
      <c r="BG115" s="552">
        <f t="shared" ca="1" si="333"/>
        <v>0</v>
      </c>
      <c r="BH115" s="552">
        <f t="shared" ca="1" si="333"/>
        <v>0</v>
      </c>
      <c r="BI115" s="552">
        <f t="shared" ca="1" si="333"/>
        <v>0</v>
      </c>
      <c r="BJ115" s="552">
        <f t="shared" ca="1" si="333"/>
        <v>0</v>
      </c>
      <c r="BK115" s="552">
        <f t="shared" ca="1" si="333"/>
        <v>0</v>
      </c>
      <c r="BL115" s="552">
        <f t="shared" ca="1" si="333"/>
        <v>0</v>
      </c>
      <c r="BM115" s="552">
        <f t="shared" ca="1" si="333"/>
        <v>0</v>
      </c>
      <c r="BN115" s="552">
        <f t="shared" ca="1" si="333"/>
        <v>0</v>
      </c>
      <c r="BO115" s="552">
        <f t="shared" ca="1" si="333"/>
        <v>0</v>
      </c>
      <c r="BP115" s="552">
        <f t="shared" ca="1" si="333"/>
        <v>0</v>
      </c>
      <c r="BQ115" s="552">
        <f t="shared" ref="BQ115:CL115" ca="1" si="334">INDEX($E110:$CL113,4,MATCH($B$5,$E110:$CL110,0))</f>
        <v>0</v>
      </c>
      <c r="BR115" s="552">
        <f t="shared" ca="1" si="334"/>
        <v>0</v>
      </c>
      <c r="BS115" s="552">
        <f t="shared" ca="1" si="334"/>
        <v>0</v>
      </c>
      <c r="BT115" s="552">
        <f t="shared" ca="1" si="334"/>
        <v>0</v>
      </c>
      <c r="BU115" s="552">
        <f t="shared" ca="1" si="334"/>
        <v>0</v>
      </c>
      <c r="BV115" s="552">
        <f t="shared" ca="1" si="334"/>
        <v>0</v>
      </c>
      <c r="BW115" s="552">
        <f t="shared" ca="1" si="334"/>
        <v>0</v>
      </c>
      <c r="BX115" s="552">
        <f t="shared" ca="1" si="334"/>
        <v>0</v>
      </c>
      <c r="BY115" s="552">
        <f t="shared" ca="1" si="334"/>
        <v>0</v>
      </c>
      <c r="BZ115" s="552">
        <f t="shared" ca="1" si="334"/>
        <v>0</v>
      </c>
      <c r="CA115" s="552">
        <f t="shared" ca="1" si="334"/>
        <v>0</v>
      </c>
      <c r="CB115" s="552">
        <f t="shared" ca="1" si="334"/>
        <v>0</v>
      </c>
      <c r="CC115" s="552">
        <f t="shared" ca="1" si="334"/>
        <v>0</v>
      </c>
      <c r="CD115" s="552">
        <f t="shared" ca="1" si="334"/>
        <v>0</v>
      </c>
      <c r="CE115" s="552">
        <f t="shared" ca="1" si="334"/>
        <v>0</v>
      </c>
      <c r="CF115" s="552">
        <f t="shared" ca="1" si="334"/>
        <v>0</v>
      </c>
      <c r="CG115" s="552">
        <f t="shared" ca="1" si="334"/>
        <v>0</v>
      </c>
      <c r="CH115" s="552">
        <f t="shared" ca="1" si="334"/>
        <v>0</v>
      </c>
      <c r="CI115" s="552">
        <f t="shared" ca="1" si="334"/>
        <v>0</v>
      </c>
      <c r="CJ115" s="552">
        <f t="shared" ca="1" si="334"/>
        <v>0</v>
      </c>
      <c r="CK115" s="552">
        <f t="shared" ca="1" si="334"/>
        <v>0</v>
      </c>
      <c r="CL115" s="552">
        <f t="shared" ca="1" si="334"/>
        <v>0</v>
      </c>
      <c r="CN115" s="618"/>
      <c r="CO115" s="618"/>
      <c r="CP115" s="618"/>
    </row>
    <row r="116" spans="1:94" outlineLevel="1">
      <c r="A116" s="535" t="s">
        <v>255</v>
      </c>
      <c r="B116" s="535" t="s">
        <v>260</v>
      </c>
      <c r="C116" s="535" t="s">
        <v>360</v>
      </c>
      <c r="D116" s="535"/>
      <c r="E116" s="541" t="str">
        <f t="shared" ref="E116:BP116" si="335">IF(E110=base,bte,"")</f>
        <v/>
      </c>
      <c r="F116" s="541" t="str">
        <f t="shared" si="335"/>
        <v/>
      </c>
      <c r="G116" s="541" t="str">
        <f t="shared" si="335"/>
        <v/>
      </c>
      <c r="H116" s="541" t="str">
        <f t="shared" si="335"/>
        <v/>
      </c>
      <c r="I116" s="585" t="e">
        <f t="shared" si="335"/>
        <v>#REF!</v>
      </c>
      <c r="J116" s="541" t="str">
        <f t="shared" si="335"/>
        <v/>
      </c>
      <c r="K116" s="541" t="str">
        <f t="shared" si="335"/>
        <v/>
      </c>
      <c r="L116" s="541" t="str">
        <f t="shared" si="335"/>
        <v/>
      </c>
      <c r="M116" s="541" t="str">
        <f t="shared" si="335"/>
        <v/>
      </c>
      <c r="N116" s="541" t="str">
        <f t="shared" si="335"/>
        <v/>
      </c>
      <c r="O116" s="541" t="str">
        <f t="shared" si="335"/>
        <v/>
      </c>
      <c r="P116" s="541" t="str">
        <f t="shared" si="335"/>
        <v/>
      </c>
      <c r="Q116" s="541" t="str">
        <f t="shared" si="335"/>
        <v/>
      </c>
      <c r="R116" s="541" t="str">
        <f t="shared" si="335"/>
        <v/>
      </c>
      <c r="S116" s="541" t="str">
        <f t="shared" si="335"/>
        <v/>
      </c>
      <c r="T116" s="541" t="str">
        <f t="shared" si="335"/>
        <v/>
      </c>
      <c r="U116" s="541" t="str">
        <f t="shared" si="335"/>
        <v/>
      </c>
      <c r="V116" s="541" t="str">
        <f t="shared" si="335"/>
        <v/>
      </c>
      <c r="W116" s="541" t="str">
        <f t="shared" si="335"/>
        <v/>
      </c>
      <c r="X116" s="541" t="str">
        <f t="shared" si="335"/>
        <v/>
      </c>
      <c r="Y116" s="541" t="str">
        <f t="shared" si="335"/>
        <v/>
      </c>
      <c r="Z116" s="541" t="str">
        <f t="shared" si="335"/>
        <v/>
      </c>
      <c r="AA116" s="541" t="str">
        <f t="shared" si="335"/>
        <v/>
      </c>
      <c r="AB116" s="541" t="str">
        <f t="shared" si="335"/>
        <v/>
      </c>
      <c r="AC116" s="541" t="str">
        <f t="shared" si="335"/>
        <v/>
      </c>
      <c r="AD116" s="541" t="str">
        <f t="shared" si="335"/>
        <v/>
      </c>
      <c r="AE116" s="541" t="str">
        <f t="shared" si="335"/>
        <v/>
      </c>
      <c r="AF116" s="541" t="str">
        <f t="shared" si="335"/>
        <v/>
      </c>
      <c r="AG116" s="541" t="str">
        <f t="shared" si="335"/>
        <v/>
      </c>
      <c r="AH116" s="541" t="str">
        <f t="shared" si="335"/>
        <v/>
      </c>
      <c r="AI116" s="541" t="str">
        <f t="shared" si="335"/>
        <v/>
      </c>
      <c r="AJ116" s="541" t="str">
        <f t="shared" si="335"/>
        <v/>
      </c>
      <c r="AK116" s="541" t="str">
        <f t="shared" si="335"/>
        <v/>
      </c>
      <c r="AL116" s="541" t="str">
        <f t="shared" si="335"/>
        <v/>
      </c>
      <c r="AM116" s="541" t="str">
        <f t="shared" si="335"/>
        <v/>
      </c>
      <c r="AN116" s="541" t="str">
        <f t="shared" si="335"/>
        <v/>
      </c>
      <c r="AO116" s="541" t="str">
        <f t="shared" si="335"/>
        <v/>
      </c>
      <c r="AP116" s="541" t="str">
        <f t="shared" si="335"/>
        <v/>
      </c>
      <c r="AQ116" s="541" t="str">
        <f t="shared" si="335"/>
        <v/>
      </c>
      <c r="AR116" s="541" t="str">
        <f t="shared" si="335"/>
        <v/>
      </c>
      <c r="AS116" s="541" t="str">
        <f t="shared" si="335"/>
        <v/>
      </c>
      <c r="AT116" s="541" t="str">
        <f t="shared" si="335"/>
        <v/>
      </c>
      <c r="AU116" s="541" t="str">
        <f t="shared" si="335"/>
        <v/>
      </c>
      <c r="AV116" s="541" t="str">
        <f t="shared" si="335"/>
        <v/>
      </c>
      <c r="AW116" s="541" t="str">
        <f t="shared" si="335"/>
        <v/>
      </c>
      <c r="AX116" s="541" t="str">
        <f t="shared" si="335"/>
        <v/>
      </c>
      <c r="AY116" s="541" t="str">
        <f t="shared" si="335"/>
        <v/>
      </c>
      <c r="AZ116" s="541" t="str">
        <f t="shared" si="335"/>
        <v/>
      </c>
      <c r="BA116" s="541" t="str">
        <f t="shared" si="335"/>
        <v/>
      </c>
      <c r="BB116" s="541" t="str">
        <f t="shared" si="335"/>
        <v/>
      </c>
      <c r="BC116" s="541" t="str">
        <f t="shared" si="335"/>
        <v/>
      </c>
      <c r="BD116" s="541" t="str">
        <f t="shared" si="335"/>
        <v/>
      </c>
      <c r="BE116" s="541" t="str">
        <f t="shared" si="335"/>
        <v/>
      </c>
      <c r="BF116" s="541" t="str">
        <f t="shared" si="335"/>
        <v/>
      </c>
      <c r="BG116" s="541" t="str">
        <f t="shared" si="335"/>
        <v/>
      </c>
      <c r="BH116" s="541" t="str">
        <f t="shared" si="335"/>
        <v/>
      </c>
      <c r="BI116" s="541" t="str">
        <f t="shared" si="335"/>
        <v/>
      </c>
      <c r="BJ116" s="541" t="str">
        <f t="shared" si="335"/>
        <v/>
      </c>
      <c r="BK116" s="541" t="str">
        <f t="shared" si="335"/>
        <v/>
      </c>
      <c r="BL116" s="541" t="str">
        <f t="shared" si="335"/>
        <v/>
      </c>
      <c r="BM116" s="541" t="str">
        <f t="shared" si="335"/>
        <v/>
      </c>
      <c r="BN116" s="541" t="str">
        <f t="shared" si="335"/>
        <v/>
      </c>
      <c r="BO116" s="541" t="str">
        <f t="shared" si="335"/>
        <v/>
      </c>
      <c r="BP116" s="541" t="str">
        <f t="shared" si="335"/>
        <v/>
      </c>
      <c r="BQ116" s="541" t="str">
        <f t="shared" ref="BQ116:CL116" si="336">IF(BQ110=base,bte,"")</f>
        <v/>
      </c>
      <c r="BR116" s="541" t="str">
        <f t="shared" si="336"/>
        <v/>
      </c>
      <c r="BS116" s="541" t="str">
        <f t="shared" si="336"/>
        <v/>
      </c>
      <c r="BT116" s="541" t="str">
        <f t="shared" si="336"/>
        <v/>
      </c>
      <c r="BU116" s="541" t="str">
        <f t="shared" si="336"/>
        <v/>
      </c>
      <c r="BV116" s="541" t="str">
        <f t="shared" si="336"/>
        <v/>
      </c>
      <c r="BW116" s="541" t="str">
        <f t="shared" si="336"/>
        <v/>
      </c>
      <c r="BX116" s="541" t="str">
        <f t="shared" si="336"/>
        <v/>
      </c>
      <c r="BY116" s="541" t="str">
        <f t="shared" si="336"/>
        <v/>
      </c>
      <c r="BZ116" s="541" t="str">
        <f t="shared" si="336"/>
        <v/>
      </c>
      <c r="CA116" s="541" t="str">
        <f t="shared" si="336"/>
        <v/>
      </c>
      <c r="CB116" s="541" t="str">
        <f t="shared" si="336"/>
        <v/>
      </c>
      <c r="CC116" s="541" t="str">
        <f t="shared" si="336"/>
        <v/>
      </c>
      <c r="CD116" s="541" t="str">
        <f t="shared" si="336"/>
        <v/>
      </c>
      <c r="CE116" s="541" t="str">
        <f t="shared" si="336"/>
        <v/>
      </c>
      <c r="CF116" s="541" t="str">
        <f t="shared" si="336"/>
        <v/>
      </c>
      <c r="CG116" s="541" t="str">
        <f t="shared" si="336"/>
        <v/>
      </c>
      <c r="CH116" s="541" t="str">
        <f t="shared" si="336"/>
        <v/>
      </c>
      <c r="CI116" s="541" t="str">
        <f t="shared" si="336"/>
        <v/>
      </c>
      <c r="CJ116" s="541" t="str">
        <f t="shared" si="336"/>
        <v/>
      </c>
      <c r="CK116" s="541" t="str">
        <f t="shared" si="336"/>
        <v/>
      </c>
      <c r="CL116" s="541" t="str">
        <f t="shared" si="336"/>
        <v/>
      </c>
      <c r="CN116" s="619" t="str">
        <f t="shared" ref="CN116:CN118" si="337">IFERROR((Y116/H116)^(1/17)-1,"")</f>
        <v/>
      </c>
      <c r="CO116" s="619" t="str">
        <f t="shared" ref="CO116:CO118" si="338">IFERROR((AN116/Y116)^(1/15)-1,"")</f>
        <v/>
      </c>
      <c r="CP116" s="619" t="str">
        <f t="shared" ref="CP116:CP118" si="339">IFERROR((AN116/H116)^(1/32)-1,"")</f>
        <v/>
      </c>
    </row>
    <row r="117" spans="1:94" outlineLevel="1">
      <c r="A117" s="535" t="s">
        <v>255</v>
      </c>
      <c r="B117" s="535" t="s">
        <v>259</v>
      </c>
      <c r="C117" s="535" t="s">
        <v>361</v>
      </c>
      <c r="D117" s="535"/>
      <c r="E117" s="546" t="e">
        <f>IF(E42&lt;sector_base,NA(),IFERROR(IF(activity_approach="Input Activity Data Manually",IF(E42=base,pla,IF(E42=target,plf,D117+((plf-pla)/(target-base)))),pla*(1+f_CAGR)^(E42-base)),""))</f>
        <v>#N/A</v>
      </c>
      <c r="F117" s="541" t="e">
        <f>IF(F42&lt;sector_base,NA(),IFERROR(IF(activity_approach="Input Activity Data Manually",IF(F42=base,pla,IF(F42=target,plf,E117+((plf-pla)/(target-base)))),pla*(1+f_CAGR)^(F42-base)),""))</f>
        <v>#N/A</v>
      </c>
      <c r="G117" s="541" t="e">
        <f>IF(G42&lt;sector_base,NA(),IFERROR(IF(activity_approach="Input Activity Data Manually",IF(G42=base,pla,IF(G42=target,plf,F117+((plf-pla)/(target-base)))),pla*(1+f_CAGR)^(G42-base)),""))</f>
        <v>#N/A</v>
      </c>
      <c r="H117" s="541" t="e">
        <f>IF(H42&lt;sector_base,NA(),IFERROR(IF(activity_approach="Input Activity Data Manually",IF(H42=base,pla,IF(H42=target,plf,G117+((plf-pla)/(target-base)))),pla*(1+f_CAGR)^(H42-base)),""))</f>
        <v>#N/A</v>
      </c>
      <c r="I117" s="541" t="e">
        <f>IF(I8&lt;sector_base,NA(),IF(I8=bt_base,bta,H117*bt_CAGR))/10</f>
        <v>#REF!</v>
      </c>
      <c r="J117" s="541" t="e">
        <f t="shared" ref="J117:AO117" si="340">IF(J8&lt;sector_base,NA(),IF(J8=bt_base,bta,I117*(1+bt_CAGR)))</f>
        <v>#REF!</v>
      </c>
      <c r="K117" s="541" t="e">
        <f t="shared" si="340"/>
        <v>#REF!</v>
      </c>
      <c r="L117" s="541" t="e">
        <f t="shared" si="340"/>
        <v>#REF!</v>
      </c>
      <c r="M117" s="541" t="e">
        <f t="shared" si="340"/>
        <v>#REF!</v>
      </c>
      <c r="N117" s="541" t="e">
        <f t="shared" si="340"/>
        <v>#REF!</v>
      </c>
      <c r="O117" s="541" t="e">
        <f t="shared" si="340"/>
        <v>#REF!</v>
      </c>
      <c r="P117" s="541" t="e">
        <f t="shared" si="340"/>
        <v>#REF!</v>
      </c>
      <c r="Q117" s="541" t="e">
        <f t="shared" si="340"/>
        <v>#REF!</v>
      </c>
      <c r="R117" s="541" t="e">
        <f t="shared" si="340"/>
        <v>#REF!</v>
      </c>
      <c r="S117" s="541" t="e">
        <f t="shared" si="340"/>
        <v>#REF!</v>
      </c>
      <c r="T117" s="541" t="e">
        <f t="shared" si="340"/>
        <v>#REF!</v>
      </c>
      <c r="U117" s="541" t="e">
        <f t="shared" si="340"/>
        <v>#REF!</v>
      </c>
      <c r="V117" s="541" t="e">
        <f t="shared" si="340"/>
        <v>#REF!</v>
      </c>
      <c r="W117" s="541" t="e">
        <f t="shared" si="340"/>
        <v>#REF!</v>
      </c>
      <c r="X117" s="541" t="e">
        <f t="shared" si="340"/>
        <v>#REF!</v>
      </c>
      <c r="Y117" s="541" t="e">
        <f t="shared" si="340"/>
        <v>#REF!</v>
      </c>
      <c r="Z117" s="541" t="e">
        <f t="shared" si="340"/>
        <v>#REF!</v>
      </c>
      <c r="AA117" s="541" t="e">
        <f t="shared" si="340"/>
        <v>#REF!</v>
      </c>
      <c r="AB117" s="541" t="e">
        <f t="shared" si="340"/>
        <v>#REF!</v>
      </c>
      <c r="AC117" s="541" t="e">
        <f t="shared" si="340"/>
        <v>#REF!</v>
      </c>
      <c r="AD117" s="541" t="e">
        <f t="shared" si="340"/>
        <v>#REF!</v>
      </c>
      <c r="AE117" s="541" t="e">
        <f t="shared" si="340"/>
        <v>#REF!</v>
      </c>
      <c r="AF117" s="541" t="e">
        <f t="shared" si="340"/>
        <v>#REF!</v>
      </c>
      <c r="AG117" s="541" t="e">
        <f t="shared" si="340"/>
        <v>#REF!</v>
      </c>
      <c r="AH117" s="541" t="e">
        <f t="shared" si="340"/>
        <v>#REF!</v>
      </c>
      <c r="AI117" s="541" t="e">
        <f t="shared" si="340"/>
        <v>#REF!</v>
      </c>
      <c r="AJ117" s="541" t="e">
        <f t="shared" si="340"/>
        <v>#REF!</v>
      </c>
      <c r="AK117" s="541" t="e">
        <f t="shared" si="340"/>
        <v>#REF!</v>
      </c>
      <c r="AL117" s="541" t="e">
        <f t="shared" si="340"/>
        <v>#REF!</v>
      </c>
      <c r="AM117" s="541" t="e">
        <f t="shared" si="340"/>
        <v>#REF!</v>
      </c>
      <c r="AN117" s="541" t="e">
        <f t="shared" si="340"/>
        <v>#REF!</v>
      </c>
      <c r="AO117" s="541" t="e">
        <f t="shared" si="340"/>
        <v>#REF!</v>
      </c>
      <c r="AP117" s="541" t="e">
        <f t="shared" ref="AP117:BU117" si="341">IF(AP8&lt;sector_base,NA(),IF(AP8=bt_base,bta,AO117*(1+bt_CAGR)))</f>
        <v>#REF!</v>
      </c>
      <c r="AQ117" s="541" t="e">
        <f t="shared" si="341"/>
        <v>#REF!</v>
      </c>
      <c r="AR117" s="541" t="e">
        <f t="shared" si="341"/>
        <v>#REF!</v>
      </c>
      <c r="AS117" s="541" t="e">
        <f t="shared" si="341"/>
        <v>#REF!</v>
      </c>
      <c r="AT117" s="541" t="e">
        <f t="shared" si="341"/>
        <v>#REF!</v>
      </c>
      <c r="AU117" s="541" t="e">
        <f t="shared" si="341"/>
        <v>#REF!</v>
      </c>
      <c r="AV117" s="541" t="e">
        <f t="shared" si="341"/>
        <v>#REF!</v>
      </c>
      <c r="AW117" s="541" t="e">
        <f t="shared" si="341"/>
        <v>#REF!</v>
      </c>
      <c r="AX117" s="541" t="e">
        <f t="shared" si="341"/>
        <v>#REF!</v>
      </c>
      <c r="AY117" s="541" t="e">
        <f t="shared" si="341"/>
        <v>#REF!</v>
      </c>
      <c r="AZ117" s="541" t="e">
        <f t="shared" si="341"/>
        <v>#REF!</v>
      </c>
      <c r="BA117" s="541" t="e">
        <f t="shared" si="341"/>
        <v>#REF!</v>
      </c>
      <c r="BB117" s="541" t="e">
        <f t="shared" si="341"/>
        <v>#REF!</v>
      </c>
      <c r="BC117" s="541" t="e">
        <f t="shared" si="341"/>
        <v>#REF!</v>
      </c>
      <c r="BD117" s="541" t="e">
        <f t="shared" si="341"/>
        <v>#REF!</v>
      </c>
      <c r="BE117" s="541" t="e">
        <f t="shared" si="341"/>
        <v>#REF!</v>
      </c>
      <c r="BF117" s="541" t="e">
        <f t="shared" si="341"/>
        <v>#REF!</v>
      </c>
      <c r="BG117" s="541" t="e">
        <f t="shared" si="341"/>
        <v>#REF!</v>
      </c>
      <c r="BH117" s="541" t="e">
        <f t="shared" si="341"/>
        <v>#REF!</v>
      </c>
      <c r="BI117" s="541" t="e">
        <f t="shared" si="341"/>
        <v>#REF!</v>
      </c>
      <c r="BJ117" s="541" t="e">
        <f t="shared" si="341"/>
        <v>#REF!</v>
      </c>
      <c r="BK117" s="541" t="e">
        <f t="shared" si="341"/>
        <v>#REF!</v>
      </c>
      <c r="BL117" s="541" t="e">
        <f t="shared" si="341"/>
        <v>#REF!</v>
      </c>
      <c r="BM117" s="541" t="e">
        <f t="shared" si="341"/>
        <v>#REF!</v>
      </c>
      <c r="BN117" s="541" t="e">
        <f t="shared" si="341"/>
        <v>#REF!</v>
      </c>
      <c r="BO117" s="541" t="e">
        <f t="shared" si="341"/>
        <v>#REF!</v>
      </c>
      <c r="BP117" s="541" t="e">
        <f t="shared" si="341"/>
        <v>#REF!</v>
      </c>
      <c r="BQ117" s="541" t="e">
        <f t="shared" si="341"/>
        <v>#REF!</v>
      </c>
      <c r="BR117" s="541" t="e">
        <f t="shared" si="341"/>
        <v>#REF!</v>
      </c>
      <c r="BS117" s="541" t="e">
        <f t="shared" si="341"/>
        <v>#REF!</v>
      </c>
      <c r="BT117" s="541" t="e">
        <f t="shared" si="341"/>
        <v>#REF!</v>
      </c>
      <c r="BU117" s="541" t="e">
        <f t="shared" si="341"/>
        <v>#REF!</v>
      </c>
      <c r="BV117" s="541" t="e">
        <f t="shared" ref="BV117:CL117" si="342">IF(BV8&lt;sector_base,NA(),IF(BV8=bt_base,bta,BU117*(1+bt_CAGR)))</f>
        <v>#REF!</v>
      </c>
      <c r="BW117" s="541" t="e">
        <f t="shared" si="342"/>
        <v>#REF!</v>
      </c>
      <c r="BX117" s="541" t="e">
        <f t="shared" si="342"/>
        <v>#REF!</v>
      </c>
      <c r="BY117" s="541" t="e">
        <f t="shared" si="342"/>
        <v>#REF!</v>
      </c>
      <c r="BZ117" s="541" t="e">
        <f t="shared" si="342"/>
        <v>#REF!</v>
      </c>
      <c r="CA117" s="541" t="e">
        <f t="shared" si="342"/>
        <v>#REF!</v>
      </c>
      <c r="CB117" s="541" t="e">
        <f t="shared" si="342"/>
        <v>#REF!</v>
      </c>
      <c r="CC117" s="541" t="e">
        <f t="shared" si="342"/>
        <v>#REF!</v>
      </c>
      <c r="CD117" s="541" t="e">
        <f t="shared" si="342"/>
        <v>#REF!</v>
      </c>
      <c r="CE117" s="541" t="e">
        <f t="shared" si="342"/>
        <v>#REF!</v>
      </c>
      <c r="CF117" s="541" t="e">
        <f t="shared" si="342"/>
        <v>#REF!</v>
      </c>
      <c r="CG117" s="541" t="e">
        <f t="shared" si="342"/>
        <v>#REF!</v>
      </c>
      <c r="CH117" s="541" t="e">
        <f t="shared" si="342"/>
        <v>#REF!</v>
      </c>
      <c r="CI117" s="541" t="e">
        <f t="shared" si="342"/>
        <v>#REF!</v>
      </c>
      <c r="CJ117" s="541" t="e">
        <f t="shared" si="342"/>
        <v>#REF!</v>
      </c>
      <c r="CK117" s="541" t="e">
        <f t="shared" si="342"/>
        <v>#REF!</v>
      </c>
      <c r="CL117" s="541" t="e">
        <f t="shared" si="342"/>
        <v>#REF!</v>
      </c>
      <c r="CN117" s="620" t="str">
        <f t="shared" si="337"/>
        <v/>
      </c>
      <c r="CO117" s="620" t="str">
        <f t="shared" si="338"/>
        <v/>
      </c>
      <c r="CP117" s="620" t="str">
        <f t="shared" si="339"/>
        <v/>
      </c>
    </row>
    <row r="118" spans="1:94" outlineLevel="1">
      <c r="A118" s="530" t="s">
        <v>255</v>
      </c>
      <c r="B118" s="530" t="s">
        <v>258</v>
      </c>
      <c r="C118" s="535" t="s">
        <v>362</v>
      </c>
      <c r="D118" s="535" t="s">
        <v>363</v>
      </c>
      <c r="E118" s="542" t="str">
        <f>IFERROR((E116/E117)*1000,"")</f>
        <v/>
      </c>
      <c r="F118" s="531" t="str">
        <f t="shared" ref="F118:G118" si="343">IFERROR((F116/F117)*1000,"")</f>
        <v/>
      </c>
      <c r="G118" s="531" t="str">
        <f t="shared" si="343"/>
        <v/>
      </c>
      <c r="H118" s="531" t="str">
        <f>IFERROR((H116/H117)*1000,"")</f>
        <v/>
      </c>
      <c r="I118" s="531" t="str">
        <f>IFERROR((I116/I117)*1000,"")</f>
        <v/>
      </c>
      <c r="J118" s="531" t="str">
        <f t="shared" ref="J118:BU118" si="344">IFERROR((J116/J117)*1000,"")</f>
        <v/>
      </c>
      <c r="K118" s="531" t="str">
        <f t="shared" si="344"/>
        <v/>
      </c>
      <c r="L118" s="531" t="str">
        <f t="shared" si="344"/>
        <v/>
      </c>
      <c r="M118" s="531" t="str">
        <f t="shared" si="344"/>
        <v/>
      </c>
      <c r="N118" s="531" t="str">
        <f t="shared" si="344"/>
        <v/>
      </c>
      <c r="O118" s="531" t="str">
        <f t="shared" si="344"/>
        <v/>
      </c>
      <c r="P118" s="531" t="str">
        <f t="shared" si="344"/>
        <v/>
      </c>
      <c r="Q118" s="531" t="str">
        <f t="shared" si="344"/>
        <v/>
      </c>
      <c r="R118" s="531" t="str">
        <f t="shared" si="344"/>
        <v/>
      </c>
      <c r="S118" s="531" t="str">
        <f t="shared" si="344"/>
        <v/>
      </c>
      <c r="T118" s="531" t="str">
        <f t="shared" si="344"/>
        <v/>
      </c>
      <c r="U118" s="531" t="str">
        <f t="shared" si="344"/>
        <v/>
      </c>
      <c r="V118" s="531" t="str">
        <f t="shared" si="344"/>
        <v/>
      </c>
      <c r="W118" s="531" t="str">
        <f t="shared" si="344"/>
        <v/>
      </c>
      <c r="X118" s="531" t="str">
        <f t="shared" si="344"/>
        <v/>
      </c>
      <c r="Y118" s="531" t="str">
        <f t="shared" si="344"/>
        <v/>
      </c>
      <c r="Z118" s="531" t="str">
        <f t="shared" si="344"/>
        <v/>
      </c>
      <c r="AA118" s="531" t="str">
        <f t="shared" si="344"/>
        <v/>
      </c>
      <c r="AB118" s="531" t="str">
        <f t="shared" si="344"/>
        <v/>
      </c>
      <c r="AC118" s="531" t="str">
        <f t="shared" si="344"/>
        <v/>
      </c>
      <c r="AD118" s="531" t="str">
        <f t="shared" si="344"/>
        <v/>
      </c>
      <c r="AE118" s="531" t="str">
        <f t="shared" si="344"/>
        <v/>
      </c>
      <c r="AF118" s="531" t="str">
        <f t="shared" si="344"/>
        <v/>
      </c>
      <c r="AG118" s="531" t="str">
        <f t="shared" si="344"/>
        <v/>
      </c>
      <c r="AH118" s="531" t="str">
        <f t="shared" si="344"/>
        <v/>
      </c>
      <c r="AI118" s="531" t="str">
        <f t="shared" si="344"/>
        <v/>
      </c>
      <c r="AJ118" s="531" t="str">
        <f t="shared" si="344"/>
        <v/>
      </c>
      <c r="AK118" s="531" t="str">
        <f t="shared" si="344"/>
        <v/>
      </c>
      <c r="AL118" s="531" t="str">
        <f t="shared" si="344"/>
        <v/>
      </c>
      <c r="AM118" s="531" t="str">
        <f t="shared" si="344"/>
        <v/>
      </c>
      <c r="AN118" s="531" t="str">
        <f t="shared" si="344"/>
        <v/>
      </c>
      <c r="AO118" s="531" t="str">
        <f t="shared" si="344"/>
        <v/>
      </c>
      <c r="AP118" s="531" t="str">
        <f t="shared" si="344"/>
        <v/>
      </c>
      <c r="AQ118" s="531" t="str">
        <f t="shared" si="344"/>
        <v/>
      </c>
      <c r="AR118" s="531" t="str">
        <f t="shared" si="344"/>
        <v/>
      </c>
      <c r="AS118" s="531" t="str">
        <f t="shared" si="344"/>
        <v/>
      </c>
      <c r="AT118" s="531" t="str">
        <f t="shared" si="344"/>
        <v/>
      </c>
      <c r="AU118" s="531" t="str">
        <f t="shared" si="344"/>
        <v/>
      </c>
      <c r="AV118" s="531" t="str">
        <f t="shared" si="344"/>
        <v/>
      </c>
      <c r="AW118" s="531" t="str">
        <f t="shared" si="344"/>
        <v/>
      </c>
      <c r="AX118" s="531" t="str">
        <f t="shared" si="344"/>
        <v/>
      </c>
      <c r="AY118" s="531" t="str">
        <f t="shared" si="344"/>
        <v/>
      </c>
      <c r="AZ118" s="531" t="str">
        <f t="shared" si="344"/>
        <v/>
      </c>
      <c r="BA118" s="531" t="str">
        <f t="shared" si="344"/>
        <v/>
      </c>
      <c r="BB118" s="531" t="str">
        <f t="shared" si="344"/>
        <v/>
      </c>
      <c r="BC118" s="531" t="str">
        <f t="shared" si="344"/>
        <v/>
      </c>
      <c r="BD118" s="531" t="str">
        <f t="shared" si="344"/>
        <v/>
      </c>
      <c r="BE118" s="531" t="str">
        <f t="shared" si="344"/>
        <v/>
      </c>
      <c r="BF118" s="531" t="str">
        <f t="shared" si="344"/>
        <v/>
      </c>
      <c r="BG118" s="531" t="str">
        <f t="shared" si="344"/>
        <v/>
      </c>
      <c r="BH118" s="531" t="str">
        <f t="shared" si="344"/>
        <v/>
      </c>
      <c r="BI118" s="531" t="str">
        <f t="shared" si="344"/>
        <v/>
      </c>
      <c r="BJ118" s="531" t="str">
        <f t="shared" si="344"/>
        <v/>
      </c>
      <c r="BK118" s="531" t="str">
        <f t="shared" si="344"/>
        <v/>
      </c>
      <c r="BL118" s="531" t="str">
        <f t="shared" si="344"/>
        <v/>
      </c>
      <c r="BM118" s="531" t="str">
        <f t="shared" si="344"/>
        <v/>
      </c>
      <c r="BN118" s="531" t="str">
        <f t="shared" si="344"/>
        <v/>
      </c>
      <c r="BO118" s="531" t="str">
        <f t="shared" si="344"/>
        <v/>
      </c>
      <c r="BP118" s="531" t="str">
        <f t="shared" si="344"/>
        <v/>
      </c>
      <c r="BQ118" s="531" t="str">
        <f t="shared" si="344"/>
        <v/>
      </c>
      <c r="BR118" s="531" t="str">
        <f t="shared" si="344"/>
        <v/>
      </c>
      <c r="BS118" s="531" t="str">
        <f t="shared" si="344"/>
        <v/>
      </c>
      <c r="BT118" s="531" t="str">
        <f t="shared" si="344"/>
        <v/>
      </c>
      <c r="BU118" s="531" t="str">
        <f t="shared" si="344"/>
        <v/>
      </c>
      <c r="BV118" s="531" t="str">
        <f t="shared" ref="BV118:CL118" si="345">IFERROR((BV116/BV117)*1000,"")</f>
        <v/>
      </c>
      <c r="BW118" s="531" t="str">
        <f t="shared" si="345"/>
        <v/>
      </c>
      <c r="BX118" s="531" t="str">
        <f t="shared" si="345"/>
        <v/>
      </c>
      <c r="BY118" s="531" t="str">
        <f t="shared" si="345"/>
        <v/>
      </c>
      <c r="BZ118" s="531" t="str">
        <f t="shared" si="345"/>
        <v/>
      </c>
      <c r="CA118" s="531" t="str">
        <f t="shared" si="345"/>
        <v/>
      </c>
      <c r="CB118" s="531" t="str">
        <f t="shared" si="345"/>
        <v/>
      </c>
      <c r="CC118" s="531" t="str">
        <f t="shared" si="345"/>
        <v/>
      </c>
      <c r="CD118" s="531" t="str">
        <f t="shared" si="345"/>
        <v/>
      </c>
      <c r="CE118" s="531" t="str">
        <f t="shared" si="345"/>
        <v/>
      </c>
      <c r="CF118" s="531" t="str">
        <f t="shared" si="345"/>
        <v/>
      </c>
      <c r="CG118" s="531" t="str">
        <f t="shared" si="345"/>
        <v/>
      </c>
      <c r="CH118" s="531" t="str">
        <f t="shared" si="345"/>
        <v/>
      </c>
      <c r="CI118" s="531" t="str">
        <f t="shared" si="345"/>
        <v/>
      </c>
      <c r="CJ118" s="531" t="str">
        <f t="shared" si="345"/>
        <v/>
      </c>
      <c r="CK118" s="531" t="str">
        <f t="shared" si="345"/>
        <v/>
      </c>
      <c r="CL118" s="531" t="str">
        <f t="shared" si="345"/>
        <v/>
      </c>
      <c r="CN118" s="613" t="str">
        <f t="shared" si="337"/>
        <v/>
      </c>
      <c r="CO118" s="613" t="str">
        <f t="shared" si="338"/>
        <v/>
      </c>
      <c r="CP118" s="613" t="str">
        <f t="shared" si="339"/>
        <v/>
      </c>
    </row>
    <row r="119" spans="1:94" outlineLevel="1">
      <c r="A119" s="614"/>
      <c r="B119" s="614" t="s">
        <v>124</v>
      </c>
      <c r="C119" s="543" t="s">
        <v>364</v>
      </c>
      <c r="D119" s="543" t="s">
        <v>365</v>
      </c>
      <c r="E119" s="544" t="str">
        <f t="shared" ref="E119:BP119" ca="1" si="346">IFERROR(IF((INDEX($E110:$CL117,8,MATCH(base,$E110:$CL110,0))/INDEX($E110:$CL117,3,MATCH(sector_base,$E110:$CL110,0))/(E117/E112))&gt;=1,1,(INDEX($E110:$CL117,8,MATCH(base,$E110:$CL110,0))/INDEX($E110:$CL117,3,MATCH(base,$E110:$CL110,0))/(E117/E112))),"")</f>
        <v/>
      </c>
      <c r="F119" s="545" t="str">
        <f t="shared" ca="1" si="346"/>
        <v/>
      </c>
      <c r="G119" s="545" t="str">
        <f t="shared" ca="1" si="346"/>
        <v/>
      </c>
      <c r="H119" s="545" t="str">
        <f t="shared" ca="1" si="346"/>
        <v/>
      </c>
      <c r="I119" s="545" t="str">
        <f t="shared" ca="1" si="346"/>
        <v/>
      </c>
      <c r="J119" s="545" t="str">
        <f t="shared" ca="1" si="346"/>
        <v/>
      </c>
      <c r="K119" s="545" t="str">
        <f t="shared" ca="1" si="346"/>
        <v/>
      </c>
      <c r="L119" s="545" t="str">
        <f t="shared" ca="1" si="346"/>
        <v/>
      </c>
      <c r="M119" s="545" t="str">
        <f t="shared" ca="1" si="346"/>
        <v/>
      </c>
      <c r="N119" s="545" t="str">
        <f t="shared" ca="1" si="346"/>
        <v/>
      </c>
      <c r="O119" s="545" t="str">
        <f t="shared" ca="1" si="346"/>
        <v/>
      </c>
      <c r="P119" s="545" t="str">
        <f t="shared" ca="1" si="346"/>
        <v/>
      </c>
      <c r="Q119" s="545" t="str">
        <f t="shared" ca="1" si="346"/>
        <v/>
      </c>
      <c r="R119" s="545" t="str">
        <f t="shared" ca="1" si="346"/>
        <v/>
      </c>
      <c r="S119" s="545" t="str">
        <f t="shared" ca="1" si="346"/>
        <v/>
      </c>
      <c r="T119" s="545" t="str">
        <f t="shared" ca="1" si="346"/>
        <v/>
      </c>
      <c r="U119" s="545" t="str">
        <f t="shared" ca="1" si="346"/>
        <v/>
      </c>
      <c r="V119" s="545" t="str">
        <f t="shared" ca="1" si="346"/>
        <v/>
      </c>
      <c r="W119" s="545" t="str">
        <f t="shared" ca="1" si="346"/>
        <v/>
      </c>
      <c r="X119" s="545" t="str">
        <f t="shared" ca="1" si="346"/>
        <v/>
      </c>
      <c r="Y119" s="545" t="str">
        <f t="shared" ca="1" si="346"/>
        <v/>
      </c>
      <c r="Z119" s="545" t="str">
        <f t="shared" ca="1" si="346"/>
        <v/>
      </c>
      <c r="AA119" s="545" t="str">
        <f t="shared" ca="1" si="346"/>
        <v/>
      </c>
      <c r="AB119" s="545" t="str">
        <f t="shared" ca="1" si="346"/>
        <v/>
      </c>
      <c r="AC119" s="545" t="str">
        <f t="shared" ca="1" si="346"/>
        <v/>
      </c>
      <c r="AD119" s="545" t="str">
        <f t="shared" ca="1" si="346"/>
        <v/>
      </c>
      <c r="AE119" s="545" t="str">
        <f t="shared" ca="1" si="346"/>
        <v/>
      </c>
      <c r="AF119" s="545" t="str">
        <f t="shared" ca="1" si="346"/>
        <v/>
      </c>
      <c r="AG119" s="545" t="str">
        <f t="shared" ca="1" si="346"/>
        <v/>
      </c>
      <c r="AH119" s="545" t="str">
        <f t="shared" ca="1" si="346"/>
        <v/>
      </c>
      <c r="AI119" s="545" t="str">
        <f t="shared" ca="1" si="346"/>
        <v/>
      </c>
      <c r="AJ119" s="545" t="str">
        <f t="shared" ca="1" si="346"/>
        <v/>
      </c>
      <c r="AK119" s="545" t="str">
        <f t="shared" ca="1" si="346"/>
        <v/>
      </c>
      <c r="AL119" s="545" t="str">
        <f t="shared" ca="1" si="346"/>
        <v/>
      </c>
      <c r="AM119" s="545" t="str">
        <f t="shared" ca="1" si="346"/>
        <v/>
      </c>
      <c r="AN119" s="545" t="str">
        <f t="shared" ca="1" si="346"/>
        <v/>
      </c>
      <c r="AO119" s="545" t="str">
        <f t="shared" ca="1" si="346"/>
        <v/>
      </c>
      <c r="AP119" s="545" t="str">
        <f t="shared" ca="1" si="346"/>
        <v/>
      </c>
      <c r="AQ119" s="545" t="str">
        <f t="shared" ca="1" si="346"/>
        <v/>
      </c>
      <c r="AR119" s="545" t="str">
        <f t="shared" ca="1" si="346"/>
        <v/>
      </c>
      <c r="AS119" s="545" t="str">
        <f t="shared" ca="1" si="346"/>
        <v/>
      </c>
      <c r="AT119" s="545" t="str">
        <f t="shared" ca="1" si="346"/>
        <v/>
      </c>
      <c r="AU119" s="545" t="str">
        <f t="shared" ca="1" si="346"/>
        <v/>
      </c>
      <c r="AV119" s="545" t="str">
        <f t="shared" ca="1" si="346"/>
        <v/>
      </c>
      <c r="AW119" s="545" t="str">
        <f t="shared" ca="1" si="346"/>
        <v/>
      </c>
      <c r="AX119" s="545" t="str">
        <f t="shared" ca="1" si="346"/>
        <v/>
      </c>
      <c r="AY119" s="545" t="str">
        <f t="shared" ca="1" si="346"/>
        <v/>
      </c>
      <c r="AZ119" s="545" t="str">
        <f t="shared" ca="1" si="346"/>
        <v/>
      </c>
      <c r="BA119" s="545" t="str">
        <f t="shared" ca="1" si="346"/>
        <v/>
      </c>
      <c r="BB119" s="545" t="str">
        <f t="shared" ca="1" si="346"/>
        <v/>
      </c>
      <c r="BC119" s="545" t="str">
        <f t="shared" ca="1" si="346"/>
        <v/>
      </c>
      <c r="BD119" s="545" t="str">
        <f t="shared" ca="1" si="346"/>
        <v/>
      </c>
      <c r="BE119" s="545" t="str">
        <f t="shared" ca="1" si="346"/>
        <v/>
      </c>
      <c r="BF119" s="545" t="str">
        <f t="shared" ca="1" si="346"/>
        <v/>
      </c>
      <c r="BG119" s="545" t="str">
        <f t="shared" ca="1" si="346"/>
        <v/>
      </c>
      <c r="BH119" s="545" t="str">
        <f t="shared" ca="1" si="346"/>
        <v/>
      </c>
      <c r="BI119" s="545" t="str">
        <f t="shared" ca="1" si="346"/>
        <v/>
      </c>
      <c r="BJ119" s="545" t="str">
        <f t="shared" ca="1" si="346"/>
        <v/>
      </c>
      <c r="BK119" s="545" t="str">
        <f t="shared" ca="1" si="346"/>
        <v/>
      </c>
      <c r="BL119" s="545" t="str">
        <f t="shared" ca="1" si="346"/>
        <v/>
      </c>
      <c r="BM119" s="545" t="str">
        <f t="shared" ca="1" si="346"/>
        <v/>
      </c>
      <c r="BN119" s="545" t="str">
        <f t="shared" ca="1" si="346"/>
        <v/>
      </c>
      <c r="BO119" s="545" t="str">
        <f t="shared" ca="1" si="346"/>
        <v/>
      </c>
      <c r="BP119" s="545" t="str">
        <f t="shared" ca="1" si="346"/>
        <v/>
      </c>
      <c r="BQ119" s="545" t="str">
        <f t="shared" ref="BQ119:CL119" ca="1" si="347">IFERROR(IF((INDEX($E110:$CL117,8,MATCH(base,$E110:$CL110,0))/INDEX($E110:$CL117,3,MATCH(sector_base,$E110:$CL110,0))/(BQ117/BQ112))&gt;=1,1,(INDEX($E110:$CL117,8,MATCH(base,$E110:$CL110,0))/INDEX($E110:$CL117,3,MATCH(base,$E110:$CL110,0))/(BQ117/BQ112))),"")</f>
        <v/>
      </c>
      <c r="BR119" s="545" t="str">
        <f t="shared" ca="1" si="347"/>
        <v/>
      </c>
      <c r="BS119" s="545" t="str">
        <f t="shared" ca="1" si="347"/>
        <v/>
      </c>
      <c r="BT119" s="545" t="str">
        <f t="shared" ca="1" si="347"/>
        <v/>
      </c>
      <c r="BU119" s="545" t="str">
        <f t="shared" ca="1" si="347"/>
        <v/>
      </c>
      <c r="BV119" s="545" t="str">
        <f t="shared" ca="1" si="347"/>
        <v/>
      </c>
      <c r="BW119" s="545" t="str">
        <f t="shared" ca="1" si="347"/>
        <v/>
      </c>
      <c r="BX119" s="545" t="str">
        <f t="shared" ca="1" si="347"/>
        <v/>
      </c>
      <c r="BY119" s="545" t="str">
        <f t="shared" ca="1" si="347"/>
        <v/>
      </c>
      <c r="BZ119" s="545" t="str">
        <f t="shared" ca="1" si="347"/>
        <v/>
      </c>
      <c r="CA119" s="545" t="str">
        <f t="shared" ca="1" si="347"/>
        <v/>
      </c>
      <c r="CB119" s="545" t="str">
        <f t="shared" ca="1" si="347"/>
        <v/>
      </c>
      <c r="CC119" s="545" t="str">
        <f t="shared" ca="1" si="347"/>
        <v/>
      </c>
      <c r="CD119" s="545" t="str">
        <f t="shared" ca="1" si="347"/>
        <v/>
      </c>
      <c r="CE119" s="545" t="str">
        <f t="shared" ca="1" si="347"/>
        <v/>
      </c>
      <c r="CF119" s="545" t="str">
        <f t="shared" ca="1" si="347"/>
        <v/>
      </c>
      <c r="CG119" s="545" t="str">
        <f t="shared" ca="1" si="347"/>
        <v/>
      </c>
      <c r="CH119" s="545" t="str">
        <f t="shared" ca="1" si="347"/>
        <v/>
      </c>
      <c r="CI119" s="545" t="str">
        <f t="shared" ca="1" si="347"/>
        <v/>
      </c>
      <c r="CJ119" s="545" t="str">
        <f t="shared" ca="1" si="347"/>
        <v/>
      </c>
      <c r="CK119" s="545" t="str">
        <f t="shared" ca="1" si="347"/>
        <v/>
      </c>
      <c r="CL119" s="545" t="str">
        <f t="shared" ca="1" si="347"/>
        <v/>
      </c>
      <c r="CN119" s="619" t="str">
        <f ca="1">IFERROR((Y119/H119)^(1/17)-1,"")</f>
        <v/>
      </c>
      <c r="CO119" s="619" t="str">
        <f ca="1">IFERROR((AN119/Y119)^(1/15)-1,"")</f>
        <v/>
      </c>
      <c r="CP119" s="619" t="str">
        <f ca="1">IFERROR((AN119/H119)^(1/32)-1,"")</f>
        <v/>
      </c>
    </row>
    <row r="120" spans="1:94" outlineLevel="1">
      <c r="A120" s="534"/>
      <c r="B120" s="534" t="s">
        <v>27</v>
      </c>
      <c r="C120" s="534" t="s">
        <v>366</v>
      </c>
      <c r="D120" s="534" t="s">
        <v>367</v>
      </c>
      <c r="E120" s="536" t="str">
        <f t="shared" ref="E120:BP120" ca="1" si="348">IFERROR(IF(INDEX($E110:$CL119,9,MATCH(base,$E110:$CL110,0))-E115&lt;0,"N/A",INDEX($E110:$CL119,9,MATCH(base,$E110:$CL110,0))-E115),"")</f>
        <v/>
      </c>
      <c r="F120" s="537" t="str">
        <f t="shared" ca="1" si="348"/>
        <v/>
      </c>
      <c r="G120" s="537" t="str">
        <f t="shared" ca="1" si="348"/>
        <v/>
      </c>
      <c r="H120" s="537" t="str">
        <f t="shared" ca="1" si="348"/>
        <v/>
      </c>
      <c r="I120" s="537" t="str">
        <f t="shared" ca="1" si="348"/>
        <v/>
      </c>
      <c r="J120" s="537" t="str">
        <f t="shared" ca="1" si="348"/>
        <v/>
      </c>
      <c r="K120" s="537" t="str">
        <f t="shared" ca="1" si="348"/>
        <v/>
      </c>
      <c r="L120" s="537" t="str">
        <f t="shared" ca="1" si="348"/>
        <v/>
      </c>
      <c r="M120" s="537" t="str">
        <f t="shared" ca="1" si="348"/>
        <v/>
      </c>
      <c r="N120" s="537" t="str">
        <f t="shared" ca="1" si="348"/>
        <v/>
      </c>
      <c r="O120" s="537" t="str">
        <f t="shared" ca="1" si="348"/>
        <v/>
      </c>
      <c r="P120" s="537" t="str">
        <f t="shared" ca="1" si="348"/>
        <v/>
      </c>
      <c r="Q120" s="537" t="str">
        <f t="shared" ca="1" si="348"/>
        <v/>
      </c>
      <c r="R120" s="537" t="str">
        <f t="shared" ca="1" si="348"/>
        <v/>
      </c>
      <c r="S120" s="537" t="str">
        <f t="shared" ca="1" si="348"/>
        <v/>
      </c>
      <c r="T120" s="537" t="str">
        <f t="shared" ca="1" si="348"/>
        <v/>
      </c>
      <c r="U120" s="537" t="str">
        <f t="shared" ca="1" si="348"/>
        <v/>
      </c>
      <c r="V120" s="537" t="str">
        <f t="shared" ca="1" si="348"/>
        <v/>
      </c>
      <c r="W120" s="537" t="str">
        <f t="shared" ca="1" si="348"/>
        <v/>
      </c>
      <c r="X120" s="537" t="str">
        <f t="shared" ca="1" si="348"/>
        <v/>
      </c>
      <c r="Y120" s="537" t="str">
        <f t="shared" ca="1" si="348"/>
        <v/>
      </c>
      <c r="Z120" s="537" t="str">
        <f t="shared" ca="1" si="348"/>
        <v/>
      </c>
      <c r="AA120" s="537" t="str">
        <f t="shared" ca="1" si="348"/>
        <v/>
      </c>
      <c r="AB120" s="537" t="str">
        <f t="shared" ca="1" si="348"/>
        <v/>
      </c>
      <c r="AC120" s="537" t="str">
        <f t="shared" ca="1" si="348"/>
        <v/>
      </c>
      <c r="AD120" s="537" t="str">
        <f t="shared" ca="1" si="348"/>
        <v/>
      </c>
      <c r="AE120" s="537" t="str">
        <f t="shared" ca="1" si="348"/>
        <v/>
      </c>
      <c r="AF120" s="537" t="str">
        <f t="shared" ca="1" si="348"/>
        <v/>
      </c>
      <c r="AG120" s="537" t="str">
        <f t="shared" ca="1" si="348"/>
        <v/>
      </c>
      <c r="AH120" s="537" t="str">
        <f t="shared" ca="1" si="348"/>
        <v/>
      </c>
      <c r="AI120" s="537" t="str">
        <f t="shared" ca="1" si="348"/>
        <v/>
      </c>
      <c r="AJ120" s="537" t="str">
        <f t="shared" ca="1" si="348"/>
        <v/>
      </c>
      <c r="AK120" s="537" t="str">
        <f t="shared" ca="1" si="348"/>
        <v/>
      </c>
      <c r="AL120" s="537" t="str">
        <f t="shared" ca="1" si="348"/>
        <v/>
      </c>
      <c r="AM120" s="537" t="str">
        <f t="shared" ca="1" si="348"/>
        <v/>
      </c>
      <c r="AN120" s="537" t="str">
        <f t="shared" ca="1" si="348"/>
        <v/>
      </c>
      <c r="AO120" s="537" t="str">
        <f t="shared" ca="1" si="348"/>
        <v/>
      </c>
      <c r="AP120" s="537" t="str">
        <f t="shared" ca="1" si="348"/>
        <v/>
      </c>
      <c r="AQ120" s="537" t="str">
        <f t="shared" ca="1" si="348"/>
        <v/>
      </c>
      <c r="AR120" s="537" t="str">
        <f t="shared" ca="1" si="348"/>
        <v/>
      </c>
      <c r="AS120" s="537" t="str">
        <f t="shared" ca="1" si="348"/>
        <v/>
      </c>
      <c r="AT120" s="537" t="str">
        <f t="shared" ca="1" si="348"/>
        <v/>
      </c>
      <c r="AU120" s="537" t="str">
        <f t="shared" ca="1" si="348"/>
        <v/>
      </c>
      <c r="AV120" s="537" t="str">
        <f t="shared" ca="1" si="348"/>
        <v/>
      </c>
      <c r="AW120" s="537" t="str">
        <f t="shared" ca="1" si="348"/>
        <v/>
      </c>
      <c r="AX120" s="537" t="str">
        <f t="shared" ca="1" si="348"/>
        <v/>
      </c>
      <c r="AY120" s="537" t="str">
        <f t="shared" ca="1" si="348"/>
        <v/>
      </c>
      <c r="AZ120" s="537" t="str">
        <f t="shared" ca="1" si="348"/>
        <v/>
      </c>
      <c r="BA120" s="537" t="str">
        <f t="shared" ca="1" si="348"/>
        <v/>
      </c>
      <c r="BB120" s="537" t="str">
        <f t="shared" ca="1" si="348"/>
        <v/>
      </c>
      <c r="BC120" s="537" t="str">
        <f t="shared" ca="1" si="348"/>
        <v/>
      </c>
      <c r="BD120" s="537" t="str">
        <f t="shared" ca="1" si="348"/>
        <v/>
      </c>
      <c r="BE120" s="537" t="str">
        <f t="shared" ca="1" si="348"/>
        <v/>
      </c>
      <c r="BF120" s="537" t="str">
        <f t="shared" ca="1" si="348"/>
        <v/>
      </c>
      <c r="BG120" s="537" t="str">
        <f t="shared" ca="1" si="348"/>
        <v/>
      </c>
      <c r="BH120" s="537" t="str">
        <f t="shared" ca="1" si="348"/>
        <v/>
      </c>
      <c r="BI120" s="537" t="str">
        <f t="shared" ca="1" si="348"/>
        <v/>
      </c>
      <c r="BJ120" s="537" t="str">
        <f t="shared" ca="1" si="348"/>
        <v/>
      </c>
      <c r="BK120" s="537" t="str">
        <f t="shared" ca="1" si="348"/>
        <v/>
      </c>
      <c r="BL120" s="537" t="str">
        <f t="shared" ca="1" si="348"/>
        <v/>
      </c>
      <c r="BM120" s="537" t="str">
        <f t="shared" ca="1" si="348"/>
        <v/>
      </c>
      <c r="BN120" s="537" t="str">
        <f t="shared" ca="1" si="348"/>
        <v/>
      </c>
      <c r="BO120" s="537" t="str">
        <f t="shared" ca="1" si="348"/>
        <v/>
      </c>
      <c r="BP120" s="537" t="str">
        <f t="shared" ca="1" si="348"/>
        <v/>
      </c>
      <c r="BQ120" s="537" t="str">
        <f t="shared" ref="BQ120:CL120" ca="1" si="349">IFERROR(IF(INDEX($E110:$CL119,9,MATCH(base,$E110:$CL110,0))-BQ115&lt;0,"N/A",INDEX($E110:$CL119,9,MATCH(base,$E110:$CL110,0))-BQ115),"")</f>
        <v/>
      </c>
      <c r="BR120" s="537" t="str">
        <f t="shared" ca="1" si="349"/>
        <v/>
      </c>
      <c r="BS120" s="537" t="str">
        <f t="shared" ca="1" si="349"/>
        <v/>
      </c>
      <c r="BT120" s="537" t="str">
        <f t="shared" ca="1" si="349"/>
        <v/>
      </c>
      <c r="BU120" s="537" t="str">
        <f t="shared" ca="1" si="349"/>
        <v/>
      </c>
      <c r="BV120" s="537" t="str">
        <f t="shared" ca="1" si="349"/>
        <v/>
      </c>
      <c r="BW120" s="537" t="str">
        <f t="shared" ca="1" si="349"/>
        <v/>
      </c>
      <c r="BX120" s="537" t="str">
        <f t="shared" ca="1" si="349"/>
        <v/>
      </c>
      <c r="BY120" s="537" t="str">
        <f t="shared" ca="1" si="349"/>
        <v/>
      </c>
      <c r="BZ120" s="537" t="str">
        <f t="shared" ca="1" si="349"/>
        <v/>
      </c>
      <c r="CA120" s="537" t="str">
        <f t="shared" ca="1" si="349"/>
        <v/>
      </c>
      <c r="CB120" s="537" t="str">
        <f t="shared" ca="1" si="349"/>
        <v/>
      </c>
      <c r="CC120" s="537" t="str">
        <f t="shared" ca="1" si="349"/>
        <v/>
      </c>
      <c r="CD120" s="537" t="str">
        <f t="shared" ca="1" si="349"/>
        <v/>
      </c>
      <c r="CE120" s="537" t="str">
        <f t="shared" ca="1" si="349"/>
        <v/>
      </c>
      <c r="CF120" s="537" t="str">
        <f t="shared" ca="1" si="349"/>
        <v/>
      </c>
      <c r="CG120" s="537" t="str">
        <f t="shared" ca="1" si="349"/>
        <v/>
      </c>
      <c r="CH120" s="537" t="str">
        <f t="shared" ca="1" si="349"/>
        <v/>
      </c>
      <c r="CI120" s="537" t="str">
        <f t="shared" ca="1" si="349"/>
        <v/>
      </c>
      <c r="CJ120" s="537" t="str">
        <f t="shared" ca="1" si="349"/>
        <v/>
      </c>
      <c r="CK120" s="537" t="str">
        <f t="shared" ca="1" si="349"/>
        <v/>
      </c>
      <c r="CL120" s="537" t="str">
        <f t="shared" ca="1" si="349"/>
        <v/>
      </c>
      <c r="CN120" s="618" t="str">
        <f ca="1">IFERROR((Y120/H120)^(1/17)-1,"")</f>
        <v/>
      </c>
      <c r="CO120" s="618" t="str">
        <f ca="1">IFERROR((AN120/Y120)^(1/15)-1,"")</f>
        <v/>
      </c>
      <c r="CP120" s="618" t="str">
        <f ca="1">IFERROR((AN120/H120)^(1/32)-1,"")</f>
        <v/>
      </c>
    </row>
    <row r="121" spans="1:94" outlineLevel="1">
      <c r="A121" s="538" t="s">
        <v>255</v>
      </c>
      <c r="B121" s="538" t="s">
        <v>256</v>
      </c>
      <c r="C121" s="538" t="s">
        <v>368</v>
      </c>
      <c r="D121" s="538" t="s">
        <v>369</v>
      </c>
      <c r="E121" s="540" t="e">
        <f t="shared" ref="E121:AJ121" si="350">IF(E42&lt;sector_base,NA(),IF($B$6="ON", IF(E42&gt;=covid_start, IF(E42&lt;covid_recovery,NA(),IFERROR(E115+(E114*E120*E119),0)),IFERROR(E115+(E114*E120*E119),0)),IFERROR(E115+(E114*E120*E119),0)))</f>
        <v>#N/A</v>
      </c>
      <c r="F121" s="540" t="e">
        <f t="shared" si="350"/>
        <v>#N/A</v>
      </c>
      <c r="G121" s="540" t="e">
        <f t="shared" si="350"/>
        <v>#N/A</v>
      </c>
      <c r="H121" s="540" t="e">
        <f t="shared" si="350"/>
        <v>#N/A</v>
      </c>
      <c r="I121" s="540">
        <f t="shared" ca="1" si="350"/>
        <v>0</v>
      </c>
      <c r="J121" s="540" t="e">
        <f t="shared" si="350"/>
        <v>#N/A</v>
      </c>
      <c r="K121" s="540" t="e">
        <f t="shared" si="350"/>
        <v>#N/A</v>
      </c>
      <c r="L121" s="540" t="e">
        <f t="shared" si="350"/>
        <v>#N/A</v>
      </c>
      <c r="M121" s="540">
        <f t="shared" ca="1" si="350"/>
        <v>0</v>
      </c>
      <c r="N121" s="540">
        <f t="shared" ca="1" si="350"/>
        <v>0</v>
      </c>
      <c r="O121" s="540">
        <f t="shared" ca="1" si="350"/>
        <v>0</v>
      </c>
      <c r="P121" s="540">
        <f t="shared" ca="1" si="350"/>
        <v>0</v>
      </c>
      <c r="Q121" s="540">
        <f t="shared" ca="1" si="350"/>
        <v>0</v>
      </c>
      <c r="R121" s="540">
        <f t="shared" ca="1" si="350"/>
        <v>0</v>
      </c>
      <c r="S121" s="540">
        <f t="shared" ca="1" si="350"/>
        <v>0</v>
      </c>
      <c r="T121" s="540">
        <f t="shared" ca="1" si="350"/>
        <v>0</v>
      </c>
      <c r="U121" s="540">
        <f t="shared" ca="1" si="350"/>
        <v>0</v>
      </c>
      <c r="V121" s="540">
        <f t="shared" ca="1" si="350"/>
        <v>0</v>
      </c>
      <c r="W121" s="540">
        <f t="shared" ca="1" si="350"/>
        <v>0</v>
      </c>
      <c r="X121" s="540">
        <f t="shared" ca="1" si="350"/>
        <v>0</v>
      </c>
      <c r="Y121" s="540">
        <f t="shared" ca="1" si="350"/>
        <v>0</v>
      </c>
      <c r="Z121" s="540">
        <f t="shared" ca="1" si="350"/>
        <v>0</v>
      </c>
      <c r="AA121" s="540">
        <f t="shared" ca="1" si="350"/>
        <v>0</v>
      </c>
      <c r="AB121" s="540">
        <f t="shared" ca="1" si="350"/>
        <v>0</v>
      </c>
      <c r="AC121" s="540">
        <f t="shared" ca="1" si="350"/>
        <v>0</v>
      </c>
      <c r="AD121" s="540">
        <f t="shared" ca="1" si="350"/>
        <v>0</v>
      </c>
      <c r="AE121" s="540">
        <f t="shared" ca="1" si="350"/>
        <v>0</v>
      </c>
      <c r="AF121" s="540">
        <f t="shared" ca="1" si="350"/>
        <v>0</v>
      </c>
      <c r="AG121" s="540">
        <f t="shared" ca="1" si="350"/>
        <v>0</v>
      </c>
      <c r="AH121" s="540">
        <f t="shared" ca="1" si="350"/>
        <v>0</v>
      </c>
      <c r="AI121" s="540">
        <f t="shared" ca="1" si="350"/>
        <v>0</v>
      </c>
      <c r="AJ121" s="540">
        <f t="shared" ca="1" si="350"/>
        <v>0</v>
      </c>
      <c r="AK121" s="540">
        <f t="shared" ref="AK121:BP121" ca="1" si="351">IF(AK42&lt;sector_base,NA(),IF($B$6="ON", IF(AK42&gt;=covid_start, IF(AK42&lt;covid_recovery,NA(),IFERROR(AK115+(AK114*AK120*AK119),0)),IFERROR(AK115+(AK114*AK120*AK119),0)),IFERROR(AK115+(AK114*AK120*AK119),0)))</f>
        <v>0</v>
      </c>
      <c r="AL121" s="540">
        <f t="shared" ca="1" si="351"/>
        <v>0</v>
      </c>
      <c r="AM121" s="540">
        <f t="shared" ca="1" si="351"/>
        <v>0</v>
      </c>
      <c r="AN121" s="540">
        <f t="shared" ca="1" si="351"/>
        <v>0</v>
      </c>
      <c r="AO121" s="540">
        <f t="shared" ca="1" si="351"/>
        <v>0</v>
      </c>
      <c r="AP121" s="540">
        <f t="shared" ca="1" si="351"/>
        <v>0</v>
      </c>
      <c r="AQ121" s="540">
        <f t="shared" ca="1" si="351"/>
        <v>0</v>
      </c>
      <c r="AR121" s="540">
        <f t="shared" ca="1" si="351"/>
        <v>0</v>
      </c>
      <c r="AS121" s="540">
        <f t="shared" ca="1" si="351"/>
        <v>0</v>
      </c>
      <c r="AT121" s="540">
        <f t="shared" ca="1" si="351"/>
        <v>0</v>
      </c>
      <c r="AU121" s="540">
        <f t="shared" ca="1" si="351"/>
        <v>0</v>
      </c>
      <c r="AV121" s="540">
        <f t="shared" ca="1" si="351"/>
        <v>0</v>
      </c>
      <c r="AW121" s="540">
        <f t="shared" ca="1" si="351"/>
        <v>0</v>
      </c>
      <c r="AX121" s="540">
        <f t="shared" ca="1" si="351"/>
        <v>0</v>
      </c>
      <c r="AY121" s="540">
        <f t="shared" ca="1" si="351"/>
        <v>0</v>
      </c>
      <c r="AZ121" s="540">
        <f t="shared" ca="1" si="351"/>
        <v>0</v>
      </c>
      <c r="BA121" s="540">
        <f t="shared" ca="1" si="351"/>
        <v>0</v>
      </c>
      <c r="BB121" s="540">
        <f t="shared" ca="1" si="351"/>
        <v>0</v>
      </c>
      <c r="BC121" s="540">
        <f t="shared" ca="1" si="351"/>
        <v>0</v>
      </c>
      <c r="BD121" s="540">
        <f t="shared" ca="1" si="351"/>
        <v>0</v>
      </c>
      <c r="BE121" s="540">
        <f t="shared" ca="1" si="351"/>
        <v>0</v>
      </c>
      <c r="BF121" s="540">
        <f t="shared" ca="1" si="351"/>
        <v>0</v>
      </c>
      <c r="BG121" s="540">
        <f t="shared" ca="1" si="351"/>
        <v>0</v>
      </c>
      <c r="BH121" s="540">
        <f t="shared" ca="1" si="351"/>
        <v>0</v>
      </c>
      <c r="BI121" s="540">
        <f t="shared" ca="1" si="351"/>
        <v>0</v>
      </c>
      <c r="BJ121" s="540">
        <f t="shared" ca="1" si="351"/>
        <v>0</v>
      </c>
      <c r="BK121" s="540">
        <f t="shared" ca="1" si="351"/>
        <v>0</v>
      </c>
      <c r="BL121" s="540">
        <f t="shared" ca="1" si="351"/>
        <v>0</v>
      </c>
      <c r="BM121" s="540">
        <f t="shared" ca="1" si="351"/>
        <v>0</v>
      </c>
      <c r="BN121" s="540">
        <f t="shared" ca="1" si="351"/>
        <v>0</v>
      </c>
      <c r="BO121" s="540">
        <f t="shared" ca="1" si="351"/>
        <v>0</v>
      </c>
      <c r="BP121" s="540">
        <f t="shared" ca="1" si="351"/>
        <v>0</v>
      </c>
      <c r="BQ121" s="540">
        <f t="shared" ref="BQ121:CL121" ca="1" si="352">IF(BQ42&lt;sector_base,NA(),IF($B$6="ON", IF(BQ42&gt;=covid_start, IF(BQ42&lt;covid_recovery,NA(),IFERROR(BQ115+(BQ114*BQ120*BQ119),0)),IFERROR(BQ115+(BQ114*BQ120*BQ119),0)),IFERROR(BQ115+(BQ114*BQ120*BQ119),0)))</f>
        <v>0</v>
      </c>
      <c r="BR121" s="540">
        <f t="shared" ca="1" si="352"/>
        <v>0</v>
      </c>
      <c r="BS121" s="540">
        <f t="shared" ca="1" si="352"/>
        <v>0</v>
      </c>
      <c r="BT121" s="540">
        <f t="shared" ca="1" si="352"/>
        <v>0</v>
      </c>
      <c r="BU121" s="540">
        <f t="shared" ca="1" si="352"/>
        <v>0</v>
      </c>
      <c r="BV121" s="540">
        <f t="shared" ca="1" si="352"/>
        <v>0</v>
      </c>
      <c r="BW121" s="540">
        <f t="shared" ca="1" si="352"/>
        <v>0</v>
      </c>
      <c r="BX121" s="540">
        <f t="shared" ca="1" si="352"/>
        <v>0</v>
      </c>
      <c r="BY121" s="540">
        <f t="shared" ca="1" si="352"/>
        <v>0</v>
      </c>
      <c r="BZ121" s="540">
        <f t="shared" ca="1" si="352"/>
        <v>0</v>
      </c>
      <c r="CA121" s="540">
        <f t="shared" ca="1" si="352"/>
        <v>0</v>
      </c>
      <c r="CB121" s="540">
        <f t="shared" ca="1" si="352"/>
        <v>0</v>
      </c>
      <c r="CC121" s="540">
        <f t="shared" ca="1" si="352"/>
        <v>0</v>
      </c>
      <c r="CD121" s="540">
        <f t="shared" ca="1" si="352"/>
        <v>0</v>
      </c>
      <c r="CE121" s="540">
        <f t="shared" ca="1" si="352"/>
        <v>0</v>
      </c>
      <c r="CF121" s="540">
        <f t="shared" ca="1" si="352"/>
        <v>0</v>
      </c>
      <c r="CG121" s="540">
        <f t="shared" ca="1" si="352"/>
        <v>0</v>
      </c>
      <c r="CH121" s="540">
        <f t="shared" ca="1" si="352"/>
        <v>0</v>
      </c>
      <c r="CI121" s="540">
        <f t="shared" ca="1" si="352"/>
        <v>0</v>
      </c>
      <c r="CJ121" s="540">
        <f t="shared" ca="1" si="352"/>
        <v>0</v>
      </c>
      <c r="CK121" s="540">
        <f t="shared" ca="1" si="352"/>
        <v>0</v>
      </c>
      <c r="CL121" s="540">
        <f t="shared" ca="1" si="352"/>
        <v>0</v>
      </c>
      <c r="CN121" s="619" t="str">
        <f ca="1">IFERROR((Y121/H121)^(1/17)-1,"")</f>
        <v/>
      </c>
      <c r="CO121" s="619" t="str">
        <f ca="1">IFERROR((AN121/Y121)^(1/15)-1,"")</f>
        <v/>
      </c>
      <c r="CP121" s="619" t="str">
        <f ca="1">IFERROR((AN121/H121)^(1/32)-1,"")</f>
        <v/>
      </c>
    </row>
    <row r="122" spans="1:94" outlineLevel="1">
      <c r="A122" s="535" t="s">
        <v>255</v>
      </c>
      <c r="B122" s="535" t="s">
        <v>129</v>
      </c>
      <c r="C122" s="535" t="s">
        <v>370</v>
      </c>
      <c r="D122" s="535"/>
      <c r="E122" s="546" t="e">
        <f>IF(E110=base,E121, IF(E110=target,E121,#N/A))</f>
        <v>#N/A</v>
      </c>
      <c r="F122" s="541" t="e">
        <f>IF(F118=base,F121, IF(F118=target,F121,#N/A))</f>
        <v>#N/A</v>
      </c>
      <c r="G122" s="541" t="e">
        <f>IF(G118=base,G121, IF(G118=target,G121,#N/A))</f>
        <v>#N/A</v>
      </c>
      <c r="H122" s="541" t="e">
        <f>IF(H110=base,H121, IF(H110=target,H121,#N/A))</f>
        <v>#N/A</v>
      </c>
      <c r="I122" s="541">
        <f t="shared" ref="I122:X122" ca="1" si="353">IF(I110=base,I121, IF(I110=target,I121,#N/A))</f>
        <v>0</v>
      </c>
      <c r="J122" s="541" t="e">
        <f t="shared" si="353"/>
        <v>#N/A</v>
      </c>
      <c r="K122" s="541" t="e">
        <f t="shared" si="353"/>
        <v>#N/A</v>
      </c>
      <c r="L122" s="541" t="e">
        <f t="shared" si="353"/>
        <v>#N/A</v>
      </c>
      <c r="M122" s="541" t="e">
        <f t="shared" si="353"/>
        <v>#N/A</v>
      </c>
      <c r="N122" s="541" t="e">
        <f t="shared" si="353"/>
        <v>#N/A</v>
      </c>
      <c r="O122" s="541" t="e">
        <f t="shared" si="353"/>
        <v>#N/A</v>
      </c>
      <c r="P122" s="541" t="e">
        <f t="shared" si="353"/>
        <v>#N/A</v>
      </c>
      <c r="Q122" s="541" t="e">
        <f t="shared" si="353"/>
        <v>#N/A</v>
      </c>
      <c r="R122" s="541" t="e">
        <f t="shared" si="353"/>
        <v>#N/A</v>
      </c>
      <c r="S122" s="541" t="e">
        <f t="shared" si="353"/>
        <v>#N/A</v>
      </c>
      <c r="T122" s="541" t="e">
        <f t="shared" si="353"/>
        <v>#N/A</v>
      </c>
      <c r="U122" s="541" t="e">
        <f t="shared" si="353"/>
        <v>#N/A</v>
      </c>
      <c r="V122" s="541" t="e">
        <f t="shared" si="353"/>
        <v>#N/A</v>
      </c>
      <c r="W122" s="541" t="e">
        <f t="shared" si="353"/>
        <v>#N/A</v>
      </c>
      <c r="X122" s="541" t="e">
        <f t="shared" si="353"/>
        <v>#N/A</v>
      </c>
      <c r="Y122" s="541" t="e">
        <f>IF(Y110=base,Y121, IF(Y110=target,Y121,#N/A))</f>
        <v>#N/A</v>
      </c>
      <c r="Z122" s="541" t="e">
        <f t="shared" ref="Z122:AN122" si="354">IF(Z110=base,Z121, IF(Z110=target,Z121,#N/A))</f>
        <v>#N/A</v>
      </c>
      <c r="AA122" s="541" t="e">
        <f t="shared" si="354"/>
        <v>#N/A</v>
      </c>
      <c r="AB122" s="541" t="e">
        <f t="shared" si="354"/>
        <v>#N/A</v>
      </c>
      <c r="AC122" s="541" t="e">
        <f t="shared" si="354"/>
        <v>#N/A</v>
      </c>
      <c r="AD122" s="541" t="e">
        <f t="shared" si="354"/>
        <v>#N/A</v>
      </c>
      <c r="AE122" s="541" t="e">
        <f t="shared" si="354"/>
        <v>#N/A</v>
      </c>
      <c r="AF122" s="541" t="e">
        <f t="shared" si="354"/>
        <v>#N/A</v>
      </c>
      <c r="AG122" s="541" t="e">
        <f t="shared" si="354"/>
        <v>#N/A</v>
      </c>
      <c r="AH122" s="541" t="e">
        <f t="shared" si="354"/>
        <v>#N/A</v>
      </c>
      <c r="AI122" s="541" t="e">
        <f t="shared" si="354"/>
        <v>#N/A</v>
      </c>
      <c r="AJ122" s="541" t="e">
        <f t="shared" si="354"/>
        <v>#N/A</v>
      </c>
      <c r="AK122" s="541" t="e">
        <f t="shared" si="354"/>
        <v>#N/A</v>
      </c>
      <c r="AL122" s="541" t="e">
        <f t="shared" si="354"/>
        <v>#N/A</v>
      </c>
      <c r="AM122" s="541" t="e">
        <f t="shared" si="354"/>
        <v>#N/A</v>
      </c>
      <c r="AN122" s="541" t="e">
        <f t="shared" si="354"/>
        <v>#N/A</v>
      </c>
      <c r="AO122" s="541">
        <f t="shared" ref="AO122:CL122" ca="1" si="355">IF(AO118=base,AO121, IF(AO118=target,AO121,#N/A))</f>
        <v>0</v>
      </c>
      <c r="AP122" s="541">
        <f t="shared" ca="1" si="355"/>
        <v>0</v>
      </c>
      <c r="AQ122" s="541">
        <f t="shared" ca="1" si="355"/>
        <v>0</v>
      </c>
      <c r="AR122" s="541">
        <f t="shared" ca="1" si="355"/>
        <v>0</v>
      </c>
      <c r="AS122" s="541">
        <f t="shared" ca="1" si="355"/>
        <v>0</v>
      </c>
      <c r="AT122" s="541">
        <f t="shared" ca="1" si="355"/>
        <v>0</v>
      </c>
      <c r="AU122" s="541">
        <f t="shared" ca="1" si="355"/>
        <v>0</v>
      </c>
      <c r="AV122" s="541">
        <f t="shared" ca="1" si="355"/>
        <v>0</v>
      </c>
      <c r="AW122" s="541">
        <f t="shared" ca="1" si="355"/>
        <v>0</v>
      </c>
      <c r="AX122" s="541">
        <f t="shared" ca="1" si="355"/>
        <v>0</v>
      </c>
      <c r="AY122" s="541">
        <f t="shared" ca="1" si="355"/>
        <v>0</v>
      </c>
      <c r="AZ122" s="541">
        <f t="shared" ca="1" si="355"/>
        <v>0</v>
      </c>
      <c r="BA122" s="541">
        <f t="shared" ca="1" si="355"/>
        <v>0</v>
      </c>
      <c r="BB122" s="541">
        <f t="shared" ca="1" si="355"/>
        <v>0</v>
      </c>
      <c r="BC122" s="541">
        <f t="shared" ca="1" si="355"/>
        <v>0</v>
      </c>
      <c r="BD122" s="541">
        <f t="shared" ca="1" si="355"/>
        <v>0</v>
      </c>
      <c r="BE122" s="541">
        <f t="shared" ca="1" si="355"/>
        <v>0</v>
      </c>
      <c r="BF122" s="541">
        <f t="shared" ca="1" si="355"/>
        <v>0</v>
      </c>
      <c r="BG122" s="541">
        <f t="shared" ca="1" si="355"/>
        <v>0</v>
      </c>
      <c r="BH122" s="541">
        <f t="shared" ca="1" si="355"/>
        <v>0</v>
      </c>
      <c r="BI122" s="541">
        <f t="shared" ca="1" si="355"/>
        <v>0</v>
      </c>
      <c r="BJ122" s="541">
        <f t="shared" ca="1" si="355"/>
        <v>0</v>
      </c>
      <c r="BK122" s="541">
        <f t="shared" ca="1" si="355"/>
        <v>0</v>
      </c>
      <c r="BL122" s="541">
        <f t="shared" ca="1" si="355"/>
        <v>0</v>
      </c>
      <c r="BM122" s="541">
        <f t="shared" ca="1" si="355"/>
        <v>0</v>
      </c>
      <c r="BN122" s="541">
        <f t="shared" ca="1" si="355"/>
        <v>0</v>
      </c>
      <c r="BO122" s="541">
        <f t="shared" ca="1" si="355"/>
        <v>0</v>
      </c>
      <c r="BP122" s="541">
        <f t="shared" ca="1" si="355"/>
        <v>0</v>
      </c>
      <c r="BQ122" s="541">
        <f t="shared" ca="1" si="355"/>
        <v>0</v>
      </c>
      <c r="BR122" s="541">
        <f t="shared" ca="1" si="355"/>
        <v>0</v>
      </c>
      <c r="BS122" s="541">
        <f t="shared" ca="1" si="355"/>
        <v>0</v>
      </c>
      <c r="BT122" s="541">
        <f t="shared" ca="1" si="355"/>
        <v>0</v>
      </c>
      <c r="BU122" s="541">
        <f t="shared" ca="1" si="355"/>
        <v>0</v>
      </c>
      <c r="BV122" s="541">
        <f t="shared" ca="1" si="355"/>
        <v>0</v>
      </c>
      <c r="BW122" s="541">
        <f t="shared" ca="1" si="355"/>
        <v>0</v>
      </c>
      <c r="BX122" s="541">
        <f t="shared" ca="1" si="355"/>
        <v>0</v>
      </c>
      <c r="BY122" s="541">
        <f t="shared" ca="1" si="355"/>
        <v>0</v>
      </c>
      <c r="BZ122" s="541">
        <f t="shared" ca="1" si="355"/>
        <v>0</v>
      </c>
      <c r="CA122" s="541">
        <f t="shared" ca="1" si="355"/>
        <v>0</v>
      </c>
      <c r="CB122" s="541">
        <f t="shared" ca="1" si="355"/>
        <v>0</v>
      </c>
      <c r="CC122" s="541">
        <f t="shared" ca="1" si="355"/>
        <v>0</v>
      </c>
      <c r="CD122" s="541">
        <f t="shared" ca="1" si="355"/>
        <v>0</v>
      </c>
      <c r="CE122" s="541">
        <f t="shared" ca="1" si="355"/>
        <v>0</v>
      </c>
      <c r="CF122" s="541">
        <f t="shared" ca="1" si="355"/>
        <v>0</v>
      </c>
      <c r="CG122" s="541">
        <f t="shared" ca="1" si="355"/>
        <v>0</v>
      </c>
      <c r="CH122" s="541">
        <f t="shared" ca="1" si="355"/>
        <v>0</v>
      </c>
      <c r="CI122" s="541">
        <f t="shared" ca="1" si="355"/>
        <v>0</v>
      </c>
      <c r="CJ122" s="541">
        <f t="shared" ca="1" si="355"/>
        <v>0</v>
      </c>
      <c r="CK122" s="541">
        <f t="shared" ca="1" si="355"/>
        <v>0</v>
      </c>
      <c r="CL122" s="541">
        <f t="shared" ca="1" si="355"/>
        <v>0</v>
      </c>
      <c r="CN122" s="620" t="str">
        <f>IFERROR((Y122/H122)^(1/17)-1,"")</f>
        <v/>
      </c>
      <c r="CO122" s="620" t="str">
        <f>IFERROR((AN122/Y122)^(1/15)-1,"")</f>
        <v/>
      </c>
      <c r="CP122" s="620" t="str">
        <f>IFERROR((AN122/H122)^(1/32)-1,"")</f>
        <v/>
      </c>
    </row>
    <row r="123" spans="1:94" outlineLevel="1">
      <c r="A123" s="538" t="s">
        <v>255</v>
      </c>
      <c r="B123" s="538" t="s">
        <v>257</v>
      </c>
      <c r="C123" s="538" t="s">
        <v>371</v>
      </c>
      <c r="D123" s="538" t="s">
        <v>372</v>
      </c>
      <c r="E123" s="540" t="e">
        <f t="shared" ref="E123:G123" si="356">IFERROR((E121*E117)/1000,NA())</f>
        <v>#N/A</v>
      </c>
      <c r="F123" s="540" t="e">
        <f t="shared" si="356"/>
        <v>#N/A</v>
      </c>
      <c r="G123" s="540" t="e">
        <f t="shared" si="356"/>
        <v>#N/A</v>
      </c>
      <c r="H123" s="540" t="e">
        <f>IFERROR((H121*H117)/1000,NA())</f>
        <v>#N/A</v>
      </c>
      <c r="I123" s="540">
        <f ca="1">IFERROR((I121*I117)/1000,0)</f>
        <v>0</v>
      </c>
      <c r="J123" s="540">
        <f t="shared" ref="J123:BU123" si="357">IFERROR((J121*J117)/1000,0)</f>
        <v>0</v>
      </c>
      <c r="K123" s="540">
        <f t="shared" si="357"/>
        <v>0</v>
      </c>
      <c r="L123" s="540">
        <f t="shared" si="357"/>
        <v>0</v>
      </c>
      <c r="M123" s="540">
        <f t="shared" ca="1" si="357"/>
        <v>0</v>
      </c>
      <c r="N123" s="540">
        <f t="shared" ca="1" si="357"/>
        <v>0</v>
      </c>
      <c r="O123" s="540">
        <f t="shared" ca="1" si="357"/>
        <v>0</v>
      </c>
      <c r="P123" s="540">
        <f t="shared" ca="1" si="357"/>
        <v>0</v>
      </c>
      <c r="Q123" s="540">
        <f t="shared" ca="1" si="357"/>
        <v>0</v>
      </c>
      <c r="R123" s="540">
        <f t="shared" ca="1" si="357"/>
        <v>0</v>
      </c>
      <c r="S123" s="549">
        <f t="shared" ca="1" si="357"/>
        <v>0</v>
      </c>
      <c r="T123" s="549">
        <f t="shared" ca="1" si="357"/>
        <v>0</v>
      </c>
      <c r="U123" s="549">
        <f t="shared" ca="1" si="357"/>
        <v>0</v>
      </c>
      <c r="V123" s="540">
        <f t="shared" ca="1" si="357"/>
        <v>0</v>
      </c>
      <c r="W123" s="540">
        <f t="shared" ca="1" si="357"/>
        <v>0</v>
      </c>
      <c r="X123" s="540">
        <f t="shared" ca="1" si="357"/>
        <v>0</v>
      </c>
      <c r="Y123" s="540">
        <f t="shared" ca="1" si="357"/>
        <v>0</v>
      </c>
      <c r="Z123" s="540">
        <f t="shared" ca="1" si="357"/>
        <v>0</v>
      </c>
      <c r="AA123" s="540">
        <f t="shared" ca="1" si="357"/>
        <v>0</v>
      </c>
      <c r="AB123" s="540">
        <f t="shared" ca="1" si="357"/>
        <v>0</v>
      </c>
      <c r="AC123" s="540">
        <f t="shared" ca="1" si="357"/>
        <v>0</v>
      </c>
      <c r="AD123" s="540">
        <f t="shared" ca="1" si="357"/>
        <v>0</v>
      </c>
      <c r="AE123" s="540">
        <f t="shared" ca="1" si="357"/>
        <v>0</v>
      </c>
      <c r="AF123" s="540">
        <f t="shared" ca="1" si="357"/>
        <v>0</v>
      </c>
      <c r="AG123" s="540">
        <f t="shared" ca="1" si="357"/>
        <v>0</v>
      </c>
      <c r="AH123" s="540">
        <f t="shared" ca="1" si="357"/>
        <v>0</v>
      </c>
      <c r="AI123" s="540">
        <f t="shared" ca="1" si="357"/>
        <v>0</v>
      </c>
      <c r="AJ123" s="540">
        <f t="shared" ca="1" si="357"/>
        <v>0</v>
      </c>
      <c r="AK123" s="540">
        <f t="shared" ca="1" si="357"/>
        <v>0</v>
      </c>
      <c r="AL123" s="540">
        <f t="shared" ca="1" si="357"/>
        <v>0</v>
      </c>
      <c r="AM123" s="540">
        <f t="shared" ca="1" si="357"/>
        <v>0</v>
      </c>
      <c r="AN123" s="540">
        <f t="shared" ca="1" si="357"/>
        <v>0</v>
      </c>
      <c r="AO123" s="540">
        <f t="shared" ca="1" si="357"/>
        <v>0</v>
      </c>
      <c r="AP123" s="540">
        <f t="shared" ca="1" si="357"/>
        <v>0</v>
      </c>
      <c r="AQ123" s="540">
        <f t="shared" ca="1" si="357"/>
        <v>0</v>
      </c>
      <c r="AR123" s="540">
        <f t="shared" ca="1" si="357"/>
        <v>0</v>
      </c>
      <c r="AS123" s="540">
        <f t="shared" ca="1" si="357"/>
        <v>0</v>
      </c>
      <c r="AT123" s="540">
        <f t="shared" ca="1" si="357"/>
        <v>0</v>
      </c>
      <c r="AU123" s="540">
        <f t="shared" ca="1" si="357"/>
        <v>0</v>
      </c>
      <c r="AV123" s="540">
        <f t="shared" ca="1" si="357"/>
        <v>0</v>
      </c>
      <c r="AW123" s="540">
        <f t="shared" ca="1" si="357"/>
        <v>0</v>
      </c>
      <c r="AX123" s="540">
        <f t="shared" ca="1" si="357"/>
        <v>0</v>
      </c>
      <c r="AY123" s="540">
        <f t="shared" ca="1" si="357"/>
        <v>0</v>
      </c>
      <c r="AZ123" s="540">
        <f t="shared" ca="1" si="357"/>
        <v>0</v>
      </c>
      <c r="BA123" s="540">
        <f t="shared" ca="1" si="357"/>
        <v>0</v>
      </c>
      <c r="BB123" s="540">
        <f t="shared" ca="1" si="357"/>
        <v>0</v>
      </c>
      <c r="BC123" s="540">
        <f t="shared" ca="1" si="357"/>
        <v>0</v>
      </c>
      <c r="BD123" s="540">
        <f t="shared" ca="1" si="357"/>
        <v>0</v>
      </c>
      <c r="BE123" s="540">
        <f t="shared" ca="1" si="357"/>
        <v>0</v>
      </c>
      <c r="BF123" s="540">
        <f t="shared" ca="1" si="357"/>
        <v>0</v>
      </c>
      <c r="BG123" s="540">
        <f t="shared" ca="1" si="357"/>
        <v>0</v>
      </c>
      <c r="BH123" s="540">
        <f t="shared" ca="1" si="357"/>
        <v>0</v>
      </c>
      <c r="BI123" s="540">
        <f t="shared" ca="1" si="357"/>
        <v>0</v>
      </c>
      <c r="BJ123" s="540">
        <f t="shared" ca="1" si="357"/>
        <v>0</v>
      </c>
      <c r="BK123" s="540">
        <f t="shared" ca="1" si="357"/>
        <v>0</v>
      </c>
      <c r="BL123" s="540">
        <f t="shared" ca="1" si="357"/>
        <v>0</v>
      </c>
      <c r="BM123" s="540">
        <f t="shared" ca="1" si="357"/>
        <v>0</v>
      </c>
      <c r="BN123" s="540">
        <f t="shared" ca="1" si="357"/>
        <v>0</v>
      </c>
      <c r="BO123" s="540">
        <f t="shared" ca="1" si="357"/>
        <v>0</v>
      </c>
      <c r="BP123" s="540">
        <f t="shared" ca="1" si="357"/>
        <v>0</v>
      </c>
      <c r="BQ123" s="540">
        <f t="shared" ca="1" si="357"/>
        <v>0</v>
      </c>
      <c r="BR123" s="540">
        <f t="shared" ca="1" si="357"/>
        <v>0</v>
      </c>
      <c r="BS123" s="540">
        <f t="shared" ca="1" si="357"/>
        <v>0</v>
      </c>
      <c r="BT123" s="540">
        <f t="shared" ca="1" si="357"/>
        <v>0</v>
      </c>
      <c r="BU123" s="540">
        <f t="shared" ca="1" si="357"/>
        <v>0</v>
      </c>
      <c r="BV123" s="540">
        <f t="shared" ref="BV123:CL123" ca="1" si="358">IFERROR((BV121*BV117)/1000,0)</f>
        <v>0</v>
      </c>
      <c r="BW123" s="540">
        <f t="shared" ca="1" si="358"/>
        <v>0</v>
      </c>
      <c r="BX123" s="540">
        <f t="shared" ca="1" si="358"/>
        <v>0</v>
      </c>
      <c r="BY123" s="540">
        <f t="shared" ca="1" si="358"/>
        <v>0</v>
      </c>
      <c r="BZ123" s="540">
        <f t="shared" ca="1" si="358"/>
        <v>0</v>
      </c>
      <c r="CA123" s="540">
        <f t="shared" ca="1" si="358"/>
        <v>0</v>
      </c>
      <c r="CB123" s="540">
        <f t="shared" ca="1" si="358"/>
        <v>0</v>
      </c>
      <c r="CC123" s="540">
        <f t="shared" ca="1" si="358"/>
        <v>0</v>
      </c>
      <c r="CD123" s="540">
        <f t="shared" ca="1" si="358"/>
        <v>0</v>
      </c>
      <c r="CE123" s="540">
        <f t="shared" ca="1" si="358"/>
        <v>0</v>
      </c>
      <c r="CF123" s="540">
        <f t="shared" ca="1" si="358"/>
        <v>0</v>
      </c>
      <c r="CG123" s="540">
        <f t="shared" ca="1" si="358"/>
        <v>0</v>
      </c>
      <c r="CH123" s="540">
        <f t="shared" ca="1" si="358"/>
        <v>0</v>
      </c>
      <c r="CI123" s="540">
        <f t="shared" ca="1" si="358"/>
        <v>0</v>
      </c>
      <c r="CJ123" s="540">
        <f t="shared" ca="1" si="358"/>
        <v>0</v>
      </c>
      <c r="CK123" s="540">
        <f t="shared" ca="1" si="358"/>
        <v>0</v>
      </c>
      <c r="CL123" s="540">
        <f t="shared" ca="1" si="358"/>
        <v>0</v>
      </c>
      <c r="CN123" s="619" t="str">
        <f ca="1">IFERROR((Y123/H123)^(1/17)-1,"")</f>
        <v/>
      </c>
      <c r="CO123" s="619" t="str">
        <f ca="1">IFERROR((AN123/Y123)^(1/15)-1,"")</f>
        <v/>
      </c>
      <c r="CP123" s="619" t="str">
        <f ca="1">IFERROR((AN123/H123)^(1/32)-1,"")</f>
        <v/>
      </c>
    </row>
    <row r="124" spans="1:94" outlineLevel="1">
      <c r="A124" s="547" t="s">
        <v>382</v>
      </c>
      <c r="B124" s="547" t="s">
        <v>384</v>
      </c>
      <c r="C124" s="547"/>
      <c r="D124" s="547"/>
      <c r="E124" s="548" t="e">
        <f t="shared" ref="E124:AN124" si="359">IF($B$6="ON",IF(E110=covid_start-1,E113,IF(E110=covid_recovery,E113,IF(E110&gt;=covid_start,IF(E110&lt;covid_recovery,D124-(INDEX($E110:$CH123,4,MATCH(covid_start-1,$E110:$CL110,0))-INDEX($E110:$CL123,4,MATCH(covid_recovery,$E110:$CL110,0)))/(covid_recovery-covid_start+1),NA()),NA()))),NA())</f>
        <v>#N/A</v>
      </c>
      <c r="F124" s="548" t="e">
        <f t="shared" si="359"/>
        <v>#N/A</v>
      </c>
      <c r="G124" s="548" t="e">
        <f t="shared" si="359"/>
        <v>#N/A</v>
      </c>
      <c r="H124" s="548" t="e">
        <f t="shared" si="359"/>
        <v>#N/A</v>
      </c>
      <c r="I124" s="548">
        <f t="shared" ca="1" si="359"/>
        <v>0</v>
      </c>
      <c r="J124" s="548">
        <f t="shared" ca="1" si="359"/>
        <v>0</v>
      </c>
      <c r="K124" s="548">
        <f t="shared" ca="1" si="359"/>
        <v>0</v>
      </c>
      <c r="L124" s="548">
        <f t="shared" ca="1" si="359"/>
        <v>0</v>
      </c>
      <c r="M124" s="548">
        <f t="shared" ca="1" si="359"/>
        <v>0</v>
      </c>
      <c r="N124" s="548" t="e">
        <f t="shared" si="359"/>
        <v>#N/A</v>
      </c>
      <c r="O124" s="548" t="e">
        <f t="shared" si="359"/>
        <v>#N/A</v>
      </c>
      <c r="P124" s="548" t="e">
        <f t="shared" si="359"/>
        <v>#N/A</v>
      </c>
      <c r="Q124" s="548" t="e">
        <f t="shared" si="359"/>
        <v>#N/A</v>
      </c>
      <c r="R124" s="548" t="e">
        <f t="shared" si="359"/>
        <v>#N/A</v>
      </c>
      <c r="S124" s="548" t="e">
        <f t="shared" si="359"/>
        <v>#N/A</v>
      </c>
      <c r="T124" s="548" t="e">
        <f t="shared" si="359"/>
        <v>#N/A</v>
      </c>
      <c r="U124" s="548" t="e">
        <f t="shared" si="359"/>
        <v>#N/A</v>
      </c>
      <c r="V124" s="548" t="e">
        <f t="shared" si="359"/>
        <v>#N/A</v>
      </c>
      <c r="W124" s="548" t="e">
        <f t="shared" si="359"/>
        <v>#N/A</v>
      </c>
      <c r="X124" s="548" t="e">
        <f t="shared" si="359"/>
        <v>#N/A</v>
      </c>
      <c r="Y124" s="548" t="e">
        <f t="shared" si="359"/>
        <v>#N/A</v>
      </c>
      <c r="Z124" s="548" t="e">
        <f t="shared" si="359"/>
        <v>#N/A</v>
      </c>
      <c r="AA124" s="548" t="e">
        <f t="shared" si="359"/>
        <v>#N/A</v>
      </c>
      <c r="AB124" s="548" t="e">
        <f t="shared" si="359"/>
        <v>#N/A</v>
      </c>
      <c r="AC124" s="548" t="e">
        <f t="shared" si="359"/>
        <v>#N/A</v>
      </c>
      <c r="AD124" s="548" t="e">
        <f t="shared" si="359"/>
        <v>#N/A</v>
      </c>
      <c r="AE124" s="548" t="e">
        <f t="shared" si="359"/>
        <v>#N/A</v>
      </c>
      <c r="AF124" s="548" t="e">
        <f t="shared" si="359"/>
        <v>#N/A</v>
      </c>
      <c r="AG124" s="548" t="e">
        <f t="shared" si="359"/>
        <v>#N/A</v>
      </c>
      <c r="AH124" s="548" t="e">
        <f t="shared" si="359"/>
        <v>#N/A</v>
      </c>
      <c r="AI124" s="548" t="e">
        <f t="shared" si="359"/>
        <v>#N/A</v>
      </c>
      <c r="AJ124" s="548" t="e">
        <f t="shared" si="359"/>
        <v>#N/A</v>
      </c>
      <c r="AK124" s="548" t="e">
        <f t="shared" si="359"/>
        <v>#N/A</v>
      </c>
      <c r="AL124" s="548" t="e">
        <f t="shared" si="359"/>
        <v>#N/A</v>
      </c>
      <c r="AM124" s="548" t="e">
        <f t="shared" si="359"/>
        <v>#N/A</v>
      </c>
      <c r="AN124" s="548" t="e">
        <f t="shared" si="359"/>
        <v>#N/A</v>
      </c>
      <c r="AO124" s="541"/>
      <c r="AP124" s="541"/>
      <c r="AQ124" s="541"/>
      <c r="AR124" s="541"/>
      <c r="AS124" s="541"/>
      <c r="AT124" s="541"/>
      <c r="AU124" s="541"/>
      <c r="AV124" s="541"/>
      <c r="AW124" s="541"/>
      <c r="AX124" s="541"/>
      <c r="AY124" s="541"/>
      <c r="AZ124" s="541"/>
      <c r="BA124" s="541"/>
      <c r="BB124" s="541"/>
      <c r="BC124" s="541"/>
      <c r="BD124" s="541"/>
      <c r="BE124" s="541"/>
      <c r="BF124" s="541"/>
      <c r="BG124" s="541"/>
      <c r="BH124" s="541"/>
      <c r="BI124" s="541"/>
      <c r="BJ124" s="541"/>
      <c r="BK124" s="541"/>
      <c r="BL124" s="541"/>
      <c r="BM124" s="541"/>
      <c r="BN124" s="541"/>
      <c r="BO124" s="541"/>
      <c r="BP124" s="541"/>
      <c r="BQ124" s="541"/>
      <c r="BR124" s="541"/>
      <c r="BS124" s="541"/>
      <c r="BT124" s="541"/>
      <c r="BU124" s="541"/>
      <c r="BV124" s="541"/>
      <c r="BW124" s="541"/>
      <c r="BX124" s="541"/>
      <c r="BY124" s="541"/>
      <c r="BZ124" s="541"/>
      <c r="CA124" s="541"/>
      <c r="CB124" s="541"/>
      <c r="CC124" s="541"/>
      <c r="CD124" s="541"/>
      <c r="CE124" s="541"/>
      <c r="CF124" s="541"/>
      <c r="CG124" s="541"/>
      <c r="CH124" s="541"/>
      <c r="CI124" s="541"/>
      <c r="CJ124" s="541"/>
      <c r="CK124" s="541"/>
      <c r="CL124" s="541"/>
      <c r="CN124" s="621" t="str">
        <f t="shared" ref="CN124:CN125" si="360">IFERROR((Y124/H124)^(1/17)-1,"")</f>
        <v/>
      </c>
      <c r="CO124" s="621" t="str">
        <f t="shared" ref="CO124:CO125" si="361">IFERROR((AN124/Y124)^(1/15)-1,"")</f>
        <v/>
      </c>
      <c r="CP124" s="621" t="str">
        <f t="shared" ref="CP124:CP125" si="362">IFERROR((AN124/H124)^(1/32)-1,"")</f>
        <v/>
      </c>
    </row>
    <row r="125" spans="1:94" outlineLevel="1">
      <c r="A125" s="535" t="s">
        <v>383</v>
      </c>
      <c r="B125" s="535" t="s">
        <v>384</v>
      </c>
      <c r="C125" s="535"/>
      <c r="D125" s="535"/>
      <c r="E125" s="541" t="e">
        <f t="shared" ref="E125:AN125" si="363">IF($B$6="ON",IF(E110=covid_start-1,E121,IF(E110=covid_recovery,E121,IF(E110&gt;=covid_start,IF(E110&lt;covid_recovery,D125-(INDEX($E110:$CH123,12,MATCH(covid_start-1,$E110:$CL110,0))-INDEX($E110:$CL123,12,MATCH(covid_recovery,$E110:$CL110,0)))/(covid_recovery-covid_start+1),NA()),NA()))),NA())</f>
        <v>#N/A</v>
      </c>
      <c r="F125" s="541" t="e">
        <f t="shared" si="363"/>
        <v>#N/A</v>
      </c>
      <c r="G125" s="541" t="e">
        <f t="shared" si="363"/>
        <v>#N/A</v>
      </c>
      <c r="H125" s="541" t="e">
        <f t="shared" si="363"/>
        <v>#N/A</v>
      </c>
      <c r="I125" s="541">
        <f t="shared" ca="1" si="363"/>
        <v>0</v>
      </c>
      <c r="J125" s="541">
        <f t="shared" ca="1" si="363"/>
        <v>0</v>
      </c>
      <c r="K125" s="541">
        <f t="shared" ca="1" si="363"/>
        <v>0</v>
      </c>
      <c r="L125" s="541">
        <f t="shared" ca="1" si="363"/>
        <v>0</v>
      </c>
      <c r="M125" s="541">
        <f t="shared" ca="1" si="363"/>
        <v>0</v>
      </c>
      <c r="N125" s="541" t="e">
        <f t="shared" si="363"/>
        <v>#N/A</v>
      </c>
      <c r="O125" s="541" t="e">
        <f t="shared" si="363"/>
        <v>#N/A</v>
      </c>
      <c r="P125" s="541" t="e">
        <f t="shared" si="363"/>
        <v>#N/A</v>
      </c>
      <c r="Q125" s="541" t="e">
        <f t="shared" si="363"/>
        <v>#N/A</v>
      </c>
      <c r="R125" s="541" t="e">
        <f t="shared" si="363"/>
        <v>#N/A</v>
      </c>
      <c r="S125" s="541" t="e">
        <f t="shared" si="363"/>
        <v>#N/A</v>
      </c>
      <c r="T125" s="541" t="e">
        <f t="shared" si="363"/>
        <v>#N/A</v>
      </c>
      <c r="U125" s="541" t="e">
        <f t="shared" si="363"/>
        <v>#N/A</v>
      </c>
      <c r="V125" s="541" t="e">
        <f t="shared" si="363"/>
        <v>#N/A</v>
      </c>
      <c r="W125" s="541" t="e">
        <f t="shared" si="363"/>
        <v>#N/A</v>
      </c>
      <c r="X125" s="541" t="e">
        <f t="shared" si="363"/>
        <v>#N/A</v>
      </c>
      <c r="Y125" s="541" t="e">
        <f t="shared" si="363"/>
        <v>#N/A</v>
      </c>
      <c r="Z125" s="541" t="e">
        <f t="shared" si="363"/>
        <v>#N/A</v>
      </c>
      <c r="AA125" s="541" t="e">
        <f t="shared" si="363"/>
        <v>#N/A</v>
      </c>
      <c r="AB125" s="541" t="e">
        <f t="shared" si="363"/>
        <v>#N/A</v>
      </c>
      <c r="AC125" s="541" t="e">
        <f t="shared" si="363"/>
        <v>#N/A</v>
      </c>
      <c r="AD125" s="541" t="e">
        <f t="shared" si="363"/>
        <v>#N/A</v>
      </c>
      <c r="AE125" s="541" t="e">
        <f t="shared" si="363"/>
        <v>#N/A</v>
      </c>
      <c r="AF125" s="541" t="e">
        <f t="shared" si="363"/>
        <v>#N/A</v>
      </c>
      <c r="AG125" s="541" t="e">
        <f t="shared" si="363"/>
        <v>#N/A</v>
      </c>
      <c r="AH125" s="541" t="e">
        <f t="shared" si="363"/>
        <v>#N/A</v>
      </c>
      <c r="AI125" s="541" t="e">
        <f t="shared" si="363"/>
        <v>#N/A</v>
      </c>
      <c r="AJ125" s="541" t="e">
        <f t="shared" si="363"/>
        <v>#N/A</v>
      </c>
      <c r="AK125" s="541" t="e">
        <f t="shared" si="363"/>
        <v>#N/A</v>
      </c>
      <c r="AL125" s="541" t="e">
        <f t="shared" si="363"/>
        <v>#N/A</v>
      </c>
      <c r="AM125" s="541" t="e">
        <f t="shared" si="363"/>
        <v>#N/A</v>
      </c>
      <c r="AN125" s="541" t="e">
        <f t="shared" si="363"/>
        <v>#N/A</v>
      </c>
      <c r="AO125" s="541"/>
      <c r="AP125" s="541"/>
      <c r="AQ125" s="541"/>
      <c r="AR125" s="541"/>
      <c r="AS125" s="541"/>
      <c r="AT125" s="541"/>
      <c r="AU125" s="541"/>
      <c r="AV125" s="541"/>
      <c r="AW125" s="541"/>
      <c r="AX125" s="541"/>
      <c r="AY125" s="541"/>
      <c r="AZ125" s="541"/>
      <c r="BA125" s="541"/>
      <c r="BB125" s="541"/>
      <c r="BC125" s="541"/>
      <c r="BD125" s="541"/>
      <c r="BE125" s="541"/>
      <c r="BF125" s="541"/>
      <c r="BG125" s="541"/>
      <c r="BH125" s="541"/>
      <c r="BI125" s="541"/>
      <c r="BJ125" s="541"/>
      <c r="BK125" s="541"/>
      <c r="BL125" s="541"/>
      <c r="BM125" s="541"/>
      <c r="BN125" s="541"/>
      <c r="BO125" s="541"/>
      <c r="BP125" s="541"/>
      <c r="BQ125" s="541"/>
      <c r="BR125" s="541"/>
      <c r="BS125" s="541"/>
      <c r="BT125" s="541"/>
      <c r="BU125" s="541"/>
      <c r="BV125" s="541"/>
      <c r="BW125" s="541"/>
      <c r="BX125" s="541"/>
      <c r="BY125" s="541"/>
      <c r="BZ125" s="541"/>
      <c r="CA125" s="541"/>
      <c r="CB125" s="541"/>
      <c r="CC125" s="541"/>
      <c r="CD125" s="541"/>
      <c r="CE125" s="541"/>
      <c r="CF125" s="541"/>
      <c r="CG125" s="541"/>
      <c r="CH125" s="541"/>
      <c r="CI125" s="541"/>
      <c r="CJ125" s="541"/>
      <c r="CK125" s="541"/>
      <c r="CL125" s="541"/>
      <c r="CN125" s="620" t="str">
        <f t="shared" si="360"/>
        <v/>
      </c>
      <c r="CO125" s="620" t="str">
        <f t="shared" si="361"/>
        <v/>
      </c>
      <c r="CP125" s="620" t="str">
        <f t="shared" si="362"/>
        <v/>
      </c>
    </row>
    <row r="126" spans="1:94" ht="16.5" hidden="1" thickBot="1">
      <c r="A126" s="582" t="s">
        <v>489</v>
      </c>
      <c r="B126" s="582"/>
      <c r="C126" s="582"/>
      <c r="D126" s="582"/>
      <c r="E126" s="583">
        <v>2015</v>
      </c>
      <c r="F126" s="584">
        <f>E126+1</f>
        <v>2016</v>
      </c>
      <c r="G126" s="584">
        <f t="shared" ref="G126:I126" si="364">F126+1</f>
        <v>2017</v>
      </c>
      <c r="H126" s="584">
        <f t="shared" si="364"/>
        <v>2018</v>
      </c>
      <c r="I126" s="584">
        <f t="shared" si="364"/>
        <v>2019</v>
      </c>
      <c r="J126" s="584">
        <f>E126+5</f>
        <v>2020</v>
      </c>
      <c r="K126" s="584">
        <f>J126+1</f>
        <v>2021</v>
      </c>
      <c r="L126" s="584">
        <f t="shared" ref="L126:N126" si="365">K126+1</f>
        <v>2022</v>
      </c>
      <c r="M126" s="584">
        <f t="shared" si="365"/>
        <v>2023</v>
      </c>
      <c r="N126" s="584">
        <f t="shared" si="365"/>
        <v>2024</v>
      </c>
      <c r="O126" s="584">
        <f>J126+5</f>
        <v>2025</v>
      </c>
      <c r="P126" s="584">
        <f>O126+1</f>
        <v>2026</v>
      </c>
      <c r="Q126" s="584">
        <f t="shared" ref="Q126:S126" si="366">P126+1</f>
        <v>2027</v>
      </c>
      <c r="R126" s="584">
        <f t="shared" si="366"/>
        <v>2028</v>
      </c>
      <c r="S126" s="584">
        <f t="shared" si="366"/>
        <v>2029</v>
      </c>
      <c r="T126" s="584">
        <f>O126+5</f>
        <v>2030</v>
      </c>
      <c r="U126" s="584">
        <f>T126+1</f>
        <v>2031</v>
      </c>
      <c r="V126" s="584">
        <f t="shared" ref="V126:X126" si="367">U126+1</f>
        <v>2032</v>
      </c>
      <c r="W126" s="584">
        <f t="shared" si="367"/>
        <v>2033</v>
      </c>
      <c r="X126" s="584">
        <f t="shared" si="367"/>
        <v>2034</v>
      </c>
      <c r="Y126" s="584">
        <f>T126+5</f>
        <v>2035</v>
      </c>
      <c r="Z126" s="584">
        <f>Y126+1</f>
        <v>2036</v>
      </c>
      <c r="AA126" s="584">
        <f t="shared" ref="AA126:AC126" si="368">Z126+1</f>
        <v>2037</v>
      </c>
      <c r="AB126" s="584">
        <f t="shared" si="368"/>
        <v>2038</v>
      </c>
      <c r="AC126" s="584">
        <f t="shared" si="368"/>
        <v>2039</v>
      </c>
      <c r="AD126" s="584">
        <f>Y126+5</f>
        <v>2040</v>
      </c>
      <c r="AE126" s="584">
        <f>AD126+1</f>
        <v>2041</v>
      </c>
      <c r="AF126" s="584">
        <f t="shared" ref="AF126:AH126" si="369">AE126+1</f>
        <v>2042</v>
      </c>
      <c r="AG126" s="584">
        <f t="shared" si="369"/>
        <v>2043</v>
      </c>
      <c r="AH126" s="584">
        <f t="shared" si="369"/>
        <v>2044</v>
      </c>
      <c r="AI126" s="584">
        <f>AD126+5</f>
        <v>2045</v>
      </c>
      <c r="AJ126" s="584">
        <f>AI126+1</f>
        <v>2046</v>
      </c>
      <c r="AK126" s="584">
        <f t="shared" ref="AK126:AM126" si="370">AJ126+1</f>
        <v>2047</v>
      </c>
      <c r="AL126" s="584">
        <f t="shared" si="370"/>
        <v>2048</v>
      </c>
      <c r="AM126" s="584">
        <f t="shared" si="370"/>
        <v>2049</v>
      </c>
      <c r="AN126" s="584">
        <f>AI126+5</f>
        <v>2050</v>
      </c>
      <c r="AO126" s="584">
        <f>AN126+1</f>
        <v>2051</v>
      </c>
      <c r="AP126" s="584">
        <f t="shared" ref="AP126:AR126" si="371">AO126+1</f>
        <v>2052</v>
      </c>
      <c r="AQ126" s="584">
        <f t="shared" si="371"/>
        <v>2053</v>
      </c>
      <c r="AR126" s="584">
        <f t="shared" si="371"/>
        <v>2054</v>
      </c>
      <c r="AS126" s="584">
        <f>AN126+5</f>
        <v>2055</v>
      </c>
      <c r="AT126" s="584">
        <f>AS126+1</f>
        <v>2056</v>
      </c>
      <c r="AU126" s="584">
        <f t="shared" ref="AU126:AW126" si="372">AT126+1</f>
        <v>2057</v>
      </c>
      <c r="AV126" s="584">
        <f t="shared" si="372"/>
        <v>2058</v>
      </c>
      <c r="AW126" s="584">
        <f t="shared" si="372"/>
        <v>2059</v>
      </c>
      <c r="AX126" s="584">
        <f>AS126+5</f>
        <v>2060</v>
      </c>
      <c r="AY126" s="584">
        <f>AX126+1</f>
        <v>2061</v>
      </c>
      <c r="AZ126" s="584">
        <f t="shared" ref="AZ126:BB126" si="373">AY126+1</f>
        <v>2062</v>
      </c>
      <c r="BA126" s="584">
        <f t="shared" si="373"/>
        <v>2063</v>
      </c>
      <c r="BB126" s="584">
        <f t="shared" si="373"/>
        <v>2064</v>
      </c>
      <c r="BC126" s="584">
        <f>AX126+5</f>
        <v>2065</v>
      </c>
      <c r="BD126" s="584">
        <f>BC126+1</f>
        <v>2066</v>
      </c>
      <c r="BE126" s="584">
        <f t="shared" ref="BE126:BG126" si="374">BD126+1</f>
        <v>2067</v>
      </c>
      <c r="BF126" s="584">
        <f t="shared" si="374"/>
        <v>2068</v>
      </c>
      <c r="BG126" s="584">
        <f t="shared" si="374"/>
        <v>2069</v>
      </c>
      <c r="BH126" s="584">
        <f>BC126+5</f>
        <v>2070</v>
      </c>
      <c r="BI126" s="584">
        <f>BH126+1</f>
        <v>2071</v>
      </c>
      <c r="BJ126" s="584">
        <f t="shared" ref="BJ126:BL126" si="375">BI126+1</f>
        <v>2072</v>
      </c>
      <c r="BK126" s="584">
        <f t="shared" si="375"/>
        <v>2073</v>
      </c>
      <c r="BL126" s="584">
        <f t="shared" si="375"/>
        <v>2074</v>
      </c>
      <c r="BM126" s="584">
        <f>BH126+5</f>
        <v>2075</v>
      </c>
      <c r="BN126" s="584">
        <f>BM126+1</f>
        <v>2076</v>
      </c>
      <c r="BO126" s="584">
        <f t="shared" ref="BO126:BQ126" si="376">BN126+1</f>
        <v>2077</v>
      </c>
      <c r="BP126" s="584">
        <f t="shared" si="376"/>
        <v>2078</v>
      </c>
      <c r="BQ126" s="584">
        <f t="shared" si="376"/>
        <v>2079</v>
      </c>
      <c r="BR126" s="584">
        <f>BM126+5</f>
        <v>2080</v>
      </c>
      <c r="BS126" s="584">
        <f>BR126+1</f>
        <v>2081</v>
      </c>
      <c r="BT126" s="584">
        <f t="shared" ref="BT126:BV126" si="377">BS126+1</f>
        <v>2082</v>
      </c>
      <c r="BU126" s="584">
        <f t="shared" si="377"/>
        <v>2083</v>
      </c>
      <c r="BV126" s="584">
        <f t="shared" si="377"/>
        <v>2084</v>
      </c>
      <c r="BW126" s="584">
        <f>BR126+5</f>
        <v>2085</v>
      </c>
      <c r="BX126" s="584">
        <f>BW126+1</f>
        <v>2086</v>
      </c>
      <c r="BY126" s="584">
        <f t="shared" ref="BY126:CA126" si="378">BX126+1</f>
        <v>2087</v>
      </c>
      <c r="BZ126" s="584">
        <f t="shared" si="378"/>
        <v>2088</v>
      </c>
      <c r="CA126" s="584">
        <f t="shared" si="378"/>
        <v>2089</v>
      </c>
      <c r="CB126" s="584">
        <f>BW126+5</f>
        <v>2090</v>
      </c>
      <c r="CC126" s="584">
        <f>CB126+1</f>
        <v>2091</v>
      </c>
      <c r="CD126" s="584">
        <f t="shared" ref="CD126:CF126" si="379">CC126+1</f>
        <v>2092</v>
      </c>
      <c r="CE126" s="584">
        <f t="shared" si="379"/>
        <v>2093</v>
      </c>
      <c r="CF126" s="584">
        <f t="shared" si="379"/>
        <v>2094</v>
      </c>
      <c r="CG126" s="584">
        <f>CB126+5</f>
        <v>2095</v>
      </c>
      <c r="CH126" s="584">
        <f>CG126+1</f>
        <v>2096</v>
      </c>
      <c r="CI126" s="584">
        <f t="shared" ref="CI126:CK126" si="380">CH126+1</f>
        <v>2097</v>
      </c>
      <c r="CJ126" s="584">
        <f t="shared" si="380"/>
        <v>2098</v>
      </c>
      <c r="CK126" s="584">
        <f t="shared" si="380"/>
        <v>2099</v>
      </c>
      <c r="CL126" s="584">
        <f>CG126+5</f>
        <v>2100</v>
      </c>
      <c r="CN126" s="628" t="s">
        <v>409</v>
      </c>
      <c r="CO126" s="628" t="s">
        <v>411</v>
      </c>
      <c r="CP126" s="628" t="s">
        <v>410</v>
      </c>
    </row>
    <row r="127" spans="1:94" s="586" customFormat="1" outlineLevel="1">
      <c r="A127" s="538" t="s">
        <v>419</v>
      </c>
      <c r="B127" s="538" t="s">
        <v>420</v>
      </c>
      <c r="C127" s="538" t="s">
        <v>422</v>
      </c>
      <c r="D127" s="538"/>
      <c r="E127" s="540"/>
      <c r="F127" s="540"/>
      <c r="G127" s="540"/>
      <c r="H127" s="540"/>
      <c r="I127" s="540">
        <f t="shared" ref="I127:AN127" ca="1" si="381">IF(I42&lt;sector_base,NA(),IF($B$6="ON", IF(I42&gt;=covid_start, IF(I42&lt;covid_recovery,NA(),IFERROR(I115+(I114*I120),0)),IFERROR(I115+(I114*I120),0)),IFERROR(I115+(I114*I120),0)))</f>
        <v>0</v>
      </c>
      <c r="J127" s="540" t="e">
        <f t="shared" si="381"/>
        <v>#N/A</v>
      </c>
      <c r="K127" s="540" t="e">
        <f t="shared" si="381"/>
        <v>#N/A</v>
      </c>
      <c r="L127" s="540" t="e">
        <f t="shared" si="381"/>
        <v>#N/A</v>
      </c>
      <c r="M127" s="540">
        <f t="shared" ca="1" si="381"/>
        <v>0</v>
      </c>
      <c r="N127" s="540">
        <f t="shared" ca="1" si="381"/>
        <v>0</v>
      </c>
      <c r="O127" s="540">
        <f t="shared" ca="1" si="381"/>
        <v>0</v>
      </c>
      <c r="P127" s="540">
        <f t="shared" ca="1" si="381"/>
        <v>0</v>
      </c>
      <c r="Q127" s="540">
        <f t="shared" ca="1" si="381"/>
        <v>0</v>
      </c>
      <c r="R127" s="540">
        <f t="shared" ca="1" si="381"/>
        <v>0</v>
      </c>
      <c r="S127" s="549">
        <f t="shared" ca="1" si="381"/>
        <v>0</v>
      </c>
      <c r="T127" s="549">
        <f t="shared" ca="1" si="381"/>
        <v>0</v>
      </c>
      <c r="U127" s="549">
        <f t="shared" ca="1" si="381"/>
        <v>0</v>
      </c>
      <c r="V127" s="540">
        <f t="shared" ca="1" si="381"/>
        <v>0</v>
      </c>
      <c r="W127" s="540">
        <f t="shared" ca="1" si="381"/>
        <v>0</v>
      </c>
      <c r="X127" s="540">
        <f t="shared" ca="1" si="381"/>
        <v>0</v>
      </c>
      <c r="Y127" s="540">
        <f t="shared" ca="1" si="381"/>
        <v>0</v>
      </c>
      <c r="Z127" s="540">
        <f t="shared" ca="1" si="381"/>
        <v>0</v>
      </c>
      <c r="AA127" s="540">
        <f t="shared" ca="1" si="381"/>
        <v>0</v>
      </c>
      <c r="AB127" s="540">
        <f t="shared" ca="1" si="381"/>
        <v>0</v>
      </c>
      <c r="AC127" s="540">
        <f t="shared" ca="1" si="381"/>
        <v>0</v>
      </c>
      <c r="AD127" s="540">
        <f t="shared" ca="1" si="381"/>
        <v>0</v>
      </c>
      <c r="AE127" s="540">
        <f t="shared" ca="1" si="381"/>
        <v>0</v>
      </c>
      <c r="AF127" s="540">
        <f t="shared" ca="1" si="381"/>
        <v>0</v>
      </c>
      <c r="AG127" s="540">
        <f t="shared" ca="1" si="381"/>
        <v>0</v>
      </c>
      <c r="AH127" s="540">
        <f t="shared" ca="1" si="381"/>
        <v>0</v>
      </c>
      <c r="AI127" s="540">
        <f t="shared" ca="1" si="381"/>
        <v>0</v>
      </c>
      <c r="AJ127" s="540">
        <f t="shared" ca="1" si="381"/>
        <v>0</v>
      </c>
      <c r="AK127" s="540">
        <f t="shared" ca="1" si="381"/>
        <v>0</v>
      </c>
      <c r="AL127" s="540">
        <f t="shared" ca="1" si="381"/>
        <v>0</v>
      </c>
      <c r="AM127" s="540">
        <f t="shared" ca="1" si="381"/>
        <v>0</v>
      </c>
      <c r="AN127" s="540">
        <f t="shared" ca="1" si="381"/>
        <v>0</v>
      </c>
      <c r="AO127" s="540">
        <f t="shared" ref="AO127:BT127" ca="1" si="382">IF(AO42&lt;sector_base,NA(),IF($B$6="ON", IF(AO42&gt;=covid_start, IF(AO42&lt;covid_recovery,NA(),IFERROR(AO115+(AO114*AO120),0)),IFERROR(AO115+(AO114*AO120),0)),IFERROR(AO115+(AO114*AO120),0)))</f>
        <v>0</v>
      </c>
      <c r="AP127" s="540">
        <f t="shared" ca="1" si="382"/>
        <v>0</v>
      </c>
      <c r="AQ127" s="540">
        <f t="shared" ca="1" si="382"/>
        <v>0</v>
      </c>
      <c r="AR127" s="540">
        <f t="shared" ca="1" si="382"/>
        <v>0</v>
      </c>
      <c r="AS127" s="540">
        <f t="shared" ca="1" si="382"/>
        <v>0</v>
      </c>
      <c r="AT127" s="540">
        <f t="shared" ca="1" si="382"/>
        <v>0</v>
      </c>
      <c r="AU127" s="540">
        <f t="shared" ca="1" si="382"/>
        <v>0</v>
      </c>
      <c r="AV127" s="540">
        <f t="shared" ca="1" si="382"/>
        <v>0</v>
      </c>
      <c r="AW127" s="540">
        <f t="shared" ca="1" si="382"/>
        <v>0</v>
      </c>
      <c r="AX127" s="540">
        <f t="shared" ca="1" si="382"/>
        <v>0</v>
      </c>
      <c r="AY127" s="540">
        <f t="shared" ca="1" si="382"/>
        <v>0</v>
      </c>
      <c r="AZ127" s="540">
        <f t="shared" ca="1" si="382"/>
        <v>0</v>
      </c>
      <c r="BA127" s="540">
        <f t="shared" ca="1" si="382"/>
        <v>0</v>
      </c>
      <c r="BB127" s="540">
        <f t="shared" ca="1" si="382"/>
        <v>0</v>
      </c>
      <c r="BC127" s="540">
        <f t="shared" ca="1" si="382"/>
        <v>0</v>
      </c>
      <c r="BD127" s="540">
        <f t="shared" ca="1" si="382"/>
        <v>0</v>
      </c>
      <c r="BE127" s="540">
        <f t="shared" ca="1" si="382"/>
        <v>0</v>
      </c>
      <c r="BF127" s="540">
        <f t="shared" ca="1" si="382"/>
        <v>0</v>
      </c>
      <c r="BG127" s="540">
        <f t="shared" ca="1" si="382"/>
        <v>0</v>
      </c>
      <c r="BH127" s="540">
        <f t="shared" ca="1" si="382"/>
        <v>0</v>
      </c>
      <c r="BI127" s="540">
        <f t="shared" ca="1" si="382"/>
        <v>0</v>
      </c>
      <c r="BJ127" s="540">
        <f t="shared" ca="1" si="382"/>
        <v>0</v>
      </c>
      <c r="BK127" s="540">
        <f t="shared" ca="1" si="382"/>
        <v>0</v>
      </c>
      <c r="BL127" s="540">
        <f t="shared" ca="1" si="382"/>
        <v>0</v>
      </c>
      <c r="BM127" s="540">
        <f t="shared" ca="1" si="382"/>
        <v>0</v>
      </c>
      <c r="BN127" s="540">
        <f t="shared" ca="1" si="382"/>
        <v>0</v>
      </c>
      <c r="BO127" s="540">
        <f t="shared" ca="1" si="382"/>
        <v>0</v>
      </c>
      <c r="BP127" s="540">
        <f t="shared" ca="1" si="382"/>
        <v>0</v>
      </c>
      <c r="BQ127" s="540">
        <f t="shared" ca="1" si="382"/>
        <v>0</v>
      </c>
      <c r="BR127" s="540">
        <f t="shared" ca="1" si="382"/>
        <v>0</v>
      </c>
      <c r="BS127" s="540">
        <f t="shared" ca="1" si="382"/>
        <v>0</v>
      </c>
      <c r="BT127" s="540">
        <f t="shared" ca="1" si="382"/>
        <v>0</v>
      </c>
      <c r="BU127" s="540">
        <f t="shared" ref="BU127:CL127" ca="1" si="383">IF(BU42&lt;sector_base,NA(),IF($B$6="ON", IF(BU42&gt;=covid_start, IF(BU42&lt;covid_recovery,NA(),IFERROR(BU115+(BU114*BU120),0)),IFERROR(BU115+(BU114*BU120),0)),IFERROR(BU115+(BU114*BU120),0)))</f>
        <v>0</v>
      </c>
      <c r="BV127" s="540">
        <f t="shared" ca="1" si="383"/>
        <v>0</v>
      </c>
      <c r="BW127" s="540">
        <f t="shared" ca="1" si="383"/>
        <v>0</v>
      </c>
      <c r="BX127" s="540">
        <f t="shared" ca="1" si="383"/>
        <v>0</v>
      </c>
      <c r="BY127" s="540">
        <f t="shared" ca="1" si="383"/>
        <v>0</v>
      </c>
      <c r="BZ127" s="540">
        <f t="shared" ca="1" si="383"/>
        <v>0</v>
      </c>
      <c r="CA127" s="540">
        <f t="shared" ca="1" si="383"/>
        <v>0</v>
      </c>
      <c r="CB127" s="540">
        <f t="shared" ca="1" si="383"/>
        <v>0</v>
      </c>
      <c r="CC127" s="540">
        <f t="shared" ca="1" si="383"/>
        <v>0</v>
      </c>
      <c r="CD127" s="540">
        <f t="shared" ca="1" si="383"/>
        <v>0</v>
      </c>
      <c r="CE127" s="540">
        <f t="shared" ca="1" si="383"/>
        <v>0</v>
      </c>
      <c r="CF127" s="540">
        <f t="shared" ca="1" si="383"/>
        <v>0</v>
      </c>
      <c r="CG127" s="540">
        <f t="shared" ca="1" si="383"/>
        <v>0</v>
      </c>
      <c r="CH127" s="540">
        <f t="shared" ca="1" si="383"/>
        <v>0</v>
      </c>
      <c r="CI127" s="540">
        <f t="shared" ca="1" si="383"/>
        <v>0</v>
      </c>
      <c r="CJ127" s="540">
        <f t="shared" ca="1" si="383"/>
        <v>0</v>
      </c>
      <c r="CK127" s="540">
        <f t="shared" ca="1" si="383"/>
        <v>0</v>
      </c>
      <c r="CL127" s="540">
        <f t="shared" ca="1" si="383"/>
        <v>0</v>
      </c>
      <c r="CM127" s="596"/>
      <c r="CN127" s="619"/>
      <c r="CO127" s="619"/>
      <c r="CP127" s="619"/>
    </row>
    <row r="128" spans="1:94" outlineLevel="1">
      <c r="A128" s="538" t="s">
        <v>419</v>
      </c>
      <c r="B128" s="538" t="s">
        <v>421</v>
      </c>
      <c r="C128" s="538" t="s">
        <v>2</v>
      </c>
      <c r="D128" s="538"/>
      <c r="E128" s="540"/>
      <c r="F128" s="540"/>
      <c r="G128" s="540"/>
      <c r="H128" s="540"/>
      <c r="I128" s="540" t="e">
        <f t="shared" ref="I128:BT128" ca="1" si="384">(I127*I117)/1000</f>
        <v>#REF!</v>
      </c>
      <c r="J128" s="540" t="e">
        <f t="shared" si="384"/>
        <v>#N/A</v>
      </c>
      <c r="K128" s="540" t="e">
        <f t="shared" si="384"/>
        <v>#N/A</v>
      </c>
      <c r="L128" s="540" t="e">
        <f t="shared" si="384"/>
        <v>#N/A</v>
      </c>
      <c r="M128" s="540" t="e">
        <f t="shared" ca="1" si="384"/>
        <v>#REF!</v>
      </c>
      <c r="N128" s="540" t="e">
        <f t="shared" ca="1" si="384"/>
        <v>#REF!</v>
      </c>
      <c r="O128" s="540" t="e">
        <f t="shared" ca="1" si="384"/>
        <v>#REF!</v>
      </c>
      <c r="P128" s="540" t="e">
        <f t="shared" ca="1" si="384"/>
        <v>#REF!</v>
      </c>
      <c r="Q128" s="540" t="e">
        <f t="shared" ca="1" si="384"/>
        <v>#REF!</v>
      </c>
      <c r="R128" s="540" t="e">
        <f t="shared" ca="1" si="384"/>
        <v>#REF!</v>
      </c>
      <c r="S128" s="549" t="e">
        <f t="shared" ca="1" si="384"/>
        <v>#REF!</v>
      </c>
      <c r="T128" s="549" t="e">
        <f t="shared" ca="1" si="384"/>
        <v>#REF!</v>
      </c>
      <c r="U128" s="549" t="e">
        <f t="shared" ca="1" si="384"/>
        <v>#REF!</v>
      </c>
      <c r="V128" s="540" t="e">
        <f t="shared" ca="1" si="384"/>
        <v>#REF!</v>
      </c>
      <c r="W128" s="540" t="e">
        <f t="shared" ca="1" si="384"/>
        <v>#REF!</v>
      </c>
      <c r="X128" s="540" t="e">
        <f t="shared" ca="1" si="384"/>
        <v>#REF!</v>
      </c>
      <c r="Y128" s="540" t="e">
        <f t="shared" ca="1" si="384"/>
        <v>#REF!</v>
      </c>
      <c r="Z128" s="540" t="e">
        <f t="shared" ca="1" si="384"/>
        <v>#REF!</v>
      </c>
      <c r="AA128" s="540" t="e">
        <f t="shared" ca="1" si="384"/>
        <v>#REF!</v>
      </c>
      <c r="AB128" s="540" t="e">
        <f t="shared" ca="1" si="384"/>
        <v>#REF!</v>
      </c>
      <c r="AC128" s="540" t="e">
        <f t="shared" ca="1" si="384"/>
        <v>#REF!</v>
      </c>
      <c r="AD128" s="540" t="e">
        <f t="shared" ca="1" si="384"/>
        <v>#REF!</v>
      </c>
      <c r="AE128" s="540" t="e">
        <f t="shared" ca="1" si="384"/>
        <v>#REF!</v>
      </c>
      <c r="AF128" s="540" t="e">
        <f t="shared" ca="1" si="384"/>
        <v>#REF!</v>
      </c>
      <c r="AG128" s="540" t="e">
        <f t="shared" ca="1" si="384"/>
        <v>#REF!</v>
      </c>
      <c r="AH128" s="540" t="e">
        <f t="shared" ca="1" si="384"/>
        <v>#REF!</v>
      </c>
      <c r="AI128" s="540" t="e">
        <f t="shared" ca="1" si="384"/>
        <v>#REF!</v>
      </c>
      <c r="AJ128" s="540" t="e">
        <f t="shared" ca="1" si="384"/>
        <v>#REF!</v>
      </c>
      <c r="AK128" s="540" t="e">
        <f t="shared" ca="1" si="384"/>
        <v>#REF!</v>
      </c>
      <c r="AL128" s="540" t="e">
        <f t="shared" ca="1" si="384"/>
        <v>#REF!</v>
      </c>
      <c r="AM128" s="540" t="e">
        <f t="shared" ca="1" si="384"/>
        <v>#REF!</v>
      </c>
      <c r="AN128" s="540" t="e">
        <f t="shared" ca="1" si="384"/>
        <v>#REF!</v>
      </c>
      <c r="AO128" s="540" t="e">
        <f t="shared" ca="1" si="384"/>
        <v>#REF!</v>
      </c>
      <c r="AP128" s="540" t="e">
        <f t="shared" ca="1" si="384"/>
        <v>#REF!</v>
      </c>
      <c r="AQ128" s="540" t="e">
        <f t="shared" ca="1" si="384"/>
        <v>#REF!</v>
      </c>
      <c r="AR128" s="540" t="e">
        <f t="shared" ca="1" si="384"/>
        <v>#REF!</v>
      </c>
      <c r="AS128" s="540" t="e">
        <f t="shared" ca="1" si="384"/>
        <v>#REF!</v>
      </c>
      <c r="AT128" s="540" t="e">
        <f t="shared" ca="1" si="384"/>
        <v>#REF!</v>
      </c>
      <c r="AU128" s="540" t="e">
        <f t="shared" ca="1" si="384"/>
        <v>#REF!</v>
      </c>
      <c r="AV128" s="540" t="e">
        <f t="shared" ca="1" si="384"/>
        <v>#REF!</v>
      </c>
      <c r="AW128" s="540" t="e">
        <f t="shared" ca="1" si="384"/>
        <v>#REF!</v>
      </c>
      <c r="AX128" s="540" t="e">
        <f t="shared" ca="1" si="384"/>
        <v>#REF!</v>
      </c>
      <c r="AY128" s="540" t="e">
        <f t="shared" ca="1" si="384"/>
        <v>#REF!</v>
      </c>
      <c r="AZ128" s="540" t="e">
        <f t="shared" ca="1" si="384"/>
        <v>#REF!</v>
      </c>
      <c r="BA128" s="540" t="e">
        <f t="shared" ca="1" si="384"/>
        <v>#REF!</v>
      </c>
      <c r="BB128" s="540" t="e">
        <f t="shared" ca="1" si="384"/>
        <v>#REF!</v>
      </c>
      <c r="BC128" s="540" t="e">
        <f t="shared" ca="1" si="384"/>
        <v>#REF!</v>
      </c>
      <c r="BD128" s="540" t="e">
        <f t="shared" ca="1" si="384"/>
        <v>#REF!</v>
      </c>
      <c r="BE128" s="540" t="e">
        <f t="shared" ca="1" si="384"/>
        <v>#REF!</v>
      </c>
      <c r="BF128" s="540" t="e">
        <f t="shared" ca="1" si="384"/>
        <v>#REF!</v>
      </c>
      <c r="BG128" s="540" t="e">
        <f t="shared" ca="1" si="384"/>
        <v>#REF!</v>
      </c>
      <c r="BH128" s="540" t="e">
        <f t="shared" ca="1" si="384"/>
        <v>#REF!</v>
      </c>
      <c r="BI128" s="540" t="e">
        <f t="shared" ca="1" si="384"/>
        <v>#REF!</v>
      </c>
      <c r="BJ128" s="540" t="e">
        <f t="shared" ca="1" si="384"/>
        <v>#REF!</v>
      </c>
      <c r="BK128" s="540" t="e">
        <f t="shared" ca="1" si="384"/>
        <v>#REF!</v>
      </c>
      <c r="BL128" s="540" t="e">
        <f t="shared" ca="1" si="384"/>
        <v>#REF!</v>
      </c>
      <c r="BM128" s="540" t="e">
        <f t="shared" ca="1" si="384"/>
        <v>#REF!</v>
      </c>
      <c r="BN128" s="540" t="e">
        <f t="shared" ca="1" si="384"/>
        <v>#REF!</v>
      </c>
      <c r="BO128" s="540" t="e">
        <f t="shared" ca="1" si="384"/>
        <v>#REF!</v>
      </c>
      <c r="BP128" s="540" t="e">
        <f t="shared" ca="1" si="384"/>
        <v>#REF!</v>
      </c>
      <c r="BQ128" s="540" t="e">
        <f t="shared" ca="1" si="384"/>
        <v>#REF!</v>
      </c>
      <c r="BR128" s="540" t="e">
        <f t="shared" ca="1" si="384"/>
        <v>#REF!</v>
      </c>
      <c r="BS128" s="540" t="e">
        <f t="shared" ca="1" si="384"/>
        <v>#REF!</v>
      </c>
      <c r="BT128" s="540" t="e">
        <f t="shared" ca="1" si="384"/>
        <v>#REF!</v>
      </c>
      <c r="BU128" s="540" t="e">
        <f t="shared" ref="BU128:CL128" ca="1" si="385">(BU127*BU117)/1000</f>
        <v>#REF!</v>
      </c>
      <c r="BV128" s="540" t="e">
        <f t="shared" ca="1" si="385"/>
        <v>#REF!</v>
      </c>
      <c r="BW128" s="540" t="e">
        <f t="shared" ca="1" si="385"/>
        <v>#REF!</v>
      </c>
      <c r="BX128" s="540" t="e">
        <f t="shared" ca="1" si="385"/>
        <v>#REF!</v>
      </c>
      <c r="BY128" s="540" t="e">
        <f t="shared" ca="1" si="385"/>
        <v>#REF!</v>
      </c>
      <c r="BZ128" s="540" t="e">
        <f t="shared" ca="1" si="385"/>
        <v>#REF!</v>
      </c>
      <c r="CA128" s="540" t="e">
        <f t="shared" ca="1" si="385"/>
        <v>#REF!</v>
      </c>
      <c r="CB128" s="540" t="e">
        <f t="shared" ca="1" si="385"/>
        <v>#REF!</v>
      </c>
      <c r="CC128" s="540" t="e">
        <f t="shared" ca="1" si="385"/>
        <v>#REF!</v>
      </c>
      <c r="CD128" s="540" t="e">
        <f t="shared" ca="1" si="385"/>
        <v>#REF!</v>
      </c>
      <c r="CE128" s="540" t="e">
        <f t="shared" ca="1" si="385"/>
        <v>#REF!</v>
      </c>
      <c r="CF128" s="540" t="e">
        <f t="shared" ca="1" si="385"/>
        <v>#REF!</v>
      </c>
      <c r="CG128" s="540" t="e">
        <f t="shared" ca="1" si="385"/>
        <v>#REF!</v>
      </c>
      <c r="CH128" s="540" t="e">
        <f t="shared" ca="1" si="385"/>
        <v>#REF!</v>
      </c>
      <c r="CI128" s="540" t="e">
        <f t="shared" ca="1" si="385"/>
        <v>#REF!</v>
      </c>
      <c r="CJ128" s="540" t="e">
        <f t="shared" ca="1" si="385"/>
        <v>#REF!</v>
      </c>
      <c r="CK128" s="540" t="e">
        <f t="shared" ca="1" si="385"/>
        <v>#REF!</v>
      </c>
      <c r="CL128" s="540" t="e">
        <f t="shared" ca="1" si="385"/>
        <v>#REF!</v>
      </c>
      <c r="CN128" s="619"/>
      <c r="CO128" s="619"/>
      <c r="CP128" s="619"/>
    </row>
    <row r="129" spans="1:94" outlineLevel="1">
      <c r="A129" s="538" t="s">
        <v>419</v>
      </c>
      <c r="B129" s="538" t="s">
        <v>423</v>
      </c>
      <c r="C129" s="538" t="s">
        <v>422</v>
      </c>
      <c r="D129" s="538"/>
      <c r="E129" s="540"/>
      <c r="F129" s="540"/>
      <c r="G129" s="540"/>
      <c r="H129" s="540"/>
      <c r="I129" s="540">
        <f ca="1">I127</f>
        <v>0</v>
      </c>
      <c r="J129" s="540" t="e">
        <f t="shared" ref="J129:BU129" ca="1" si="386">IF(J128&gt;$I128,($I$128/J117)*1000,J127)</f>
        <v>#N/A</v>
      </c>
      <c r="K129" s="540" t="e">
        <f t="shared" ca="1" si="386"/>
        <v>#N/A</v>
      </c>
      <c r="L129" s="540" t="e">
        <f t="shared" ca="1" si="386"/>
        <v>#N/A</v>
      </c>
      <c r="M129" s="540" t="e">
        <f t="shared" ca="1" si="386"/>
        <v>#REF!</v>
      </c>
      <c r="N129" s="540" t="e">
        <f t="shared" ca="1" si="386"/>
        <v>#REF!</v>
      </c>
      <c r="O129" s="540" t="e">
        <f t="shared" ca="1" si="386"/>
        <v>#REF!</v>
      </c>
      <c r="P129" s="540" t="e">
        <f t="shared" ca="1" si="386"/>
        <v>#REF!</v>
      </c>
      <c r="Q129" s="540" t="e">
        <f t="shared" ca="1" si="386"/>
        <v>#REF!</v>
      </c>
      <c r="R129" s="540" t="e">
        <f t="shared" ca="1" si="386"/>
        <v>#REF!</v>
      </c>
      <c r="S129" s="549" t="e">
        <f t="shared" ca="1" si="386"/>
        <v>#REF!</v>
      </c>
      <c r="T129" s="549" t="e">
        <f t="shared" ca="1" si="386"/>
        <v>#REF!</v>
      </c>
      <c r="U129" s="549" t="e">
        <f t="shared" ca="1" si="386"/>
        <v>#REF!</v>
      </c>
      <c r="V129" s="540" t="e">
        <f t="shared" ca="1" si="386"/>
        <v>#REF!</v>
      </c>
      <c r="W129" s="540" t="e">
        <f t="shared" ca="1" si="386"/>
        <v>#REF!</v>
      </c>
      <c r="X129" s="540" t="e">
        <f t="shared" ca="1" si="386"/>
        <v>#REF!</v>
      </c>
      <c r="Y129" s="540" t="e">
        <f t="shared" ca="1" si="386"/>
        <v>#REF!</v>
      </c>
      <c r="Z129" s="540" t="e">
        <f t="shared" ca="1" si="386"/>
        <v>#REF!</v>
      </c>
      <c r="AA129" s="540" t="e">
        <f t="shared" ca="1" si="386"/>
        <v>#REF!</v>
      </c>
      <c r="AB129" s="540" t="e">
        <f t="shared" ca="1" si="386"/>
        <v>#REF!</v>
      </c>
      <c r="AC129" s="540" t="e">
        <f t="shared" ca="1" si="386"/>
        <v>#REF!</v>
      </c>
      <c r="AD129" s="540" t="e">
        <f t="shared" ca="1" si="386"/>
        <v>#REF!</v>
      </c>
      <c r="AE129" s="540" t="e">
        <f t="shared" ca="1" si="386"/>
        <v>#REF!</v>
      </c>
      <c r="AF129" s="540" t="e">
        <f t="shared" ca="1" si="386"/>
        <v>#REF!</v>
      </c>
      <c r="AG129" s="540" t="e">
        <f t="shared" ca="1" si="386"/>
        <v>#REF!</v>
      </c>
      <c r="AH129" s="540" t="e">
        <f t="shared" ca="1" si="386"/>
        <v>#REF!</v>
      </c>
      <c r="AI129" s="540" t="e">
        <f t="shared" ca="1" si="386"/>
        <v>#REF!</v>
      </c>
      <c r="AJ129" s="540" t="e">
        <f t="shared" ca="1" si="386"/>
        <v>#REF!</v>
      </c>
      <c r="AK129" s="540" t="e">
        <f t="shared" ca="1" si="386"/>
        <v>#REF!</v>
      </c>
      <c r="AL129" s="540" t="e">
        <f t="shared" ca="1" si="386"/>
        <v>#REF!</v>
      </c>
      <c r="AM129" s="540" t="e">
        <f t="shared" ca="1" si="386"/>
        <v>#REF!</v>
      </c>
      <c r="AN129" s="540" t="e">
        <f t="shared" ca="1" si="386"/>
        <v>#REF!</v>
      </c>
      <c r="AO129" s="540" t="e">
        <f t="shared" ca="1" si="386"/>
        <v>#REF!</v>
      </c>
      <c r="AP129" s="540" t="e">
        <f t="shared" ca="1" si="386"/>
        <v>#REF!</v>
      </c>
      <c r="AQ129" s="540" t="e">
        <f t="shared" ca="1" si="386"/>
        <v>#REF!</v>
      </c>
      <c r="AR129" s="540" t="e">
        <f t="shared" ca="1" si="386"/>
        <v>#REF!</v>
      </c>
      <c r="AS129" s="540" t="e">
        <f t="shared" ca="1" si="386"/>
        <v>#REF!</v>
      </c>
      <c r="AT129" s="540" t="e">
        <f t="shared" ca="1" si="386"/>
        <v>#REF!</v>
      </c>
      <c r="AU129" s="540" t="e">
        <f t="shared" ca="1" si="386"/>
        <v>#REF!</v>
      </c>
      <c r="AV129" s="540" t="e">
        <f t="shared" ca="1" si="386"/>
        <v>#REF!</v>
      </c>
      <c r="AW129" s="540" t="e">
        <f t="shared" ca="1" si="386"/>
        <v>#REF!</v>
      </c>
      <c r="AX129" s="540" t="e">
        <f t="shared" ca="1" si="386"/>
        <v>#REF!</v>
      </c>
      <c r="AY129" s="540" t="e">
        <f t="shared" ca="1" si="386"/>
        <v>#REF!</v>
      </c>
      <c r="AZ129" s="540" t="e">
        <f t="shared" ca="1" si="386"/>
        <v>#REF!</v>
      </c>
      <c r="BA129" s="540" t="e">
        <f t="shared" ca="1" si="386"/>
        <v>#REF!</v>
      </c>
      <c r="BB129" s="540" t="e">
        <f t="shared" ca="1" si="386"/>
        <v>#REF!</v>
      </c>
      <c r="BC129" s="540" t="e">
        <f t="shared" ca="1" si="386"/>
        <v>#REF!</v>
      </c>
      <c r="BD129" s="540" t="e">
        <f t="shared" ca="1" si="386"/>
        <v>#REF!</v>
      </c>
      <c r="BE129" s="540" t="e">
        <f t="shared" ca="1" si="386"/>
        <v>#REF!</v>
      </c>
      <c r="BF129" s="540" t="e">
        <f t="shared" ca="1" si="386"/>
        <v>#REF!</v>
      </c>
      <c r="BG129" s="540" t="e">
        <f t="shared" ca="1" si="386"/>
        <v>#REF!</v>
      </c>
      <c r="BH129" s="540" t="e">
        <f t="shared" ca="1" si="386"/>
        <v>#REF!</v>
      </c>
      <c r="BI129" s="540" t="e">
        <f t="shared" ca="1" si="386"/>
        <v>#REF!</v>
      </c>
      <c r="BJ129" s="540" t="e">
        <f t="shared" ca="1" si="386"/>
        <v>#REF!</v>
      </c>
      <c r="BK129" s="540" t="e">
        <f t="shared" ca="1" si="386"/>
        <v>#REF!</v>
      </c>
      <c r="BL129" s="540" t="e">
        <f t="shared" ca="1" si="386"/>
        <v>#REF!</v>
      </c>
      <c r="BM129" s="540" t="e">
        <f t="shared" ca="1" si="386"/>
        <v>#REF!</v>
      </c>
      <c r="BN129" s="540" t="e">
        <f t="shared" ca="1" si="386"/>
        <v>#REF!</v>
      </c>
      <c r="BO129" s="540" t="e">
        <f t="shared" ca="1" si="386"/>
        <v>#REF!</v>
      </c>
      <c r="BP129" s="540" t="e">
        <f t="shared" ca="1" si="386"/>
        <v>#REF!</v>
      </c>
      <c r="BQ129" s="540" t="e">
        <f t="shared" ca="1" si="386"/>
        <v>#REF!</v>
      </c>
      <c r="BR129" s="540" t="e">
        <f t="shared" ca="1" si="386"/>
        <v>#REF!</v>
      </c>
      <c r="BS129" s="540" t="e">
        <f t="shared" ca="1" si="386"/>
        <v>#REF!</v>
      </c>
      <c r="BT129" s="540" t="e">
        <f t="shared" ca="1" si="386"/>
        <v>#REF!</v>
      </c>
      <c r="BU129" s="540" t="e">
        <f t="shared" ca="1" si="386"/>
        <v>#REF!</v>
      </c>
      <c r="BV129" s="540" t="e">
        <f t="shared" ref="BV129:CL129" ca="1" si="387">IF(BV128&gt;$I128,($I$128/BV117)*1000,BV127)</f>
        <v>#REF!</v>
      </c>
      <c r="BW129" s="540" t="e">
        <f t="shared" ca="1" si="387"/>
        <v>#REF!</v>
      </c>
      <c r="BX129" s="540" t="e">
        <f t="shared" ca="1" si="387"/>
        <v>#REF!</v>
      </c>
      <c r="BY129" s="540" t="e">
        <f t="shared" ca="1" si="387"/>
        <v>#REF!</v>
      </c>
      <c r="BZ129" s="540" t="e">
        <f t="shared" ca="1" si="387"/>
        <v>#REF!</v>
      </c>
      <c r="CA129" s="540" t="e">
        <f t="shared" ca="1" si="387"/>
        <v>#REF!</v>
      </c>
      <c r="CB129" s="540" t="e">
        <f t="shared" ca="1" si="387"/>
        <v>#REF!</v>
      </c>
      <c r="CC129" s="540" t="e">
        <f t="shared" ca="1" si="387"/>
        <v>#REF!</v>
      </c>
      <c r="CD129" s="540" t="e">
        <f t="shared" ca="1" si="387"/>
        <v>#REF!</v>
      </c>
      <c r="CE129" s="540" t="e">
        <f t="shared" ca="1" si="387"/>
        <v>#REF!</v>
      </c>
      <c r="CF129" s="540" t="e">
        <f t="shared" ca="1" si="387"/>
        <v>#REF!</v>
      </c>
      <c r="CG129" s="540" t="e">
        <f t="shared" ca="1" si="387"/>
        <v>#REF!</v>
      </c>
      <c r="CH129" s="540" t="e">
        <f t="shared" ca="1" si="387"/>
        <v>#REF!</v>
      </c>
      <c r="CI129" s="540" t="e">
        <f t="shared" ca="1" si="387"/>
        <v>#REF!</v>
      </c>
      <c r="CJ129" s="540" t="e">
        <f t="shared" ca="1" si="387"/>
        <v>#REF!</v>
      </c>
      <c r="CK129" s="540" t="e">
        <f t="shared" ca="1" si="387"/>
        <v>#REF!</v>
      </c>
      <c r="CL129" s="540" t="e">
        <f t="shared" ca="1" si="387"/>
        <v>#REF!</v>
      </c>
      <c r="CN129" s="619"/>
      <c r="CO129" s="619"/>
      <c r="CP129" s="619"/>
    </row>
    <row r="130" spans="1:94" outlineLevel="1">
      <c r="A130" s="538" t="s">
        <v>419</v>
      </c>
      <c r="B130" s="538" t="s">
        <v>423</v>
      </c>
      <c r="C130" s="538" t="s">
        <v>2</v>
      </c>
      <c r="D130" s="538"/>
      <c r="E130" s="540"/>
      <c r="F130" s="540"/>
      <c r="G130" s="540"/>
      <c r="H130" s="540"/>
      <c r="I130" s="540" t="e">
        <f t="shared" ref="I130:BT130" ca="1" si="388">(I129*I117)/1000</f>
        <v>#REF!</v>
      </c>
      <c r="J130" s="540" t="e">
        <f t="shared" ca="1" si="388"/>
        <v>#N/A</v>
      </c>
      <c r="K130" s="540" t="e">
        <f t="shared" ca="1" si="388"/>
        <v>#N/A</v>
      </c>
      <c r="L130" s="540" t="e">
        <f t="shared" ca="1" si="388"/>
        <v>#N/A</v>
      </c>
      <c r="M130" s="540" t="e">
        <f t="shared" ca="1" si="388"/>
        <v>#REF!</v>
      </c>
      <c r="N130" s="540" t="e">
        <f t="shared" ca="1" si="388"/>
        <v>#REF!</v>
      </c>
      <c r="O130" s="540" t="e">
        <f t="shared" ca="1" si="388"/>
        <v>#REF!</v>
      </c>
      <c r="P130" s="540" t="e">
        <f t="shared" ca="1" si="388"/>
        <v>#REF!</v>
      </c>
      <c r="Q130" s="540" t="e">
        <f t="shared" ca="1" si="388"/>
        <v>#REF!</v>
      </c>
      <c r="R130" s="540" t="e">
        <f t="shared" ca="1" si="388"/>
        <v>#REF!</v>
      </c>
      <c r="S130" s="549" t="e">
        <f t="shared" ca="1" si="388"/>
        <v>#REF!</v>
      </c>
      <c r="T130" s="549" t="e">
        <f t="shared" ca="1" si="388"/>
        <v>#REF!</v>
      </c>
      <c r="U130" s="549" t="e">
        <f t="shared" ca="1" si="388"/>
        <v>#REF!</v>
      </c>
      <c r="V130" s="540" t="e">
        <f t="shared" ca="1" si="388"/>
        <v>#REF!</v>
      </c>
      <c r="W130" s="540" t="e">
        <f t="shared" ca="1" si="388"/>
        <v>#REF!</v>
      </c>
      <c r="X130" s="540" t="e">
        <f t="shared" ca="1" si="388"/>
        <v>#REF!</v>
      </c>
      <c r="Y130" s="540" t="e">
        <f t="shared" ca="1" si="388"/>
        <v>#REF!</v>
      </c>
      <c r="Z130" s="540" t="e">
        <f t="shared" ca="1" si="388"/>
        <v>#REF!</v>
      </c>
      <c r="AA130" s="540" t="e">
        <f t="shared" ca="1" si="388"/>
        <v>#REF!</v>
      </c>
      <c r="AB130" s="540" t="e">
        <f t="shared" ca="1" si="388"/>
        <v>#REF!</v>
      </c>
      <c r="AC130" s="540" t="e">
        <f t="shared" ca="1" si="388"/>
        <v>#REF!</v>
      </c>
      <c r="AD130" s="540" t="e">
        <f t="shared" ca="1" si="388"/>
        <v>#REF!</v>
      </c>
      <c r="AE130" s="540" t="e">
        <f t="shared" ca="1" si="388"/>
        <v>#REF!</v>
      </c>
      <c r="AF130" s="540" t="e">
        <f t="shared" ca="1" si="388"/>
        <v>#REF!</v>
      </c>
      <c r="AG130" s="540" t="e">
        <f t="shared" ca="1" si="388"/>
        <v>#REF!</v>
      </c>
      <c r="AH130" s="540" t="e">
        <f t="shared" ca="1" si="388"/>
        <v>#REF!</v>
      </c>
      <c r="AI130" s="540" t="e">
        <f t="shared" ca="1" si="388"/>
        <v>#REF!</v>
      </c>
      <c r="AJ130" s="540" t="e">
        <f t="shared" ca="1" si="388"/>
        <v>#REF!</v>
      </c>
      <c r="AK130" s="540" t="e">
        <f t="shared" ca="1" si="388"/>
        <v>#REF!</v>
      </c>
      <c r="AL130" s="540" t="e">
        <f t="shared" ca="1" si="388"/>
        <v>#REF!</v>
      </c>
      <c r="AM130" s="540" t="e">
        <f t="shared" ca="1" si="388"/>
        <v>#REF!</v>
      </c>
      <c r="AN130" s="540" t="e">
        <f t="shared" ca="1" si="388"/>
        <v>#REF!</v>
      </c>
      <c r="AO130" s="540" t="e">
        <f t="shared" ca="1" si="388"/>
        <v>#REF!</v>
      </c>
      <c r="AP130" s="540" t="e">
        <f t="shared" ca="1" si="388"/>
        <v>#REF!</v>
      </c>
      <c r="AQ130" s="540" t="e">
        <f t="shared" ca="1" si="388"/>
        <v>#REF!</v>
      </c>
      <c r="AR130" s="540" t="e">
        <f t="shared" ca="1" si="388"/>
        <v>#REF!</v>
      </c>
      <c r="AS130" s="540" t="e">
        <f t="shared" ca="1" si="388"/>
        <v>#REF!</v>
      </c>
      <c r="AT130" s="540" t="e">
        <f t="shared" ca="1" si="388"/>
        <v>#REF!</v>
      </c>
      <c r="AU130" s="540" t="e">
        <f t="shared" ca="1" si="388"/>
        <v>#REF!</v>
      </c>
      <c r="AV130" s="540" t="e">
        <f t="shared" ca="1" si="388"/>
        <v>#REF!</v>
      </c>
      <c r="AW130" s="540" t="e">
        <f t="shared" ca="1" si="388"/>
        <v>#REF!</v>
      </c>
      <c r="AX130" s="540" t="e">
        <f t="shared" ca="1" si="388"/>
        <v>#REF!</v>
      </c>
      <c r="AY130" s="540" t="e">
        <f t="shared" ca="1" si="388"/>
        <v>#REF!</v>
      </c>
      <c r="AZ130" s="540" t="e">
        <f t="shared" ca="1" si="388"/>
        <v>#REF!</v>
      </c>
      <c r="BA130" s="540" t="e">
        <f t="shared" ca="1" si="388"/>
        <v>#REF!</v>
      </c>
      <c r="BB130" s="540" t="e">
        <f t="shared" ca="1" si="388"/>
        <v>#REF!</v>
      </c>
      <c r="BC130" s="540" t="e">
        <f t="shared" ca="1" si="388"/>
        <v>#REF!</v>
      </c>
      <c r="BD130" s="540" t="e">
        <f t="shared" ca="1" si="388"/>
        <v>#REF!</v>
      </c>
      <c r="BE130" s="540" t="e">
        <f t="shared" ca="1" si="388"/>
        <v>#REF!</v>
      </c>
      <c r="BF130" s="540" t="e">
        <f t="shared" ca="1" si="388"/>
        <v>#REF!</v>
      </c>
      <c r="BG130" s="540" t="e">
        <f t="shared" ca="1" si="388"/>
        <v>#REF!</v>
      </c>
      <c r="BH130" s="540" t="e">
        <f t="shared" ca="1" si="388"/>
        <v>#REF!</v>
      </c>
      <c r="BI130" s="540" t="e">
        <f t="shared" ca="1" si="388"/>
        <v>#REF!</v>
      </c>
      <c r="BJ130" s="540" t="e">
        <f t="shared" ca="1" si="388"/>
        <v>#REF!</v>
      </c>
      <c r="BK130" s="540" t="e">
        <f t="shared" ca="1" si="388"/>
        <v>#REF!</v>
      </c>
      <c r="BL130" s="540" t="e">
        <f t="shared" ca="1" si="388"/>
        <v>#REF!</v>
      </c>
      <c r="BM130" s="540" t="e">
        <f t="shared" ca="1" si="388"/>
        <v>#REF!</v>
      </c>
      <c r="BN130" s="540" t="e">
        <f t="shared" ca="1" si="388"/>
        <v>#REF!</v>
      </c>
      <c r="BO130" s="540" t="e">
        <f t="shared" ca="1" si="388"/>
        <v>#REF!</v>
      </c>
      <c r="BP130" s="540" t="e">
        <f t="shared" ca="1" si="388"/>
        <v>#REF!</v>
      </c>
      <c r="BQ130" s="540" t="e">
        <f t="shared" ca="1" si="388"/>
        <v>#REF!</v>
      </c>
      <c r="BR130" s="540" t="e">
        <f t="shared" ca="1" si="388"/>
        <v>#REF!</v>
      </c>
      <c r="BS130" s="540" t="e">
        <f t="shared" ca="1" si="388"/>
        <v>#REF!</v>
      </c>
      <c r="BT130" s="540" t="e">
        <f t="shared" ca="1" si="388"/>
        <v>#REF!</v>
      </c>
      <c r="BU130" s="540" t="e">
        <f t="shared" ref="BU130:CL130" ca="1" si="389">(BU129*BU117)/1000</f>
        <v>#REF!</v>
      </c>
      <c r="BV130" s="540" t="e">
        <f t="shared" ca="1" si="389"/>
        <v>#REF!</v>
      </c>
      <c r="BW130" s="540" t="e">
        <f t="shared" ca="1" si="389"/>
        <v>#REF!</v>
      </c>
      <c r="BX130" s="540" t="e">
        <f t="shared" ca="1" si="389"/>
        <v>#REF!</v>
      </c>
      <c r="BY130" s="540" t="e">
        <f t="shared" ca="1" si="389"/>
        <v>#REF!</v>
      </c>
      <c r="BZ130" s="540" t="e">
        <f t="shared" ca="1" si="389"/>
        <v>#REF!</v>
      </c>
      <c r="CA130" s="540" t="e">
        <f t="shared" ca="1" si="389"/>
        <v>#REF!</v>
      </c>
      <c r="CB130" s="540" t="e">
        <f t="shared" ca="1" si="389"/>
        <v>#REF!</v>
      </c>
      <c r="CC130" s="540" t="e">
        <f t="shared" ca="1" si="389"/>
        <v>#REF!</v>
      </c>
      <c r="CD130" s="540" t="e">
        <f t="shared" ca="1" si="389"/>
        <v>#REF!</v>
      </c>
      <c r="CE130" s="540" t="e">
        <f t="shared" ca="1" si="389"/>
        <v>#REF!</v>
      </c>
      <c r="CF130" s="540" t="e">
        <f t="shared" ca="1" si="389"/>
        <v>#REF!</v>
      </c>
      <c r="CG130" s="540" t="e">
        <f t="shared" ca="1" si="389"/>
        <v>#REF!</v>
      </c>
      <c r="CH130" s="540" t="e">
        <f t="shared" ca="1" si="389"/>
        <v>#REF!</v>
      </c>
      <c r="CI130" s="540" t="e">
        <f t="shared" ca="1" si="389"/>
        <v>#REF!</v>
      </c>
      <c r="CJ130" s="540" t="e">
        <f t="shared" ca="1" si="389"/>
        <v>#REF!</v>
      </c>
      <c r="CK130" s="540" t="e">
        <f t="shared" ca="1" si="389"/>
        <v>#REF!</v>
      </c>
      <c r="CL130" s="540" t="e">
        <f t="shared" ca="1" si="389"/>
        <v>#REF!</v>
      </c>
      <c r="CN130" s="619"/>
      <c r="CO130" s="619"/>
      <c r="CP130" s="619"/>
    </row>
    <row r="131" spans="1:94" ht="16.5" hidden="1" thickBot="1">
      <c r="A131" s="582" t="s">
        <v>488</v>
      </c>
      <c r="B131" s="582"/>
      <c r="C131" s="582"/>
      <c r="D131" s="582"/>
      <c r="E131" s="583">
        <v>2015</v>
      </c>
      <c r="F131" s="584">
        <f>E131+1</f>
        <v>2016</v>
      </c>
      <c r="G131" s="584">
        <f t="shared" ref="G131:I131" si="390">F131+1</f>
        <v>2017</v>
      </c>
      <c r="H131" s="584">
        <f t="shared" si="390"/>
        <v>2018</v>
      </c>
      <c r="I131" s="584">
        <f t="shared" si="390"/>
        <v>2019</v>
      </c>
      <c r="J131" s="584">
        <f>E131+5</f>
        <v>2020</v>
      </c>
      <c r="K131" s="584">
        <f>J131+1</f>
        <v>2021</v>
      </c>
      <c r="L131" s="584">
        <f t="shared" ref="L131:N131" si="391">K131+1</f>
        <v>2022</v>
      </c>
      <c r="M131" s="584">
        <f t="shared" si="391"/>
        <v>2023</v>
      </c>
      <c r="N131" s="584">
        <f t="shared" si="391"/>
        <v>2024</v>
      </c>
      <c r="O131" s="584">
        <f>J131+5</f>
        <v>2025</v>
      </c>
      <c r="P131" s="584">
        <f>O131+1</f>
        <v>2026</v>
      </c>
      <c r="Q131" s="584">
        <f t="shared" ref="Q131:S131" si="392">P131+1</f>
        <v>2027</v>
      </c>
      <c r="R131" s="584">
        <f t="shared" si="392"/>
        <v>2028</v>
      </c>
      <c r="S131" s="584">
        <f t="shared" si="392"/>
        <v>2029</v>
      </c>
      <c r="T131" s="584">
        <f>O131+5</f>
        <v>2030</v>
      </c>
      <c r="U131" s="584">
        <f>T131+1</f>
        <v>2031</v>
      </c>
      <c r="V131" s="584">
        <f t="shared" ref="V131:X131" si="393">U131+1</f>
        <v>2032</v>
      </c>
      <c r="W131" s="584">
        <f t="shared" si="393"/>
        <v>2033</v>
      </c>
      <c r="X131" s="584">
        <f t="shared" si="393"/>
        <v>2034</v>
      </c>
      <c r="Y131" s="584">
        <f>T131+5</f>
        <v>2035</v>
      </c>
      <c r="Z131" s="584">
        <f>Y131+1</f>
        <v>2036</v>
      </c>
      <c r="AA131" s="584">
        <f t="shared" ref="AA131:AC131" si="394">Z131+1</f>
        <v>2037</v>
      </c>
      <c r="AB131" s="584">
        <f t="shared" si="394"/>
        <v>2038</v>
      </c>
      <c r="AC131" s="584">
        <f t="shared" si="394"/>
        <v>2039</v>
      </c>
      <c r="AD131" s="584">
        <f>Y131+5</f>
        <v>2040</v>
      </c>
      <c r="AE131" s="584">
        <f>AD131+1</f>
        <v>2041</v>
      </c>
      <c r="AF131" s="584">
        <f t="shared" ref="AF131:AH131" si="395">AE131+1</f>
        <v>2042</v>
      </c>
      <c r="AG131" s="584">
        <f t="shared" si="395"/>
        <v>2043</v>
      </c>
      <c r="AH131" s="584">
        <f t="shared" si="395"/>
        <v>2044</v>
      </c>
      <c r="AI131" s="584">
        <f>AD131+5</f>
        <v>2045</v>
      </c>
      <c r="AJ131" s="584">
        <f>AI131+1</f>
        <v>2046</v>
      </c>
      <c r="AK131" s="584">
        <f t="shared" ref="AK131:AM131" si="396">AJ131+1</f>
        <v>2047</v>
      </c>
      <c r="AL131" s="584">
        <f t="shared" si="396"/>
        <v>2048</v>
      </c>
      <c r="AM131" s="584">
        <f t="shared" si="396"/>
        <v>2049</v>
      </c>
      <c r="AN131" s="584">
        <f>AI131+5</f>
        <v>2050</v>
      </c>
      <c r="AO131" s="584">
        <f>AN131+1</f>
        <v>2051</v>
      </c>
      <c r="AP131" s="584">
        <f t="shared" ref="AP131:AR131" si="397">AO131+1</f>
        <v>2052</v>
      </c>
      <c r="AQ131" s="584">
        <f t="shared" si="397"/>
        <v>2053</v>
      </c>
      <c r="AR131" s="584">
        <f t="shared" si="397"/>
        <v>2054</v>
      </c>
      <c r="AS131" s="584">
        <f>AN131+5</f>
        <v>2055</v>
      </c>
      <c r="AT131" s="584">
        <f>AS131+1</f>
        <v>2056</v>
      </c>
      <c r="AU131" s="584">
        <f t="shared" ref="AU131:AW131" si="398">AT131+1</f>
        <v>2057</v>
      </c>
      <c r="AV131" s="584">
        <f t="shared" si="398"/>
        <v>2058</v>
      </c>
      <c r="AW131" s="584">
        <f t="shared" si="398"/>
        <v>2059</v>
      </c>
      <c r="AX131" s="584">
        <f>AS131+5</f>
        <v>2060</v>
      </c>
      <c r="AY131" s="584">
        <f>AX131+1</f>
        <v>2061</v>
      </c>
      <c r="AZ131" s="584">
        <f t="shared" ref="AZ131:BB131" si="399">AY131+1</f>
        <v>2062</v>
      </c>
      <c r="BA131" s="584">
        <f t="shared" si="399"/>
        <v>2063</v>
      </c>
      <c r="BB131" s="584">
        <f t="shared" si="399"/>
        <v>2064</v>
      </c>
      <c r="BC131" s="584">
        <f>AX131+5</f>
        <v>2065</v>
      </c>
      <c r="BD131" s="584">
        <f>BC131+1</f>
        <v>2066</v>
      </c>
      <c r="BE131" s="584">
        <f t="shared" ref="BE131:BG131" si="400">BD131+1</f>
        <v>2067</v>
      </c>
      <c r="BF131" s="584">
        <f t="shared" si="400"/>
        <v>2068</v>
      </c>
      <c r="BG131" s="584">
        <f t="shared" si="400"/>
        <v>2069</v>
      </c>
      <c r="BH131" s="584">
        <f>BC131+5</f>
        <v>2070</v>
      </c>
      <c r="BI131" s="584">
        <f>BH131+1</f>
        <v>2071</v>
      </c>
      <c r="BJ131" s="584">
        <f t="shared" ref="BJ131:BL131" si="401">BI131+1</f>
        <v>2072</v>
      </c>
      <c r="BK131" s="584">
        <f t="shared" si="401"/>
        <v>2073</v>
      </c>
      <c r="BL131" s="584">
        <f t="shared" si="401"/>
        <v>2074</v>
      </c>
      <c r="BM131" s="584">
        <f>BH131+5</f>
        <v>2075</v>
      </c>
      <c r="BN131" s="584">
        <f>BM131+1</f>
        <v>2076</v>
      </c>
      <c r="BO131" s="584">
        <f t="shared" ref="BO131:BQ131" si="402">BN131+1</f>
        <v>2077</v>
      </c>
      <c r="BP131" s="584">
        <f t="shared" si="402"/>
        <v>2078</v>
      </c>
      <c r="BQ131" s="584">
        <f t="shared" si="402"/>
        <v>2079</v>
      </c>
      <c r="BR131" s="584">
        <f>BM131+5</f>
        <v>2080</v>
      </c>
      <c r="BS131" s="584">
        <f>BR131+1</f>
        <v>2081</v>
      </c>
      <c r="BT131" s="584">
        <f t="shared" ref="BT131:BV131" si="403">BS131+1</f>
        <v>2082</v>
      </c>
      <c r="BU131" s="584">
        <f t="shared" si="403"/>
        <v>2083</v>
      </c>
      <c r="BV131" s="584">
        <f t="shared" si="403"/>
        <v>2084</v>
      </c>
      <c r="BW131" s="584">
        <f>BR131+5</f>
        <v>2085</v>
      </c>
      <c r="BX131" s="584">
        <f>BW131+1</f>
        <v>2086</v>
      </c>
      <c r="BY131" s="584">
        <f t="shared" ref="BY131:CA131" si="404">BX131+1</f>
        <v>2087</v>
      </c>
      <c r="BZ131" s="584">
        <f t="shared" si="404"/>
        <v>2088</v>
      </c>
      <c r="CA131" s="584">
        <f t="shared" si="404"/>
        <v>2089</v>
      </c>
      <c r="CB131" s="584">
        <f>BW131+5</f>
        <v>2090</v>
      </c>
      <c r="CC131" s="584">
        <f>CB131+1</f>
        <v>2091</v>
      </c>
      <c r="CD131" s="584">
        <f t="shared" ref="CD131:CF131" si="405">CC131+1</f>
        <v>2092</v>
      </c>
      <c r="CE131" s="584">
        <f t="shared" si="405"/>
        <v>2093</v>
      </c>
      <c r="CF131" s="584">
        <f t="shared" si="405"/>
        <v>2094</v>
      </c>
      <c r="CG131" s="584">
        <f>CB131+5</f>
        <v>2095</v>
      </c>
      <c r="CH131" s="584">
        <f>CG131+1</f>
        <v>2096</v>
      </c>
      <c r="CI131" s="584">
        <f t="shared" ref="CI131:CK131" si="406">CH131+1</f>
        <v>2097</v>
      </c>
      <c r="CJ131" s="584">
        <f t="shared" si="406"/>
        <v>2098</v>
      </c>
      <c r="CK131" s="584">
        <f t="shared" si="406"/>
        <v>2099</v>
      </c>
      <c r="CL131" s="584">
        <f>CG131+5</f>
        <v>2100</v>
      </c>
      <c r="CN131" s="628" t="s">
        <v>409</v>
      </c>
      <c r="CO131" s="628" t="s">
        <v>411</v>
      </c>
      <c r="CP131" s="628" t="s">
        <v>410</v>
      </c>
    </row>
    <row r="132" spans="1:94" s="586" customFormat="1" outlineLevel="1">
      <c r="A132" s="538" t="s">
        <v>487</v>
      </c>
      <c r="B132" s="538" t="s">
        <v>426</v>
      </c>
      <c r="C132" s="538" t="s">
        <v>32</v>
      </c>
      <c r="D132" s="538"/>
      <c r="E132" s="540"/>
      <c r="F132" s="540"/>
      <c r="G132" s="540"/>
      <c r="H132" s="540"/>
      <c r="I132" s="540" t="e">
        <f t="shared" ref="I132:BT132" ca="1" si="407">I113/H113</f>
        <v>#DIV/0!</v>
      </c>
      <c r="J132" s="540" t="e">
        <f t="shared" ca="1" si="407"/>
        <v>#N/A</v>
      </c>
      <c r="K132" s="540" t="e">
        <f t="shared" ca="1" si="407"/>
        <v>#N/A</v>
      </c>
      <c r="L132" s="540" t="e">
        <f t="shared" ca="1" si="407"/>
        <v>#N/A</v>
      </c>
      <c r="M132" s="540" t="e">
        <f t="shared" ca="1" si="407"/>
        <v>#N/A</v>
      </c>
      <c r="N132" s="540" t="e">
        <f t="shared" ca="1" si="407"/>
        <v>#DIV/0!</v>
      </c>
      <c r="O132" s="540" t="e">
        <f t="shared" ca="1" si="407"/>
        <v>#DIV/0!</v>
      </c>
      <c r="P132" s="540" t="e">
        <f t="shared" ca="1" si="407"/>
        <v>#DIV/0!</v>
      </c>
      <c r="Q132" s="540" t="e">
        <f t="shared" ca="1" si="407"/>
        <v>#DIV/0!</v>
      </c>
      <c r="R132" s="540" t="e">
        <f t="shared" ca="1" si="407"/>
        <v>#DIV/0!</v>
      </c>
      <c r="S132" s="549" t="e">
        <f t="shared" ca="1" si="407"/>
        <v>#DIV/0!</v>
      </c>
      <c r="T132" s="549" t="e">
        <f t="shared" ca="1" si="407"/>
        <v>#DIV/0!</v>
      </c>
      <c r="U132" s="549" t="e">
        <f t="shared" ca="1" si="407"/>
        <v>#DIV/0!</v>
      </c>
      <c r="V132" s="540" t="e">
        <f t="shared" ca="1" si="407"/>
        <v>#DIV/0!</v>
      </c>
      <c r="W132" s="540" t="e">
        <f t="shared" ca="1" si="407"/>
        <v>#DIV/0!</v>
      </c>
      <c r="X132" s="540" t="e">
        <f t="shared" ca="1" si="407"/>
        <v>#DIV/0!</v>
      </c>
      <c r="Y132" s="540" t="e">
        <f t="shared" ca="1" si="407"/>
        <v>#DIV/0!</v>
      </c>
      <c r="Z132" s="540" t="e">
        <f t="shared" ca="1" si="407"/>
        <v>#DIV/0!</v>
      </c>
      <c r="AA132" s="540" t="e">
        <f t="shared" ca="1" si="407"/>
        <v>#DIV/0!</v>
      </c>
      <c r="AB132" s="540" t="e">
        <f t="shared" ca="1" si="407"/>
        <v>#DIV/0!</v>
      </c>
      <c r="AC132" s="540" t="e">
        <f t="shared" ca="1" si="407"/>
        <v>#DIV/0!</v>
      </c>
      <c r="AD132" s="540" t="e">
        <f t="shared" ca="1" si="407"/>
        <v>#DIV/0!</v>
      </c>
      <c r="AE132" s="540" t="e">
        <f t="shared" ca="1" si="407"/>
        <v>#DIV/0!</v>
      </c>
      <c r="AF132" s="540" t="e">
        <f t="shared" ca="1" si="407"/>
        <v>#DIV/0!</v>
      </c>
      <c r="AG132" s="540" t="e">
        <f t="shared" ca="1" si="407"/>
        <v>#DIV/0!</v>
      </c>
      <c r="AH132" s="540" t="e">
        <f t="shared" ca="1" si="407"/>
        <v>#DIV/0!</v>
      </c>
      <c r="AI132" s="540" t="e">
        <f t="shared" ca="1" si="407"/>
        <v>#DIV/0!</v>
      </c>
      <c r="AJ132" s="540" t="e">
        <f t="shared" ca="1" si="407"/>
        <v>#DIV/0!</v>
      </c>
      <c r="AK132" s="540" t="e">
        <f t="shared" ca="1" si="407"/>
        <v>#DIV/0!</v>
      </c>
      <c r="AL132" s="540" t="e">
        <f t="shared" ca="1" si="407"/>
        <v>#DIV/0!</v>
      </c>
      <c r="AM132" s="540" t="e">
        <f t="shared" ca="1" si="407"/>
        <v>#DIV/0!</v>
      </c>
      <c r="AN132" s="540" t="e">
        <f t="shared" ca="1" si="407"/>
        <v>#DIV/0!</v>
      </c>
      <c r="AO132" s="540" t="e">
        <f t="shared" ca="1" si="407"/>
        <v>#DIV/0!</v>
      </c>
      <c r="AP132" s="540" t="e">
        <f t="shared" ca="1" si="407"/>
        <v>#DIV/0!</v>
      </c>
      <c r="AQ132" s="540" t="e">
        <f t="shared" ca="1" si="407"/>
        <v>#DIV/0!</v>
      </c>
      <c r="AR132" s="540" t="e">
        <f t="shared" ca="1" si="407"/>
        <v>#DIV/0!</v>
      </c>
      <c r="AS132" s="540" t="e">
        <f t="shared" ca="1" si="407"/>
        <v>#DIV/0!</v>
      </c>
      <c r="AT132" s="540" t="e">
        <f t="shared" ca="1" si="407"/>
        <v>#DIV/0!</v>
      </c>
      <c r="AU132" s="540" t="e">
        <f t="shared" ca="1" si="407"/>
        <v>#DIV/0!</v>
      </c>
      <c r="AV132" s="540" t="e">
        <f t="shared" ca="1" si="407"/>
        <v>#DIV/0!</v>
      </c>
      <c r="AW132" s="540" t="e">
        <f t="shared" ca="1" si="407"/>
        <v>#DIV/0!</v>
      </c>
      <c r="AX132" s="540" t="e">
        <f t="shared" ca="1" si="407"/>
        <v>#DIV/0!</v>
      </c>
      <c r="AY132" s="540" t="e">
        <f t="shared" ca="1" si="407"/>
        <v>#DIV/0!</v>
      </c>
      <c r="AZ132" s="540" t="e">
        <f t="shared" ca="1" si="407"/>
        <v>#DIV/0!</v>
      </c>
      <c r="BA132" s="540" t="e">
        <f t="shared" ca="1" si="407"/>
        <v>#DIV/0!</v>
      </c>
      <c r="BB132" s="540" t="e">
        <f t="shared" ca="1" si="407"/>
        <v>#DIV/0!</v>
      </c>
      <c r="BC132" s="540" t="e">
        <f t="shared" ca="1" si="407"/>
        <v>#DIV/0!</v>
      </c>
      <c r="BD132" s="540" t="e">
        <f t="shared" ca="1" si="407"/>
        <v>#DIV/0!</v>
      </c>
      <c r="BE132" s="540" t="e">
        <f t="shared" ca="1" si="407"/>
        <v>#DIV/0!</v>
      </c>
      <c r="BF132" s="540" t="e">
        <f t="shared" ca="1" si="407"/>
        <v>#DIV/0!</v>
      </c>
      <c r="BG132" s="540" t="e">
        <f t="shared" ca="1" si="407"/>
        <v>#DIV/0!</v>
      </c>
      <c r="BH132" s="540" t="e">
        <f t="shared" ca="1" si="407"/>
        <v>#DIV/0!</v>
      </c>
      <c r="BI132" s="540" t="e">
        <f t="shared" ca="1" si="407"/>
        <v>#DIV/0!</v>
      </c>
      <c r="BJ132" s="540" t="e">
        <f t="shared" ca="1" si="407"/>
        <v>#DIV/0!</v>
      </c>
      <c r="BK132" s="540" t="e">
        <f t="shared" ca="1" si="407"/>
        <v>#DIV/0!</v>
      </c>
      <c r="BL132" s="540" t="e">
        <f t="shared" ca="1" si="407"/>
        <v>#DIV/0!</v>
      </c>
      <c r="BM132" s="540" t="e">
        <f t="shared" ca="1" si="407"/>
        <v>#DIV/0!</v>
      </c>
      <c r="BN132" s="540" t="e">
        <f t="shared" ca="1" si="407"/>
        <v>#DIV/0!</v>
      </c>
      <c r="BO132" s="540" t="e">
        <f t="shared" ca="1" si="407"/>
        <v>#DIV/0!</v>
      </c>
      <c r="BP132" s="540" t="e">
        <f t="shared" ca="1" si="407"/>
        <v>#DIV/0!</v>
      </c>
      <c r="BQ132" s="540" t="e">
        <f t="shared" ca="1" si="407"/>
        <v>#DIV/0!</v>
      </c>
      <c r="BR132" s="540" t="e">
        <f t="shared" ca="1" si="407"/>
        <v>#DIV/0!</v>
      </c>
      <c r="BS132" s="540" t="e">
        <f t="shared" ca="1" si="407"/>
        <v>#DIV/0!</v>
      </c>
      <c r="BT132" s="540" t="e">
        <f t="shared" ca="1" si="407"/>
        <v>#DIV/0!</v>
      </c>
      <c r="BU132" s="540" t="e">
        <f t="shared" ref="BU132:CL132" ca="1" si="408">BU113/BT113</f>
        <v>#DIV/0!</v>
      </c>
      <c r="BV132" s="540" t="e">
        <f t="shared" ca="1" si="408"/>
        <v>#DIV/0!</v>
      </c>
      <c r="BW132" s="540" t="e">
        <f t="shared" ca="1" si="408"/>
        <v>#DIV/0!</v>
      </c>
      <c r="BX132" s="540" t="e">
        <f t="shared" ca="1" si="408"/>
        <v>#DIV/0!</v>
      </c>
      <c r="BY132" s="540" t="e">
        <f t="shared" ca="1" si="408"/>
        <v>#DIV/0!</v>
      </c>
      <c r="BZ132" s="540" t="e">
        <f t="shared" ca="1" si="408"/>
        <v>#DIV/0!</v>
      </c>
      <c r="CA132" s="540" t="e">
        <f t="shared" ca="1" si="408"/>
        <v>#DIV/0!</v>
      </c>
      <c r="CB132" s="540" t="e">
        <f t="shared" ca="1" si="408"/>
        <v>#DIV/0!</v>
      </c>
      <c r="CC132" s="540" t="e">
        <f t="shared" ca="1" si="408"/>
        <v>#DIV/0!</v>
      </c>
      <c r="CD132" s="540" t="e">
        <f t="shared" ca="1" si="408"/>
        <v>#DIV/0!</v>
      </c>
      <c r="CE132" s="540" t="e">
        <f t="shared" ca="1" si="408"/>
        <v>#DIV/0!</v>
      </c>
      <c r="CF132" s="540" t="e">
        <f t="shared" ca="1" si="408"/>
        <v>#DIV/0!</v>
      </c>
      <c r="CG132" s="540" t="e">
        <f t="shared" ca="1" si="408"/>
        <v>#DIV/0!</v>
      </c>
      <c r="CH132" s="540" t="e">
        <f t="shared" ca="1" si="408"/>
        <v>#DIV/0!</v>
      </c>
      <c r="CI132" s="540" t="e">
        <f t="shared" ca="1" si="408"/>
        <v>#DIV/0!</v>
      </c>
      <c r="CJ132" s="540" t="e">
        <f t="shared" ca="1" si="408"/>
        <v>#DIV/0!</v>
      </c>
      <c r="CK132" s="540" t="e">
        <f t="shared" ca="1" si="408"/>
        <v>#DIV/0!</v>
      </c>
      <c r="CL132" s="540" t="e">
        <f t="shared" ca="1" si="408"/>
        <v>#DIV/0!</v>
      </c>
      <c r="CM132" s="596"/>
      <c r="CN132" s="619"/>
      <c r="CO132" s="619"/>
      <c r="CP132" s="619"/>
    </row>
    <row r="133" spans="1:94" outlineLevel="1">
      <c r="A133" s="538" t="s">
        <v>487</v>
      </c>
      <c r="B133" s="538" t="s">
        <v>424</v>
      </c>
      <c r="C133" s="538" t="s">
        <v>422</v>
      </c>
      <c r="D133" s="538"/>
      <c r="E133" s="540"/>
      <c r="F133" s="540"/>
      <c r="G133" s="540"/>
      <c r="H133" s="540"/>
      <c r="I133" s="540" t="str">
        <f>I118</f>
        <v/>
      </c>
      <c r="J133" s="540" t="e">
        <f t="shared" ref="J133:BU133" ca="1" si="409">J132*I133</f>
        <v>#N/A</v>
      </c>
      <c r="K133" s="540" t="e">
        <f t="shared" ca="1" si="409"/>
        <v>#N/A</v>
      </c>
      <c r="L133" s="540" t="e">
        <f t="shared" ca="1" si="409"/>
        <v>#N/A</v>
      </c>
      <c r="M133" s="540" t="e">
        <f t="shared" ca="1" si="409"/>
        <v>#N/A</v>
      </c>
      <c r="N133" s="540" t="e">
        <f t="shared" ca="1" si="409"/>
        <v>#DIV/0!</v>
      </c>
      <c r="O133" s="540" t="e">
        <f t="shared" ca="1" si="409"/>
        <v>#DIV/0!</v>
      </c>
      <c r="P133" s="540" t="e">
        <f t="shared" ca="1" si="409"/>
        <v>#DIV/0!</v>
      </c>
      <c r="Q133" s="540" t="e">
        <f t="shared" ca="1" si="409"/>
        <v>#DIV/0!</v>
      </c>
      <c r="R133" s="540" t="e">
        <f t="shared" ca="1" si="409"/>
        <v>#DIV/0!</v>
      </c>
      <c r="S133" s="549" t="e">
        <f t="shared" ca="1" si="409"/>
        <v>#DIV/0!</v>
      </c>
      <c r="T133" s="549" t="e">
        <f t="shared" ca="1" si="409"/>
        <v>#DIV/0!</v>
      </c>
      <c r="U133" s="549" t="e">
        <f t="shared" ca="1" si="409"/>
        <v>#DIV/0!</v>
      </c>
      <c r="V133" s="540" t="e">
        <f t="shared" ca="1" si="409"/>
        <v>#DIV/0!</v>
      </c>
      <c r="W133" s="540" t="e">
        <f t="shared" ca="1" si="409"/>
        <v>#DIV/0!</v>
      </c>
      <c r="X133" s="540" t="e">
        <f t="shared" ca="1" si="409"/>
        <v>#DIV/0!</v>
      </c>
      <c r="Y133" s="540" t="e">
        <f t="shared" ca="1" si="409"/>
        <v>#DIV/0!</v>
      </c>
      <c r="Z133" s="540" t="e">
        <f t="shared" ca="1" si="409"/>
        <v>#DIV/0!</v>
      </c>
      <c r="AA133" s="540" t="e">
        <f t="shared" ca="1" si="409"/>
        <v>#DIV/0!</v>
      </c>
      <c r="AB133" s="540" t="e">
        <f t="shared" ca="1" si="409"/>
        <v>#DIV/0!</v>
      </c>
      <c r="AC133" s="540" t="e">
        <f t="shared" ca="1" si="409"/>
        <v>#DIV/0!</v>
      </c>
      <c r="AD133" s="540" t="e">
        <f t="shared" ca="1" si="409"/>
        <v>#DIV/0!</v>
      </c>
      <c r="AE133" s="540" t="e">
        <f t="shared" ca="1" si="409"/>
        <v>#DIV/0!</v>
      </c>
      <c r="AF133" s="540" t="e">
        <f t="shared" ca="1" si="409"/>
        <v>#DIV/0!</v>
      </c>
      <c r="AG133" s="540" t="e">
        <f t="shared" ca="1" si="409"/>
        <v>#DIV/0!</v>
      </c>
      <c r="AH133" s="540" t="e">
        <f t="shared" ca="1" si="409"/>
        <v>#DIV/0!</v>
      </c>
      <c r="AI133" s="540" t="e">
        <f t="shared" ca="1" si="409"/>
        <v>#DIV/0!</v>
      </c>
      <c r="AJ133" s="540" t="e">
        <f t="shared" ca="1" si="409"/>
        <v>#DIV/0!</v>
      </c>
      <c r="AK133" s="540" t="e">
        <f t="shared" ca="1" si="409"/>
        <v>#DIV/0!</v>
      </c>
      <c r="AL133" s="540" t="e">
        <f t="shared" ca="1" si="409"/>
        <v>#DIV/0!</v>
      </c>
      <c r="AM133" s="540" t="e">
        <f t="shared" ca="1" si="409"/>
        <v>#DIV/0!</v>
      </c>
      <c r="AN133" s="540" t="e">
        <f t="shared" ca="1" si="409"/>
        <v>#DIV/0!</v>
      </c>
      <c r="AO133" s="540" t="e">
        <f t="shared" ca="1" si="409"/>
        <v>#DIV/0!</v>
      </c>
      <c r="AP133" s="540" t="e">
        <f t="shared" ca="1" si="409"/>
        <v>#DIV/0!</v>
      </c>
      <c r="AQ133" s="540" t="e">
        <f t="shared" ca="1" si="409"/>
        <v>#DIV/0!</v>
      </c>
      <c r="AR133" s="540" t="e">
        <f t="shared" ca="1" si="409"/>
        <v>#DIV/0!</v>
      </c>
      <c r="AS133" s="540" t="e">
        <f t="shared" ca="1" si="409"/>
        <v>#DIV/0!</v>
      </c>
      <c r="AT133" s="540" t="e">
        <f t="shared" ca="1" si="409"/>
        <v>#DIV/0!</v>
      </c>
      <c r="AU133" s="540" t="e">
        <f t="shared" ca="1" si="409"/>
        <v>#DIV/0!</v>
      </c>
      <c r="AV133" s="540" t="e">
        <f t="shared" ca="1" si="409"/>
        <v>#DIV/0!</v>
      </c>
      <c r="AW133" s="540" t="e">
        <f t="shared" ca="1" si="409"/>
        <v>#DIV/0!</v>
      </c>
      <c r="AX133" s="540" t="e">
        <f t="shared" ca="1" si="409"/>
        <v>#DIV/0!</v>
      </c>
      <c r="AY133" s="540" t="e">
        <f t="shared" ca="1" si="409"/>
        <v>#DIV/0!</v>
      </c>
      <c r="AZ133" s="540" t="e">
        <f t="shared" ca="1" si="409"/>
        <v>#DIV/0!</v>
      </c>
      <c r="BA133" s="540" t="e">
        <f t="shared" ca="1" si="409"/>
        <v>#DIV/0!</v>
      </c>
      <c r="BB133" s="540" t="e">
        <f t="shared" ca="1" si="409"/>
        <v>#DIV/0!</v>
      </c>
      <c r="BC133" s="540" t="e">
        <f t="shared" ca="1" si="409"/>
        <v>#DIV/0!</v>
      </c>
      <c r="BD133" s="540" t="e">
        <f t="shared" ca="1" si="409"/>
        <v>#DIV/0!</v>
      </c>
      <c r="BE133" s="540" t="e">
        <f t="shared" ca="1" si="409"/>
        <v>#DIV/0!</v>
      </c>
      <c r="BF133" s="540" t="e">
        <f t="shared" ca="1" si="409"/>
        <v>#DIV/0!</v>
      </c>
      <c r="BG133" s="540" t="e">
        <f t="shared" ca="1" si="409"/>
        <v>#DIV/0!</v>
      </c>
      <c r="BH133" s="540" t="e">
        <f t="shared" ca="1" si="409"/>
        <v>#DIV/0!</v>
      </c>
      <c r="BI133" s="540" t="e">
        <f t="shared" ca="1" si="409"/>
        <v>#DIV/0!</v>
      </c>
      <c r="BJ133" s="540" t="e">
        <f t="shared" ca="1" si="409"/>
        <v>#DIV/0!</v>
      </c>
      <c r="BK133" s="540" t="e">
        <f t="shared" ca="1" si="409"/>
        <v>#DIV/0!</v>
      </c>
      <c r="BL133" s="540" t="e">
        <f t="shared" ca="1" si="409"/>
        <v>#DIV/0!</v>
      </c>
      <c r="BM133" s="540" t="e">
        <f t="shared" ca="1" si="409"/>
        <v>#DIV/0!</v>
      </c>
      <c r="BN133" s="540" t="e">
        <f t="shared" ca="1" si="409"/>
        <v>#DIV/0!</v>
      </c>
      <c r="BO133" s="540" t="e">
        <f t="shared" ca="1" si="409"/>
        <v>#DIV/0!</v>
      </c>
      <c r="BP133" s="540" t="e">
        <f t="shared" ca="1" si="409"/>
        <v>#DIV/0!</v>
      </c>
      <c r="BQ133" s="540" t="e">
        <f t="shared" ca="1" si="409"/>
        <v>#DIV/0!</v>
      </c>
      <c r="BR133" s="540" t="e">
        <f t="shared" ca="1" si="409"/>
        <v>#DIV/0!</v>
      </c>
      <c r="BS133" s="540" t="e">
        <f t="shared" ca="1" si="409"/>
        <v>#DIV/0!</v>
      </c>
      <c r="BT133" s="540" t="e">
        <f t="shared" ca="1" si="409"/>
        <v>#DIV/0!</v>
      </c>
      <c r="BU133" s="540" t="e">
        <f t="shared" ca="1" si="409"/>
        <v>#DIV/0!</v>
      </c>
      <c r="BV133" s="540" t="e">
        <f t="shared" ref="BV133:CL133" ca="1" si="410">BV132*BU133</f>
        <v>#DIV/0!</v>
      </c>
      <c r="BW133" s="540" t="e">
        <f t="shared" ca="1" si="410"/>
        <v>#DIV/0!</v>
      </c>
      <c r="BX133" s="540" t="e">
        <f t="shared" ca="1" si="410"/>
        <v>#DIV/0!</v>
      </c>
      <c r="BY133" s="540" t="e">
        <f t="shared" ca="1" si="410"/>
        <v>#DIV/0!</v>
      </c>
      <c r="BZ133" s="540" t="e">
        <f t="shared" ca="1" si="410"/>
        <v>#DIV/0!</v>
      </c>
      <c r="CA133" s="540" t="e">
        <f t="shared" ca="1" si="410"/>
        <v>#DIV/0!</v>
      </c>
      <c r="CB133" s="540" t="e">
        <f t="shared" ca="1" si="410"/>
        <v>#DIV/0!</v>
      </c>
      <c r="CC133" s="540" t="e">
        <f t="shared" ca="1" si="410"/>
        <v>#DIV/0!</v>
      </c>
      <c r="CD133" s="540" t="e">
        <f t="shared" ca="1" si="410"/>
        <v>#DIV/0!</v>
      </c>
      <c r="CE133" s="540" t="e">
        <f t="shared" ca="1" si="410"/>
        <v>#DIV/0!</v>
      </c>
      <c r="CF133" s="540" t="e">
        <f t="shared" ca="1" si="410"/>
        <v>#DIV/0!</v>
      </c>
      <c r="CG133" s="540" t="e">
        <f t="shared" ca="1" si="410"/>
        <v>#DIV/0!</v>
      </c>
      <c r="CH133" s="540" t="e">
        <f t="shared" ca="1" si="410"/>
        <v>#DIV/0!</v>
      </c>
      <c r="CI133" s="540" t="e">
        <f t="shared" ca="1" si="410"/>
        <v>#DIV/0!</v>
      </c>
      <c r="CJ133" s="540" t="e">
        <f t="shared" ca="1" si="410"/>
        <v>#DIV/0!</v>
      </c>
      <c r="CK133" s="540" t="e">
        <f t="shared" ca="1" si="410"/>
        <v>#DIV/0!</v>
      </c>
      <c r="CL133" s="540" t="e">
        <f t="shared" ca="1" si="410"/>
        <v>#DIV/0!</v>
      </c>
      <c r="CN133" s="619"/>
      <c r="CO133" s="619"/>
      <c r="CP133" s="619"/>
    </row>
    <row r="134" spans="1:94" outlineLevel="1">
      <c r="A134" s="538" t="s">
        <v>487</v>
      </c>
      <c r="B134" s="538" t="s">
        <v>424</v>
      </c>
      <c r="C134" s="538" t="s">
        <v>2</v>
      </c>
      <c r="D134" s="538"/>
      <c r="E134" s="540"/>
      <c r="F134" s="540"/>
      <c r="G134" s="540"/>
      <c r="H134" s="540"/>
      <c r="I134" s="540" t="e">
        <f t="shared" ref="I134:BT134" si="411">(I133*I117)/1000</f>
        <v>#VALUE!</v>
      </c>
      <c r="J134" s="540" t="e">
        <f t="shared" ca="1" si="411"/>
        <v>#N/A</v>
      </c>
      <c r="K134" s="540" t="e">
        <f t="shared" ca="1" si="411"/>
        <v>#N/A</v>
      </c>
      <c r="L134" s="540" t="e">
        <f t="shared" ca="1" si="411"/>
        <v>#N/A</v>
      </c>
      <c r="M134" s="540" t="e">
        <f t="shared" ca="1" si="411"/>
        <v>#N/A</v>
      </c>
      <c r="N134" s="540" t="e">
        <f t="shared" ca="1" si="411"/>
        <v>#DIV/0!</v>
      </c>
      <c r="O134" s="540" t="e">
        <f t="shared" ca="1" si="411"/>
        <v>#DIV/0!</v>
      </c>
      <c r="P134" s="540" t="e">
        <f t="shared" ca="1" si="411"/>
        <v>#DIV/0!</v>
      </c>
      <c r="Q134" s="540" t="e">
        <f t="shared" ca="1" si="411"/>
        <v>#DIV/0!</v>
      </c>
      <c r="R134" s="540" t="e">
        <f t="shared" ca="1" si="411"/>
        <v>#DIV/0!</v>
      </c>
      <c r="S134" s="549" t="e">
        <f t="shared" ca="1" si="411"/>
        <v>#DIV/0!</v>
      </c>
      <c r="T134" s="549" t="e">
        <f t="shared" ca="1" si="411"/>
        <v>#DIV/0!</v>
      </c>
      <c r="U134" s="549" t="e">
        <f t="shared" ca="1" si="411"/>
        <v>#DIV/0!</v>
      </c>
      <c r="V134" s="540" t="e">
        <f t="shared" ca="1" si="411"/>
        <v>#DIV/0!</v>
      </c>
      <c r="W134" s="540" t="e">
        <f t="shared" ca="1" si="411"/>
        <v>#DIV/0!</v>
      </c>
      <c r="X134" s="540" t="e">
        <f t="shared" ca="1" si="411"/>
        <v>#DIV/0!</v>
      </c>
      <c r="Y134" s="540" t="e">
        <f t="shared" ca="1" si="411"/>
        <v>#DIV/0!</v>
      </c>
      <c r="Z134" s="540" t="e">
        <f t="shared" ca="1" si="411"/>
        <v>#DIV/0!</v>
      </c>
      <c r="AA134" s="540" t="e">
        <f t="shared" ca="1" si="411"/>
        <v>#DIV/0!</v>
      </c>
      <c r="AB134" s="540" t="e">
        <f t="shared" ca="1" si="411"/>
        <v>#DIV/0!</v>
      </c>
      <c r="AC134" s="540" t="e">
        <f t="shared" ca="1" si="411"/>
        <v>#DIV/0!</v>
      </c>
      <c r="AD134" s="540" t="e">
        <f t="shared" ca="1" si="411"/>
        <v>#DIV/0!</v>
      </c>
      <c r="AE134" s="540" t="e">
        <f t="shared" ca="1" si="411"/>
        <v>#DIV/0!</v>
      </c>
      <c r="AF134" s="540" t="e">
        <f t="shared" ca="1" si="411"/>
        <v>#DIV/0!</v>
      </c>
      <c r="AG134" s="540" t="e">
        <f t="shared" ca="1" si="411"/>
        <v>#DIV/0!</v>
      </c>
      <c r="AH134" s="540" t="e">
        <f t="shared" ca="1" si="411"/>
        <v>#DIV/0!</v>
      </c>
      <c r="AI134" s="540" t="e">
        <f t="shared" ca="1" si="411"/>
        <v>#DIV/0!</v>
      </c>
      <c r="AJ134" s="540" t="e">
        <f t="shared" ca="1" si="411"/>
        <v>#DIV/0!</v>
      </c>
      <c r="AK134" s="540" t="e">
        <f t="shared" ca="1" si="411"/>
        <v>#DIV/0!</v>
      </c>
      <c r="AL134" s="540" t="e">
        <f t="shared" ca="1" si="411"/>
        <v>#DIV/0!</v>
      </c>
      <c r="AM134" s="540" t="e">
        <f t="shared" ca="1" si="411"/>
        <v>#DIV/0!</v>
      </c>
      <c r="AN134" s="540" t="e">
        <f t="shared" ca="1" si="411"/>
        <v>#DIV/0!</v>
      </c>
      <c r="AO134" s="540" t="e">
        <f t="shared" ca="1" si="411"/>
        <v>#DIV/0!</v>
      </c>
      <c r="AP134" s="540" t="e">
        <f t="shared" ca="1" si="411"/>
        <v>#DIV/0!</v>
      </c>
      <c r="AQ134" s="540" t="e">
        <f t="shared" ca="1" si="411"/>
        <v>#DIV/0!</v>
      </c>
      <c r="AR134" s="540" t="e">
        <f t="shared" ca="1" si="411"/>
        <v>#DIV/0!</v>
      </c>
      <c r="AS134" s="540" t="e">
        <f t="shared" ca="1" si="411"/>
        <v>#DIV/0!</v>
      </c>
      <c r="AT134" s="540" t="e">
        <f t="shared" ca="1" si="411"/>
        <v>#DIV/0!</v>
      </c>
      <c r="AU134" s="540" t="e">
        <f t="shared" ca="1" si="411"/>
        <v>#DIV/0!</v>
      </c>
      <c r="AV134" s="540" t="e">
        <f t="shared" ca="1" si="411"/>
        <v>#DIV/0!</v>
      </c>
      <c r="AW134" s="540" t="e">
        <f t="shared" ca="1" si="411"/>
        <v>#DIV/0!</v>
      </c>
      <c r="AX134" s="540" t="e">
        <f t="shared" ca="1" si="411"/>
        <v>#DIV/0!</v>
      </c>
      <c r="AY134" s="540" t="e">
        <f t="shared" ca="1" si="411"/>
        <v>#DIV/0!</v>
      </c>
      <c r="AZ134" s="540" t="e">
        <f t="shared" ca="1" si="411"/>
        <v>#DIV/0!</v>
      </c>
      <c r="BA134" s="540" t="e">
        <f t="shared" ca="1" si="411"/>
        <v>#DIV/0!</v>
      </c>
      <c r="BB134" s="540" t="e">
        <f t="shared" ca="1" si="411"/>
        <v>#DIV/0!</v>
      </c>
      <c r="BC134" s="540" t="e">
        <f t="shared" ca="1" si="411"/>
        <v>#DIV/0!</v>
      </c>
      <c r="BD134" s="540" t="e">
        <f t="shared" ca="1" si="411"/>
        <v>#DIV/0!</v>
      </c>
      <c r="BE134" s="540" t="e">
        <f t="shared" ca="1" si="411"/>
        <v>#DIV/0!</v>
      </c>
      <c r="BF134" s="540" t="e">
        <f t="shared" ca="1" si="411"/>
        <v>#DIV/0!</v>
      </c>
      <c r="BG134" s="540" t="e">
        <f t="shared" ca="1" si="411"/>
        <v>#DIV/0!</v>
      </c>
      <c r="BH134" s="540" t="e">
        <f t="shared" ca="1" si="411"/>
        <v>#DIV/0!</v>
      </c>
      <c r="BI134" s="540" t="e">
        <f t="shared" ca="1" si="411"/>
        <v>#DIV/0!</v>
      </c>
      <c r="BJ134" s="540" t="e">
        <f t="shared" ca="1" si="411"/>
        <v>#DIV/0!</v>
      </c>
      <c r="BK134" s="540" t="e">
        <f t="shared" ca="1" si="411"/>
        <v>#DIV/0!</v>
      </c>
      <c r="BL134" s="540" t="e">
        <f t="shared" ca="1" si="411"/>
        <v>#DIV/0!</v>
      </c>
      <c r="BM134" s="540" t="e">
        <f t="shared" ca="1" si="411"/>
        <v>#DIV/0!</v>
      </c>
      <c r="BN134" s="540" t="e">
        <f t="shared" ca="1" si="411"/>
        <v>#DIV/0!</v>
      </c>
      <c r="BO134" s="540" t="e">
        <f t="shared" ca="1" si="411"/>
        <v>#DIV/0!</v>
      </c>
      <c r="BP134" s="540" t="e">
        <f t="shared" ca="1" si="411"/>
        <v>#DIV/0!</v>
      </c>
      <c r="BQ134" s="540" t="e">
        <f t="shared" ca="1" si="411"/>
        <v>#DIV/0!</v>
      </c>
      <c r="BR134" s="540" t="e">
        <f t="shared" ca="1" si="411"/>
        <v>#DIV/0!</v>
      </c>
      <c r="BS134" s="540" t="e">
        <f t="shared" ca="1" si="411"/>
        <v>#DIV/0!</v>
      </c>
      <c r="BT134" s="540" t="e">
        <f t="shared" ca="1" si="411"/>
        <v>#DIV/0!</v>
      </c>
      <c r="BU134" s="540" t="e">
        <f t="shared" ref="BU134:CL134" ca="1" si="412">(BU133*BU117)/1000</f>
        <v>#DIV/0!</v>
      </c>
      <c r="BV134" s="540" t="e">
        <f t="shared" ca="1" si="412"/>
        <v>#DIV/0!</v>
      </c>
      <c r="BW134" s="540" t="e">
        <f t="shared" ca="1" si="412"/>
        <v>#DIV/0!</v>
      </c>
      <c r="BX134" s="540" t="e">
        <f t="shared" ca="1" si="412"/>
        <v>#DIV/0!</v>
      </c>
      <c r="BY134" s="540" t="e">
        <f t="shared" ca="1" si="412"/>
        <v>#DIV/0!</v>
      </c>
      <c r="BZ134" s="540" t="e">
        <f t="shared" ca="1" si="412"/>
        <v>#DIV/0!</v>
      </c>
      <c r="CA134" s="540" t="e">
        <f t="shared" ca="1" si="412"/>
        <v>#DIV/0!</v>
      </c>
      <c r="CB134" s="540" t="e">
        <f t="shared" ca="1" si="412"/>
        <v>#DIV/0!</v>
      </c>
      <c r="CC134" s="540" t="e">
        <f t="shared" ca="1" si="412"/>
        <v>#DIV/0!</v>
      </c>
      <c r="CD134" s="540" t="e">
        <f t="shared" ca="1" si="412"/>
        <v>#DIV/0!</v>
      </c>
      <c r="CE134" s="540" t="e">
        <f t="shared" ca="1" si="412"/>
        <v>#DIV/0!</v>
      </c>
      <c r="CF134" s="540" t="e">
        <f t="shared" ca="1" si="412"/>
        <v>#DIV/0!</v>
      </c>
      <c r="CG134" s="540" t="e">
        <f t="shared" ca="1" si="412"/>
        <v>#DIV/0!</v>
      </c>
      <c r="CH134" s="540" t="e">
        <f t="shared" ca="1" si="412"/>
        <v>#DIV/0!</v>
      </c>
      <c r="CI134" s="540" t="e">
        <f t="shared" ca="1" si="412"/>
        <v>#DIV/0!</v>
      </c>
      <c r="CJ134" s="540" t="e">
        <f t="shared" ca="1" si="412"/>
        <v>#DIV/0!</v>
      </c>
      <c r="CK134" s="540" t="e">
        <f t="shared" ca="1" si="412"/>
        <v>#DIV/0!</v>
      </c>
      <c r="CL134" s="540" t="e">
        <f t="shared" ca="1" si="412"/>
        <v>#DIV/0!</v>
      </c>
      <c r="CN134" s="619"/>
      <c r="CO134" s="619"/>
      <c r="CP134" s="619"/>
    </row>
    <row r="135" spans="1:94" outlineLevel="1">
      <c r="A135" s="538" t="s">
        <v>487</v>
      </c>
      <c r="B135" s="538" t="s">
        <v>425</v>
      </c>
      <c r="C135" s="538" t="s">
        <v>422</v>
      </c>
      <c r="D135" s="538"/>
      <c r="E135" s="540"/>
      <c r="F135" s="540"/>
      <c r="G135" s="540"/>
      <c r="H135" s="540"/>
      <c r="I135" s="540" t="e">
        <f t="shared" ref="I135:BT135" si="413">IF(I134&gt;$I134,($I134/I117)*1000,I133)</f>
        <v>#VALUE!</v>
      </c>
      <c r="J135" s="540" t="e">
        <f t="shared" ca="1" si="413"/>
        <v>#N/A</v>
      </c>
      <c r="K135" s="540" t="e">
        <f t="shared" ca="1" si="413"/>
        <v>#N/A</v>
      </c>
      <c r="L135" s="540" t="e">
        <f t="shared" ca="1" si="413"/>
        <v>#N/A</v>
      </c>
      <c r="M135" s="540" t="e">
        <f t="shared" ca="1" si="413"/>
        <v>#N/A</v>
      </c>
      <c r="N135" s="540" t="e">
        <f t="shared" ca="1" si="413"/>
        <v>#DIV/0!</v>
      </c>
      <c r="O135" s="540" t="e">
        <f t="shared" ca="1" si="413"/>
        <v>#DIV/0!</v>
      </c>
      <c r="P135" s="540" t="e">
        <f t="shared" ca="1" si="413"/>
        <v>#DIV/0!</v>
      </c>
      <c r="Q135" s="540" t="e">
        <f t="shared" ca="1" si="413"/>
        <v>#DIV/0!</v>
      </c>
      <c r="R135" s="540" t="e">
        <f t="shared" ca="1" si="413"/>
        <v>#DIV/0!</v>
      </c>
      <c r="S135" s="549" t="e">
        <f t="shared" ca="1" si="413"/>
        <v>#DIV/0!</v>
      </c>
      <c r="T135" s="549" t="e">
        <f t="shared" ca="1" si="413"/>
        <v>#DIV/0!</v>
      </c>
      <c r="U135" s="549" t="e">
        <f t="shared" ca="1" si="413"/>
        <v>#DIV/0!</v>
      </c>
      <c r="V135" s="540" t="e">
        <f t="shared" ca="1" si="413"/>
        <v>#DIV/0!</v>
      </c>
      <c r="W135" s="540" t="e">
        <f t="shared" ca="1" si="413"/>
        <v>#DIV/0!</v>
      </c>
      <c r="X135" s="540" t="e">
        <f t="shared" ca="1" si="413"/>
        <v>#DIV/0!</v>
      </c>
      <c r="Y135" s="540" t="e">
        <f t="shared" ca="1" si="413"/>
        <v>#DIV/0!</v>
      </c>
      <c r="Z135" s="540" t="e">
        <f t="shared" ca="1" si="413"/>
        <v>#DIV/0!</v>
      </c>
      <c r="AA135" s="540" t="e">
        <f t="shared" ca="1" si="413"/>
        <v>#DIV/0!</v>
      </c>
      <c r="AB135" s="540" t="e">
        <f t="shared" ca="1" si="413"/>
        <v>#DIV/0!</v>
      </c>
      <c r="AC135" s="540" t="e">
        <f t="shared" ca="1" si="413"/>
        <v>#DIV/0!</v>
      </c>
      <c r="AD135" s="540" t="e">
        <f t="shared" ca="1" si="413"/>
        <v>#DIV/0!</v>
      </c>
      <c r="AE135" s="540" t="e">
        <f t="shared" ca="1" si="413"/>
        <v>#DIV/0!</v>
      </c>
      <c r="AF135" s="540" t="e">
        <f t="shared" ca="1" si="413"/>
        <v>#DIV/0!</v>
      </c>
      <c r="AG135" s="540" t="e">
        <f t="shared" ca="1" si="413"/>
        <v>#DIV/0!</v>
      </c>
      <c r="AH135" s="540" t="e">
        <f t="shared" ca="1" si="413"/>
        <v>#DIV/0!</v>
      </c>
      <c r="AI135" s="540" t="e">
        <f t="shared" ca="1" si="413"/>
        <v>#DIV/0!</v>
      </c>
      <c r="AJ135" s="540" t="e">
        <f t="shared" ca="1" si="413"/>
        <v>#DIV/0!</v>
      </c>
      <c r="AK135" s="540" t="e">
        <f t="shared" ca="1" si="413"/>
        <v>#DIV/0!</v>
      </c>
      <c r="AL135" s="540" t="e">
        <f t="shared" ca="1" si="413"/>
        <v>#DIV/0!</v>
      </c>
      <c r="AM135" s="540" t="e">
        <f t="shared" ca="1" si="413"/>
        <v>#DIV/0!</v>
      </c>
      <c r="AN135" s="540" t="e">
        <f t="shared" ca="1" si="413"/>
        <v>#DIV/0!</v>
      </c>
      <c r="AO135" s="540" t="e">
        <f t="shared" ca="1" si="413"/>
        <v>#DIV/0!</v>
      </c>
      <c r="AP135" s="540" t="e">
        <f t="shared" ca="1" si="413"/>
        <v>#DIV/0!</v>
      </c>
      <c r="AQ135" s="540" t="e">
        <f t="shared" ca="1" si="413"/>
        <v>#DIV/0!</v>
      </c>
      <c r="AR135" s="540" t="e">
        <f t="shared" ca="1" si="413"/>
        <v>#DIV/0!</v>
      </c>
      <c r="AS135" s="540" t="e">
        <f t="shared" ca="1" si="413"/>
        <v>#DIV/0!</v>
      </c>
      <c r="AT135" s="540" t="e">
        <f t="shared" ca="1" si="413"/>
        <v>#DIV/0!</v>
      </c>
      <c r="AU135" s="540" t="e">
        <f t="shared" ca="1" si="413"/>
        <v>#DIV/0!</v>
      </c>
      <c r="AV135" s="540" t="e">
        <f t="shared" ca="1" si="413"/>
        <v>#DIV/0!</v>
      </c>
      <c r="AW135" s="540" t="e">
        <f t="shared" ca="1" si="413"/>
        <v>#DIV/0!</v>
      </c>
      <c r="AX135" s="540" t="e">
        <f t="shared" ca="1" si="413"/>
        <v>#DIV/0!</v>
      </c>
      <c r="AY135" s="540" t="e">
        <f t="shared" ca="1" si="413"/>
        <v>#DIV/0!</v>
      </c>
      <c r="AZ135" s="540" t="e">
        <f t="shared" ca="1" si="413"/>
        <v>#DIV/0!</v>
      </c>
      <c r="BA135" s="540" t="e">
        <f t="shared" ca="1" si="413"/>
        <v>#DIV/0!</v>
      </c>
      <c r="BB135" s="540" t="e">
        <f t="shared" ca="1" si="413"/>
        <v>#DIV/0!</v>
      </c>
      <c r="BC135" s="540" t="e">
        <f t="shared" ca="1" si="413"/>
        <v>#DIV/0!</v>
      </c>
      <c r="BD135" s="540" t="e">
        <f t="shared" ca="1" si="413"/>
        <v>#DIV/0!</v>
      </c>
      <c r="BE135" s="540" t="e">
        <f t="shared" ca="1" si="413"/>
        <v>#DIV/0!</v>
      </c>
      <c r="BF135" s="540" t="e">
        <f t="shared" ca="1" si="413"/>
        <v>#DIV/0!</v>
      </c>
      <c r="BG135" s="540" t="e">
        <f t="shared" ca="1" si="413"/>
        <v>#DIV/0!</v>
      </c>
      <c r="BH135" s="540" t="e">
        <f t="shared" ca="1" si="413"/>
        <v>#DIV/0!</v>
      </c>
      <c r="BI135" s="540" t="e">
        <f t="shared" ca="1" si="413"/>
        <v>#DIV/0!</v>
      </c>
      <c r="BJ135" s="540" t="e">
        <f t="shared" ca="1" si="413"/>
        <v>#DIV/0!</v>
      </c>
      <c r="BK135" s="540" t="e">
        <f t="shared" ca="1" si="413"/>
        <v>#DIV/0!</v>
      </c>
      <c r="BL135" s="540" t="e">
        <f t="shared" ca="1" si="413"/>
        <v>#DIV/0!</v>
      </c>
      <c r="BM135" s="540" t="e">
        <f t="shared" ca="1" si="413"/>
        <v>#DIV/0!</v>
      </c>
      <c r="BN135" s="540" t="e">
        <f t="shared" ca="1" si="413"/>
        <v>#DIV/0!</v>
      </c>
      <c r="BO135" s="540" t="e">
        <f t="shared" ca="1" si="413"/>
        <v>#DIV/0!</v>
      </c>
      <c r="BP135" s="540" t="e">
        <f t="shared" ca="1" si="413"/>
        <v>#DIV/0!</v>
      </c>
      <c r="BQ135" s="540" t="e">
        <f t="shared" ca="1" si="413"/>
        <v>#DIV/0!</v>
      </c>
      <c r="BR135" s="540" t="e">
        <f t="shared" ca="1" si="413"/>
        <v>#DIV/0!</v>
      </c>
      <c r="BS135" s="540" t="e">
        <f t="shared" ca="1" si="413"/>
        <v>#DIV/0!</v>
      </c>
      <c r="BT135" s="540" t="e">
        <f t="shared" ca="1" si="413"/>
        <v>#DIV/0!</v>
      </c>
      <c r="BU135" s="540" t="e">
        <f t="shared" ref="BU135:CL135" ca="1" si="414">IF(BU134&gt;$I134,($I134/BU117)*1000,BU133)</f>
        <v>#DIV/0!</v>
      </c>
      <c r="BV135" s="540" t="e">
        <f t="shared" ca="1" si="414"/>
        <v>#DIV/0!</v>
      </c>
      <c r="BW135" s="540" t="e">
        <f t="shared" ca="1" si="414"/>
        <v>#DIV/0!</v>
      </c>
      <c r="BX135" s="540" t="e">
        <f t="shared" ca="1" si="414"/>
        <v>#DIV/0!</v>
      </c>
      <c r="BY135" s="540" t="e">
        <f t="shared" ca="1" si="414"/>
        <v>#DIV/0!</v>
      </c>
      <c r="BZ135" s="540" t="e">
        <f t="shared" ca="1" si="414"/>
        <v>#DIV/0!</v>
      </c>
      <c r="CA135" s="540" t="e">
        <f t="shared" ca="1" si="414"/>
        <v>#DIV/0!</v>
      </c>
      <c r="CB135" s="540" t="e">
        <f t="shared" ca="1" si="414"/>
        <v>#DIV/0!</v>
      </c>
      <c r="CC135" s="540" t="e">
        <f t="shared" ca="1" si="414"/>
        <v>#DIV/0!</v>
      </c>
      <c r="CD135" s="540" t="e">
        <f t="shared" ca="1" si="414"/>
        <v>#DIV/0!</v>
      </c>
      <c r="CE135" s="540" t="e">
        <f t="shared" ca="1" si="414"/>
        <v>#DIV/0!</v>
      </c>
      <c r="CF135" s="540" t="e">
        <f t="shared" ca="1" si="414"/>
        <v>#DIV/0!</v>
      </c>
      <c r="CG135" s="540" t="e">
        <f t="shared" ca="1" si="414"/>
        <v>#DIV/0!</v>
      </c>
      <c r="CH135" s="540" t="e">
        <f t="shared" ca="1" si="414"/>
        <v>#DIV/0!</v>
      </c>
      <c r="CI135" s="540" t="e">
        <f t="shared" ca="1" si="414"/>
        <v>#DIV/0!</v>
      </c>
      <c r="CJ135" s="540" t="e">
        <f t="shared" ca="1" si="414"/>
        <v>#DIV/0!</v>
      </c>
      <c r="CK135" s="540" t="e">
        <f t="shared" ca="1" si="414"/>
        <v>#DIV/0!</v>
      </c>
      <c r="CL135" s="540" t="e">
        <f t="shared" ca="1" si="414"/>
        <v>#DIV/0!</v>
      </c>
      <c r="CN135" s="619"/>
      <c r="CO135" s="619"/>
      <c r="CP135" s="619"/>
    </row>
    <row r="136" spans="1:94" outlineLevel="1">
      <c r="A136" s="538" t="s">
        <v>487</v>
      </c>
      <c r="B136" s="538" t="s">
        <v>425</v>
      </c>
      <c r="C136" s="538" t="s">
        <v>2</v>
      </c>
      <c r="D136" s="538"/>
      <c r="E136" s="540"/>
      <c r="F136" s="540"/>
      <c r="G136" s="540"/>
      <c r="H136" s="540"/>
      <c r="I136" s="540" t="e">
        <f t="shared" ref="I136:BT136" si="415">(I135*I117)/1000</f>
        <v>#VALUE!</v>
      </c>
      <c r="J136" s="540" t="e">
        <f t="shared" ca="1" si="415"/>
        <v>#N/A</v>
      </c>
      <c r="K136" s="540" t="e">
        <f t="shared" ca="1" si="415"/>
        <v>#N/A</v>
      </c>
      <c r="L136" s="540" t="e">
        <f t="shared" ca="1" si="415"/>
        <v>#N/A</v>
      </c>
      <c r="M136" s="540" t="e">
        <f t="shared" ca="1" si="415"/>
        <v>#N/A</v>
      </c>
      <c r="N136" s="540" t="e">
        <f t="shared" ca="1" si="415"/>
        <v>#DIV/0!</v>
      </c>
      <c r="O136" s="540" t="e">
        <f t="shared" ca="1" si="415"/>
        <v>#DIV/0!</v>
      </c>
      <c r="P136" s="540" t="e">
        <f t="shared" ca="1" si="415"/>
        <v>#DIV/0!</v>
      </c>
      <c r="Q136" s="540" t="e">
        <f t="shared" ca="1" si="415"/>
        <v>#DIV/0!</v>
      </c>
      <c r="R136" s="540" t="e">
        <f t="shared" ca="1" si="415"/>
        <v>#DIV/0!</v>
      </c>
      <c r="S136" s="549" t="e">
        <f t="shared" ca="1" si="415"/>
        <v>#DIV/0!</v>
      </c>
      <c r="T136" s="549" t="e">
        <f t="shared" ca="1" si="415"/>
        <v>#DIV/0!</v>
      </c>
      <c r="U136" s="549" t="e">
        <f t="shared" ca="1" si="415"/>
        <v>#DIV/0!</v>
      </c>
      <c r="V136" s="540" t="e">
        <f t="shared" ca="1" si="415"/>
        <v>#DIV/0!</v>
      </c>
      <c r="W136" s="540" t="e">
        <f t="shared" ca="1" si="415"/>
        <v>#DIV/0!</v>
      </c>
      <c r="X136" s="540" t="e">
        <f t="shared" ca="1" si="415"/>
        <v>#DIV/0!</v>
      </c>
      <c r="Y136" s="540" t="e">
        <f t="shared" ca="1" si="415"/>
        <v>#DIV/0!</v>
      </c>
      <c r="Z136" s="540" t="e">
        <f t="shared" ca="1" si="415"/>
        <v>#DIV/0!</v>
      </c>
      <c r="AA136" s="540" t="e">
        <f t="shared" ca="1" si="415"/>
        <v>#DIV/0!</v>
      </c>
      <c r="AB136" s="540" t="e">
        <f t="shared" ca="1" si="415"/>
        <v>#DIV/0!</v>
      </c>
      <c r="AC136" s="540" t="e">
        <f t="shared" ca="1" si="415"/>
        <v>#DIV/0!</v>
      </c>
      <c r="AD136" s="540" t="e">
        <f t="shared" ca="1" si="415"/>
        <v>#DIV/0!</v>
      </c>
      <c r="AE136" s="540" t="e">
        <f t="shared" ca="1" si="415"/>
        <v>#DIV/0!</v>
      </c>
      <c r="AF136" s="540" t="e">
        <f t="shared" ca="1" si="415"/>
        <v>#DIV/0!</v>
      </c>
      <c r="AG136" s="540" t="e">
        <f t="shared" ca="1" si="415"/>
        <v>#DIV/0!</v>
      </c>
      <c r="AH136" s="540" t="e">
        <f t="shared" ca="1" si="415"/>
        <v>#DIV/0!</v>
      </c>
      <c r="AI136" s="540" t="e">
        <f t="shared" ca="1" si="415"/>
        <v>#DIV/0!</v>
      </c>
      <c r="AJ136" s="540" t="e">
        <f t="shared" ca="1" si="415"/>
        <v>#DIV/0!</v>
      </c>
      <c r="AK136" s="540" t="e">
        <f t="shared" ca="1" si="415"/>
        <v>#DIV/0!</v>
      </c>
      <c r="AL136" s="540" t="e">
        <f t="shared" ca="1" si="415"/>
        <v>#DIV/0!</v>
      </c>
      <c r="AM136" s="540" t="e">
        <f t="shared" ca="1" si="415"/>
        <v>#DIV/0!</v>
      </c>
      <c r="AN136" s="540" t="e">
        <f t="shared" ca="1" si="415"/>
        <v>#DIV/0!</v>
      </c>
      <c r="AO136" s="540" t="e">
        <f t="shared" ca="1" si="415"/>
        <v>#DIV/0!</v>
      </c>
      <c r="AP136" s="540" t="e">
        <f t="shared" ca="1" si="415"/>
        <v>#DIV/0!</v>
      </c>
      <c r="AQ136" s="540" t="e">
        <f t="shared" ca="1" si="415"/>
        <v>#DIV/0!</v>
      </c>
      <c r="AR136" s="540" t="e">
        <f t="shared" ca="1" si="415"/>
        <v>#DIV/0!</v>
      </c>
      <c r="AS136" s="540" t="e">
        <f t="shared" ca="1" si="415"/>
        <v>#DIV/0!</v>
      </c>
      <c r="AT136" s="540" t="e">
        <f t="shared" ca="1" si="415"/>
        <v>#DIV/0!</v>
      </c>
      <c r="AU136" s="540" t="e">
        <f t="shared" ca="1" si="415"/>
        <v>#DIV/0!</v>
      </c>
      <c r="AV136" s="540" t="e">
        <f t="shared" ca="1" si="415"/>
        <v>#DIV/0!</v>
      </c>
      <c r="AW136" s="540" t="e">
        <f t="shared" ca="1" si="415"/>
        <v>#DIV/0!</v>
      </c>
      <c r="AX136" s="540" t="e">
        <f t="shared" ca="1" si="415"/>
        <v>#DIV/0!</v>
      </c>
      <c r="AY136" s="540" t="e">
        <f t="shared" ca="1" si="415"/>
        <v>#DIV/0!</v>
      </c>
      <c r="AZ136" s="540" t="e">
        <f t="shared" ca="1" si="415"/>
        <v>#DIV/0!</v>
      </c>
      <c r="BA136" s="540" t="e">
        <f t="shared" ca="1" si="415"/>
        <v>#DIV/0!</v>
      </c>
      <c r="BB136" s="540" t="e">
        <f t="shared" ca="1" si="415"/>
        <v>#DIV/0!</v>
      </c>
      <c r="BC136" s="540" t="e">
        <f t="shared" ca="1" si="415"/>
        <v>#DIV/0!</v>
      </c>
      <c r="BD136" s="540" t="e">
        <f t="shared" ca="1" si="415"/>
        <v>#DIV/0!</v>
      </c>
      <c r="BE136" s="540" t="e">
        <f t="shared" ca="1" si="415"/>
        <v>#DIV/0!</v>
      </c>
      <c r="BF136" s="540" t="e">
        <f t="shared" ca="1" si="415"/>
        <v>#DIV/0!</v>
      </c>
      <c r="BG136" s="540" t="e">
        <f t="shared" ca="1" si="415"/>
        <v>#DIV/0!</v>
      </c>
      <c r="BH136" s="540" t="e">
        <f t="shared" ca="1" si="415"/>
        <v>#DIV/0!</v>
      </c>
      <c r="BI136" s="540" t="e">
        <f t="shared" ca="1" si="415"/>
        <v>#DIV/0!</v>
      </c>
      <c r="BJ136" s="540" t="e">
        <f t="shared" ca="1" si="415"/>
        <v>#DIV/0!</v>
      </c>
      <c r="BK136" s="540" t="e">
        <f t="shared" ca="1" si="415"/>
        <v>#DIV/0!</v>
      </c>
      <c r="BL136" s="540" t="e">
        <f t="shared" ca="1" si="415"/>
        <v>#DIV/0!</v>
      </c>
      <c r="BM136" s="540" t="e">
        <f t="shared" ca="1" si="415"/>
        <v>#DIV/0!</v>
      </c>
      <c r="BN136" s="540" t="e">
        <f t="shared" ca="1" si="415"/>
        <v>#DIV/0!</v>
      </c>
      <c r="BO136" s="540" t="e">
        <f t="shared" ca="1" si="415"/>
        <v>#DIV/0!</v>
      </c>
      <c r="BP136" s="540" t="e">
        <f t="shared" ca="1" si="415"/>
        <v>#DIV/0!</v>
      </c>
      <c r="BQ136" s="540" t="e">
        <f t="shared" ca="1" si="415"/>
        <v>#DIV/0!</v>
      </c>
      <c r="BR136" s="540" t="e">
        <f t="shared" ca="1" si="415"/>
        <v>#DIV/0!</v>
      </c>
      <c r="BS136" s="540" t="e">
        <f t="shared" ca="1" si="415"/>
        <v>#DIV/0!</v>
      </c>
      <c r="BT136" s="540" t="e">
        <f t="shared" ca="1" si="415"/>
        <v>#DIV/0!</v>
      </c>
      <c r="BU136" s="540" t="e">
        <f t="shared" ref="BU136:CL136" ca="1" si="416">(BU135*BU117)/1000</f>
        <v>#DIV/0!</v>
      </c>
      <c r="BV136" s="540" t="e">
        <f t="shared" ca="1" si="416"/>
        <v>#DIV/0!</v>
      </c>
      <c r="BW136" s="540" t="e">
        <f t="shared" ca="1" si="416"/>
        <v>#DIV/0!</v>
      </c>
      <c r="BX136" s="540" t="e">
        <f t="shared" ca="1" si="416"/>
        <v>#DIV/0!</v>
      </c>
      <c r="BY136" s="540" t="e">
        <f t="shared" ca="1" si="416"/>
        <v>#DIV/0!</v>
      </c>
      <c r="BZ136" s="540" t="e">
        <f t="shared" ca="1" si="416"/>
        <v>#DIV/0!</v>
      </c>
      <c r="CA136" s="540" t="e">
        <f t="shared" ca="1" si="416"/>
        <v>#DIV/0!</v>
      </c>
      <c r="CB136" s="540" t="e">
        <f t="shared" ca="1" si="416"/>
        <v>#DIV/0!</v>
      </c>
      <c r="CC136" s="540" t="e">
        <f t="shared" ca="1" si="416"/>
        <v>#DIV/0!</v>
      </c>
      <c r="CD136" s="540" t="e">
        <f t="shared" ca="1" si="416"/>
        <v>#DIV/0!</v>
      </c>
      <c r="CE136" s="540" t="e">
        <f t="shared" ca="1" si="416"/>
        <v>#DIV/0!</v>
      </c>
      <c r="CF136" s="540" t="e">
        <f t="shared" ca="1" si="416"/>
        <v>#DIV/0!</v>
      </c>
      <c r="CG136" s="540" t="e">
        <f t="shared" ca="1" si="416"/>
        <v>#DIV/0!</v>
      </c>
      <c r="CH136" s="540" t="e">
        <f t="shared" ca="1" si="416"/>
        <v>#DIV/0!</v>
      </c>
      <c r="CI136" s="540" t="e">
        <f t="shared" ca="1" si="416"/>
        <v>#DIV/0!</v>
      </c>
      <c r="CJ136" s="540" t="e">
        <f t="shared" ca="1" si="416"/>
        <v>#DIV/0!</v>
      </c>
      <c r="CK136" s="540" t="e">
        <f t="shared" ca="1" si="416"/>
        <v>#DIV/0!</v>
      </c>
      <c r="CL136" s="540" t="e">
        <f t="shared" ca="1" si="416"/>
        <v>#DIV/0!</v>
      </c>
      <c r="CN136" s="619"/>
      <c r="CO136" s="619"/>
      <c r="CP136" s="619"/>
    </row>
    <row r="137" spans="1:94" ht="16.5" thickBot="1">
      <c r="A137" s="582" t="s">
        <v>490</v>
      </c>
      <c r="B137" s="582"/>
      <c r="C137" s="582"/>
      <c r="D137" s="582"/>
      <c r="E137" s="583">
        <v>2015</v>
      </c>
      <c r="F137" s="584">
        <f>E137+1</f>
        <v>2016</v>
      </c>
      <c r="G137" s="584">
        <f t="shared" ref="G137:I137" si="417">F137+1</f>
        <v>2017</v>
      </c>
      <c r="H137" s="584">
        <f t="shared" si="417"/>
        <v>2018</v>
      </c>
      <c r="I137" s="584">
        <f t="shared" si="417"/>
        <v>2019</v>
      </c>
      <c r="J137" s="584">
        <f>E137+5</f>
        <v>2020</v>
      </c>
      <c r="K137" s="584">
        <f>J137+1</f>
        <v>2021</v>
      </c>
      <c r="L137" s="584">
        <f t="shared" ref="L137:N137" si="418">K137+1</f>
        <v>2022</v>
      </c>
      <c r="M137" s="584">
        <f t="shared" si="418"/>
        <v>2023</v>
      </c>
      <c r="N137" s="584">
        <f t="shared" si="418"/>
        <v>2024</v>
      </c>
      <c r="O137" s="584">
        <f>J137+5</f>
        <v>2025</v>
      </c>
      <c r="P137" s="584">
        <f>O137+1</f>
        <v>2026</v>
      </c>
      <c r="Q137" s="584">
        <f t="shared" ref="Q137:S137" si="419">P137+1</f>
        <v>2027</v>
      </c>
      <c r="R137" s="584">
        <f t="shared" si="419"/>
        <v>2028</v>
      </c>
      <c r="S137" s="584">
        <f t="shared" si="419"/>
        <v>2029</v>
      </c>
      <c r="T137" s="584">
        <f>O137+5</f>
        <v>2030</v>
      </c>
      <c r="U137" s="584">
        <f>T137+1</f>
        <v>2031</v>
      </c>
      <c r="V137" s="584">
        <f t="shared" ref="V137:X137" si="420">U137+1</f>
        <v>2032</v>
      </c>
      <c r="W137" s="584">
        <f t="shared" si="420"/>
        <v>2033</v>
      </c>
      <c r="X137" s="584">
        <f t="shared" si="420"/>
        <v>2034</v>
      </c>
      <c r="Y137" s="584">
        <f>T137+5</f>
        <v>2035</v>
      </c>
      <c r="Z137" s="584">
        <f>Y137+1</f>
        <v>2036</v>
      </c>
      <c r="AA137" s="584">
        <f t="shared" ref="AA137:AC137" si="421">Z137+1</f>
        <v>2037</v>
      </c>
      <c r="AB137" s="584">
        <f t="shared" si="421"/>
        <v>2038</v>
      </c>
      <c r="AC137" s="584">
        <f t="shared" si="421"/>
        <v>2039</v>
      </c>
      <c r="AD137" s="584">
        <f>Y137+5</f>
        <v>2040</v>
      </c>
      <c r="AE137" s="584">
        <f>AD137+1</f>
        <v>2041</v>
      </c>
      <c r="AF137" s="584">
        <f t="shared" ref="AF137:AH137" si="422">AE137+1</f>
        <v>2042</v>
      </c>
      <c r="AG137" s="584">
        <f t="shared" si="422"/>
        <v>2043</v>
      </c>
      <c r="AH137" s="584">
        <f t="shared" si="422"/>
        <v>2044</v>
      </c>
      <c r="AI137" s="584">
        <f>AD137+5</f>
        <v>2045</v>
      </c>
      <c r="AJ137" s="584">
        <f>AI137+1</f>
        <v>2046</v>
      </c>
      <c r="AK137" s="584">
        <f t="shared" ref="AK137:AM137" si="423">AJ137+1</f>
        <v>2047</v>
      </c>
      <c r="AL137" s="584">
        <f t="shared" si="423"/>
        <v>2048</v>
      </c>
      <c r="AM137" s="584">
        <f t="shared" si="423"/>
        <v>2049</v>
      </c>
      <c r="AN137" s="584">
        <f>AI137+5</f>
        <v>2050</v>
      </c>
      <c r="AO137" s="584">
        <f>AN137+1</f>
        <v>2051</v>
      </c>
      <c r="AP137" s="584">
        <f t="shared" ref="AP137:AR137" si="424">AO137+1</f>
        <v>2052</v>
      </c>
      <c r="AQ137" s="584">
        <f t="shared" si="424"/>
        <v>2053</v>
      </c>
      <c r="AR137" s="584">
        <f t="shared" si="424"/>
        <v>2054</v>
      </c>
      <c r="AS137" s="584">
        <f>AN137+5</f>
        <v>2055</v>
      </c>
      <c r="AT137" s="584">
        <f>AS137+1</f>
        <v>2056</v>
      </c>
      <c r="AU137" s="584">
        <f t="shared" ref="AU137:AW137" si="425">AT137+1</f>
        <v>2057</v>
      </c>
      <c r="AV137" s="584">
        <f t="shared" si="425"/>
        <v>2058</v>
      </c>
      <c r="AW137" s="584">
        <f t="shared" si="425"/>
        <v>2059</v>
      </c>
      <c r="AX137" s="584">
        <f>AS137+5</f>
        <v>2060</v>
      </c>
      <c r="AY137" s="584">
        <f>AX137+1</f>
        <v>2061</v>
      </c>
      <c r="AZ137" s="584">
        <f t="shared" ref="AZ137:BB137" si="426">AY137+1</f>
        <v>2062</v>
      </c>
      <c r="BA137" s="584">
        <f t="shared" si="426"/>
        <v>2063</v>
      </c>
      <c r="BB137" s="584">
        <f t="shared" si="426"/>
        <v>2064</v>
      </c>
      <c r="BC137" s="584">
        <f>AX137+5</f>
        <v>2065</v>
      </c>
      <c r="BD137" s="584">
        <f>BC137+1</f>
        <v>2066</v>
      </c>
      <c r="BE137" s="584">
        <f t="shared" ref="BE137:BG137" si="427">BD137+1</f>
        <v>2067</v>
      </c>
      <c r="BF137" s="584">
        <f t="shared" si="427"/>
        <v>2068</v>
      </c>
      <c r="BG137" s="584">
        <f t="shared" si="427"/>
        <v>2069</v>
      </c>
      <c r="BH137" s="584">
        <f>BC137+5</f>
        <v>2070</v>
      </c>
      <c r="BI137" s="584">
        <f>BH137+1</f>
        <v>2071</v>
      </c>
      <c r="BJ137" s="584">
        <f t="shared" ref="BJ137:BL137" si="428">BI137+1</f>
        <v>2072</v>
      </c>
      <c r="BK137" s="584">
        <f t="shared" si="428"/>
        <v>2073</v>
      </c>
      <c r="BL137" s="584">
        <f t="shared" si="428"/>
        <v>2074</v>
      </c>
      <c r="BM137" s="584">
        <f>BH137+5</f>
        <v>2075</v>
      </c>
      <c r="BN137" s="584">
        <f>BM137+1</f>
        <v>2076</v>
      </c>
      <c r="BO137" s="584">
        <f t="shared" ref="BO137:BQ137" si="429">BN137+1</f>
        <v>2077</v>
      </c>
      <c r="BP137" s="584">
        <f t="shared" si="429"/>
        <v>2078</v>
      </c>
      <c r="BQ137" s="584">
        <f t="shared" si="429"/>
        <v>2079</v>
      </c>
      <c r="BR137" s="584">
        <f>BM137+5</f>
        <v>2080</v>
      </c>
      <c r="BS137" s="584">
        <f>BR137+1</f>
        <v>2081</v>
      </c>
      <c r="BT137" s="584">
        <f t="shared" ref="BT137:BV137" si="430">BS137+1</f>
        <v>2082</v>
      </c>
      <c r="BU137" s="584">
        <f t="shared" si="430"/>
        <v>2083</v>
      </c>
      <c r="BV137" s="584">
        <f t="shared" si="430"/>
        <v>2084</v>
      </c>
      <c r="BW137" s="584">
        <f>BR137+5</f>
        <v>2085</v>
      </c>
      <c r="BX137" s="584">
        <f>BW137+1</f>
        <v>2086</v>
      </c>
      <c r="BY137" s="584">
        <f t="shared" ref="BY137:CA137" si="431">BX137+1</f>
        <v>2087</v>
      </c>
      <c r="BZ137" s="584">
        <f t="shared" si="431"/>
        <v>2088</v>
      </c>
      <c r="CA137" s="584">
        <f t="shared" si="431"/>
        <v>2089</v>
      </c>
      <c r="CB137" s="584">
        <f>BW137+5</f>
        <v>2090</v>
      </c>
      <c r="CC137" s="584">
        <f>CB137+1</f>
        <v>2091</v>
      </c>
      <c r="CD137" s="584">
        <f t="shared" ref="CD137:CF137" si="432">CC137+1</f>
        <v>2092</v>
      </c>
      <c r="CE137" s="584">
        <f t="shared" si="432"/>
        <v>2093</v>
      </c>
      <c r="CF137" s="584">
        <f t="shared" si="432"/>
        <v>2094</v>
      </c>
      <c r="CG137" s="584">
        <f>CB137+5</f>
        <v>2095</v>
      </c>
      <c r="CH137" s="584">
        <f>CG137+1</f>
        <v>2096</v>
      </c>
      <c r="CI137" s="584">
        <f t="shared" ref="CI137:CK137" si="433">CH137+1</f>
        <v>2097</v>
      </c>
      <c r="CJ137" s="584">
        <f t="shared" si="433"/>
        <v>2098</v>
      </c>
      <c r="CK137" s="584">
        <f t="shared" si="433"/>
        <v>2099</v>
      </c>
      <c r="CL137" s="584">
        <f>CG137+5</f>
        <v>2100</v>
      </c>
      <c r="CN137" s="628" t="s">
        <v>409</v>
      </c>
      <c r="CO137" s="628" t="s">
        <v>411</v>
      </c>
      <c r="CP137" s="628" t="s">
        <v>410</v>
      </c>
    </row>
    <row r="138" spans="1:94" ht="16.5" outlineLevel="1" thickTop="1">
      <c r="A138" s="538" t="s">
        <v>429</v>
      </c>
      <c r="B138" s="538"/>
      <c r="C138" s="538"/>
      <c r="D138" s="538"/>
      <c r="E138" s="540"/>
      <c r="F138" s="540"/>
      <c r="G138" s="540"/>
      <c r="H138" s="540"/>
      <c r="I138" s="629">
        <f t="shared" ref="I138:BT138" ca="1" si="434">I104/H104</f>
        <v>1.0184754154480273</v>
      </c>
      <c r="J138" s="629" t="e">
        <f t="shared" ca="1" si="434"/>
        <v>#N/A</v>
      </c>
      <c r="K138" s="629" t="e">
        <f t="shared" ca="1" si="434"/>
        <v>#N/A</v>
      </c>
      <c r="L138" s="629" t="e">
        <f t="shared" ca="1" si="434"/>
        <v>#N/A</v>
      </c>
      <c r="M138" s="629" t="e">
        <f t="shared" ca="1" si="434"/>
        <v>#N/A</v>
      </c>
      <c r="N138" s="629">
        <f t="shared" ca="1" si="434"/>
        <v>0.99595168171391568</v>
      </c>
      <c r="O138" s="629">
        <f t="shared" ca="1" si="434"/>
        <v>0.99593522621587605</v>
      </c>
      <c r="P138" s="629">
        <f t="shared" ca="1" si="434"/>
        <v>0.99591863639609579</v>
      </c>
      <c r="Q138" s="629">
        <f t="shared" ca="1" si="434"/>
        <v>0.99590191060318567</v>
      </c>
      <c r="R138" s="629">
        <f t="shared" ca="1" si="434"/>
        <v>0.99588504715857762</v>
      </c>
      <c r="S138" s="629">
        <f t="shared" ca="1" si="434"/>
        <v>0.99586804435596021</v>
      </c>
      <c r="T138" s="629">
        <f t="shared" ca="1" si="434"/>
        <v>0.99585090046069991</v>
      </c>
      <c r="U138" s="629">
        <f t="shared" ca="1" si="434"/>
        <v>0.98949235134468339</v>
      </c>
      <c r="V138" s="629">
        <f t="shared" ca="1" si="434"/>
        <v>0.98938076818781107</v>
      </c>
      <c r="W138" s="629">
        <f t="shared" ca="1" si="434"/>
        <v>0.98926678973997062</v>
      </c>
      <c r="X138" s="629">
        <f t="shared" ca="1" si="434"/>
        <v>0.98915033803687014</v>
      </c>
      <c r="Y138" s="629">
        <f t="shared" ca="1" si="434"/>
        <v>0.98903133169356017</v>
      </c>
      <c r="Z138" s="629">
        <f t="shared" ca="1" si="434"/>
        <v>0.98890968571475091</v>
      </c>
      <c r="AA138" s="629">
        <f t="shared" ca="1" si="434"/>
        <v>0.98878531129237157</v>
      </c>
      <c r="AB138" s="629">
        <f t="shared" ca="1" si="434"/>
        <v>0.9886581155893488</v>
      </c>
      <c r="AC138" s="629">
        <f t="shared" ca="1" si="434"/>
        <v>0.98852800150849884</v>
      </c>
      <c r="AD138" s="629">
        <f t="shared" ca="1" si="434"/>
        <v>0.98839486744533778</v>
      </c>
      <c r="AE138" s="629">
        <f t="shared" ca="1" si="434"/>
        <v>0.99528379915222109</v>
      </c>
      <c r="AF138" s="629">
        <f t="shared" ca="1" si="434"/>
        <v>0.99526145120437381</v>
      </c>
      <c r="AG138" s="629">
        <f t="shared" ca="1" si="434"/>
        <v>0.995238890454471</v>
      </c>
      <c r="AH138" s="629">
        <f t="shared" ca="1" si="434"/>
        <v>0.99521611384845032</v>
      </c>
      <c r="AI138" s="629">
        <f t="shared" ca="1" si="434"/>
        <v>0.99519311827352663</v>
      </c>
      <c r="AJ138" s="629">
        <f t="shared" ca="1" si="434"/>
        <v>0.99516990055677623</v>
      </c>
      <c r="AK138" s="629">
        <f t="shared" ca="1" si="434"/>
        <v>0.99514645746367347</v>
      </c>
      <c r="AL138" s="629">
        <f t="shared" ca="1" si="434"/>
        <v>0.99512278569659385</v>
      </c>
      <c r="AM138" s="629">
        <f t="shared" ca="1" si="434"/>
        <v>0.99509888189326035</v>
      </c>
      <c r="AN138" s="629">
        <f t="shared" ca="1" si="434"/>
        <v>0.99507474262516071</v>
      </c>
      <c r="AO138" s="540">
        <f t="shared" ca="1" si="434"/>
        <v>0</v>
      </c>
      <c r="AP138" s="540" t="e">
        <f t="shared" ca="1" si="434"/>
        <v>#DIV/0!</v>
      </c>
      <c r="AQ138" s="540" t="e">
        <f t="shared" ca="1" si="434"/>
        <v>#DIV/0!</v>
      </c>
      <c r="AR138" s="540" t="e">
        <f t="shared" ca="1" si="434"/>
        <v>#DIV/0!</v>
      </c>
      <c r="AS138" s="540" t="e">
        <f t="shared" ca="1" si="434"/>
        <v>#DIV/0!</v>
      </c>
      <c r="AT138" s="540" t="e">
        <f t="shared" ca="1" si="434"/>
        <v>#DIV/0!</v>
      </c>
      <c r="AU138" s="540" t="e">
        <f t="shared" ca="1" si="434"/>
        <v>#DIV/0!</v>
      </c>
      <c r="AV138" s="540" t="e">
        <f t="shared" ca="1" si="434"/>
        <v>#DIV/0!</v>
      </c>
      <c r="AW138" s="540" t="e">
        <f t="shared" ca="1" si="434"/>
        <v>#DIV/0!</v>
      </c>
      <c r="AX138" s="540" t="e">
        <f t="shared" ca="1" si="434"/>
        <v>#DIV/0!</v>
      </c>
      <c r="AY138" s="540" t="e">
        <f t="shared" ca="1" si="434"/>
        <v>#DIV/0!</v>
      </c>
      <c r="AZ138" s="540" t="e">
        <f t="shared" ca="1" si="434"/>
        <v>#DIV/0!</v>
      </c>
      <c r="BA138" s="540" t="e">
        <f t="shared" ca="1" si="434"/>
        <v>#DIV/0!</v>
      </c>
      <c r="BB138" s="540" t="e">
        <f t="shared" ca="1" si="434"/>
        <v>#DIV/0!</v>
      </c>
      <c r="BC138" s="540" t="e">
        <f t="shared" ca="1" si="434"/>
        <v>#DIV/0!</v>
      </c>
      <c r="BD138" s="540" t="e">
        <f t="shared" ca="1" si="434"/>
        <v>#DIV/0!</v>
      </c>
      <c r="BE138" s="540" t="e">
        <f t="shared" ca="1" si="434"/>
        <v>#DIV/0!</v>
      </c>
      <c r="BF138" s="540" t="e">
        <f t="shared" ca="1" si="434"/>
        <v>#DIV/0!</v>
      </c>
      <c r="BG138" s="540" t="e">
        <f t="shared" ca="1" si="434"/>
        <v>#DIV/0!</v>
      </c>
      <c r="BH138" s="540" t="e">
        <f t="shared" ca="1" si="434"/>
        <v>#DIV/0!</v>
      </c>
      <c r="BI138" s="540" t="e">
        <f t="shared" ca="1" si="434"/>
        <v>#DIV/0!</v>
      </c>
      <c r="BJ138" s="540" t="e">
        <f t="shared" ca="1" si="434"/>
        <v>#DIV/0!</v>
      </c>
      <c r="BK138" s="540" t="e">
        <f t="shared" ca="1" si="434"/>
        <v>#DIV/0!</v>
      </c>
      <c r="BL138" s="540" t="e">
        <f t="shared" ca="1" si="434"/>
        <v>#DIV/0!</v>
      </c>
      <c r="BM138" s="540" t="e">
        <f t="shared" ca="1" si="434"/>
        <v>#DIV/0!</v>
      </c>
      <c r="BN138" s="540" t="e">
        <f t="shared" ca="1" si="434"/>
        <v>#DIV/0!</v>
      </c>
      <c r="BO138" s="540" t="e">
        <f t="shared" ca="1" si="434"/>
        <v>#DIV/0!</v>
      </c>
      <c r="BP138" s="540" t="e">
        <f t="shared" ca="1" si="434"/>
        <v>#DIV/0!</v>
      </c>
      <c r="BQ138" s="540" t="e">
        <f t="shared" ca="1" si="434"/>
        <v>#DIV/0!</v>
      </c>
      <c r="BR138" s="540" t="e">
        <f t="shared" ca="1" si="434"/>
        <v>#DIV/0!</v>
      </c>
      <c r="BS138" s="540" t="e">
        <f t="shared" ca="1" si="434"/>
        <v>#DIV/0!</v>
      </c>
      <c r="BT138" s="540" t="e">
        <f t="shared" ca="1" si="434"/>
        <v>#DIV/0!</v>
      </c>
      <c r="BU138" s="540" t="e">
        <f t="shared" ref="BU138:CL138" ca="1" si="435">BU104/BT104</f>
        <v>#DIV/0!</v>
      </c>
      <c r="BV138" s="540" t="e">
        <f t="shared" ca="1" si="435"/>
        <v>#DIV/0!</v>
      </c>
      <c r="BW138" s="540" t="e">
        <f t="shared" ca="1" si="435"/>
        <v>#DIV/0!</v>
      </c>
      <c r="BX138" s="540" t="e">
        <f t="shared" ca="1" si="435"/>
        <v>#DIV/0!</v>
      </c>
      <c r="BY138" s="540" t="e">
        <f t="shared" ca="1" si="435"/>
        <v>#DIV/0!</v>
      </c>
      <c r="BZ138" s="540" t="e">
        <f t="shared" ca="1" si="435"/>
        <v>#DIV/0!</v>
      </c>
      <c r="CA138" s="540" t="e">
        <f t="shared" ca="1" si="435"/>
        <v>#DIV/0!</v>
      </c>
      <c r="CB138" s="540" t="e">
        <f t="shared" ca="1" si="435"/>
        <v>#DIV/0!</v>
      </c>
      <c r="CC138" s="540" t="e">
        <f t="shared" ca="1" si="435"/>
        <v>#DIV/0!</v>
      </c>
      <c r="CD138" s="540" t="e">
        <f t="shared" ca="1" si="435"/>
        <v>#DIV/0!</v>
      </c>
      <c r="CE138" s="540" t="e">
        <f t="shared" ca="1" si="435"/>
        <v>#DIV/0!</v>
      </c>
      <c r="CF138" s="540" t="e">
        <f t="shared" ca="1" si="435"/>
        <v>#DIV/0!</v>
      </c>
      <c r="CG138" s="540" t="e">
        <f t="shared" ca="1" si="435"/>
        <v>#DIV/0!</v>
      </c>
      <c r="CH138" s="540" t="e">
        <f t="shared" ca="1" si="435"/>
        <v>#DIV/0!</v>
      </c>
      <c r="CI138" s="540" t="e">
        <f t="shared" ca="1" si="435"/>
        <v>#DIV/0!</v>
      </c>
      <c r="CJ138" s="540" t="e">
        <f t="shared" ca="1" si="435"/>
        <v>#DIV/0!</v>
      </c>
      <c r="CK138" s="540" t="e">
        <f t="shared" ca="1" si="435"/>
        <v>#DIV/0!</v>
      </c>
      <c r="CL138" s="540" t="e">
        <f t="shared" ca="1" si="435"/>
        <v>#DIV/0!</v>
      </c>
      <c r="CN138" s="619"/>
      <c r="CO138" s="619"/>
      <c r="CP138" s="619"/>
    </row>
    <row r="139" spans="1:94" outlineLevel="1">
      <c r="A139" s="538" t="s">
        <v>429</v>
      </c>
      <c r="B139" s="538"/>
      <c r="C139" s="538" t="s">
        <v>2</v>
      </c>
      <c r="D139" s="538"/>
      <c r="E139" s="540"/>
      <c r="F139" s="540"/>
      <c r="G139" s="540"/>
      <c r="H139" s="540"/>
      <c r="I139" s="540">
        <f ca="1">I123</f>
        <v>0</v>
      </c>
      <c r="J139" s="540" t="e">
        <f ca="1">I139*J138</f>
        <v>#N/A</v>
      </c>
      <c r="K139" s="540" t="e">
        <f t="shared" ref="K139:BV139" ca="1" si="436">J139*K138</f>
        <v>#N/A</v>
      </c>
      <c r="L139" s="540" t="e">
        <f t="shared" ca="1" si="436"/>
        <v>#N/A</v>
      </c>
      <c r="M139" s="540" t="e">
        <f t="shared" ca="1" si="436"/>
        <v>#N/A</v>
      </c>
      <c r="N139" s="540" t="e">
        <f t="shared" ca="1" si="436"/>
        <v>#N/A</v>
      </c>
      <c r="O139" s="540" t="e">
        <f t="shared" ca="1" si="436"/>
        <v>#N/A</v>
      </c>
      <c r="P139" s="540" t="e">
        <f t="shared" ca="1" si="436"/>
        <v>#N/A</v>
      </c>
      <c r="Q139" s="540" t="e">
        <f t="shared" ca="1" si="436"/>
        <v>#N/A</v>
      </c>
      <c r="R139" s="540" t="e">
        <f t="shared" ca="1" si="436"/>
        <v>#N/A</v>
      </c>
      <c r="S139" s="549" t="e">
        <f t="shared" ca="1" si="436"/>
        <v>#N/A</v>
      </c>
      <c r="T139" s="549" t="e">
        <f t="shared" ca="1" si="436"/>
        <v>#N/A</v>
      </c>
      <c r="U139" s="549" t="e">
        <f t="shared" ca="1" si="436"/>
        <v>#N/A</v>
      </c>
      <c r="V139" s="540" t="e">
        <f t="shared" ca="1" si="436"/>
        <v>#N/A</v>
      </c>
      <c r="W139" s="540" t="e">
        <f t="shared" ca="1" si="436"/>
        <v>#N/A</v>
      </c>
      <c r="X139" s="540" t="e">
        <f t="shared" ca="1" si="436"/>
        <v>#N/A</v>
      </c>
      <c r="Y139" s="540" t="e">
        <f t="shared" ca="1" si="436"/>
        <v>#N/A</v>
      </c>
      <c r="Z139" s="540" t="e">
        <f t="shared" ca="1" si="436"/>
        <v>#N/A</v>
      </c>
      <c r="AA139" s="540" t="e">
        <f t="shared" ca="1" si="436"/>
        <v>#N/A</v>
      </c>
      <c r="AB139" s="540" t="e">
        <f t="shared" ca="1" si="436"/>
        <v>#N/A</v>
      </c>
      <c r="AC139" s="540" t="e">
        <f t="shared" ca="1" si="436"/>
        <v>#N/A</v>
      </c>
      <c r="AD139" s="540" t="e">
        <f t="shared" ca="1" si="436"/>
        <v>#N/A</v>
      </c>
      <c r="AE139" s="540" t="e">
        <f t="shared" ca="1" si="436"/>
        <v>#N/A</v>
      </c>
      <c r="AF139" s="540" t="e">
        <f t="shared" ca="1" si="436"/>
        <v>#N/A</v>
      </c>
      <c r="AG139" s="540" t="e">
        <f t="shared" ca="1" si="436"/>
        <v>#N/A</v>
      </c>
      <c r="AH139" s="540" t="e">
        <f t="shared" ca="1" si="436"/>
        <v>#N/A</v>
      </c>
      <c r="AI139" s="540" t="e">
        <f t="shared" ca="1" si="436"/>
        <v>#N/A</v>
      </c>
      <c r="AJ139" s="540" t="e">
        <f t="shared" ca="1" si="436"/>
        <v>#N/A</v>
      </c>
      <c r="AK139" s="540" t="e">
        <f t="shared" ca="1" si="436"/>
        <v>#N/A</v>
      </c>
      <c r="AL139" s="540" t="e">
        <f t="shared" ca="1" si="436"/>
        <v>#N/A</v>
      </c>
      <c r="AM139" s="540" t="e">
        <f t="shared" ca="1" si="436"/>
        <v>#N/A</v>
      </c>
      <c r="AN139" s="540" t="e">
        <f t="shared" ca="1" si="436"/>
        <v>#N/A</v>
      </c>
      <c r="AO139" s="540" t="e">
        <f t="shared" ca="1" si="436"/>
        <v>#N/A</v>
      </c>
      <c r="AP139" s="540" t="e">
        <f t="shared" ca="1" si="436"/>
        <v>#N/A</v>
      </c>
      <c r="AQ139" s="540" t="e">
        <f t="shared" ca="1" si="436"/>
        <v>#N/A</v>
      </c>
      <c r="AR139" s="540" t="e">
        <f t="shared" ca="1" si="436"/>
        <v>#N/A</v>
      </c>
      <c r="AS139" s="540" t="e">
        <f t="shared" ca="1" si="436"/>
        <v>#N/A</v>
      </c>
      <c r="AT139" s="540" t="e">
        <f t="shared" ca="1" si="436"/>
        <v>#N/A</v>
      </c>
      <c r="AU139" s="540" t="e">
        <f t="shared" ca="1" si="436"/>
        <v>#N/A</v>
      </c>
      <c r="AV139" s="540" t="e">
        <f t="shared" ca="1" si="436"/>
        <v>#N/A</v>
      </c>
      <c r="AW139" s="540" t="e">
        <f t="shared" ca="1" si="436"/>
        <v>#N/A</v>
      </c>
      <c r="AX139" s="540" t="e">
        <f t="shared" ca="1" si="436"/>
        <v>#N/A</v>
      </c>
      <c r="AY139" s="540" t="e">
        <f t="shared" ca="1" si="436"/>
        <v>#N/A</v>
      </c>
      <c r="AZ139" s="540" t="e">
        <f t="shared" ca="1" si="436"/>
        <v>#N/A</v>
      </c>
      <c r="BA139" s="540" t="e">
        <f t="shared" ca="1" si="436"/>
        <v>#N/A</v>
      </c>
      <c r="BB139" s="540" t="e">
        <f t="shared" ca="1" si="436"/>
        <v>#N/A</v>
      </c>
      <c r="BC139" s="540" t="e">
        <f t="shared" ca="1" si="436"/>
        <v>#N/A</v>
      </c>
      <c r="BD139" s="540" t="e">
        <f t="shared" ca="1" si="436"/>
        <v>#N/A</v>
      </c>
      <c r="BE139" s="540" t="e">
        <f t="shared" ca="1" si="436"/>
        <v>#N/A</v>
      </c>
      <c r="BF139" s="540" t="e">
        <f t="shared" ca="1" si="436"/>
        <v>#N/A</v>
      </c>
      <c r="BG139" s="540" t="e">
        <f t="shared" ca="1" si="436"/>
        <v>#N/A</v>
      </c>
      <c r="BH139" s="540" t="e">
        <f t="shared" ca="1" si="436"/>
        <v>#N/A</v>
      </c>
      <c r="BI139" s="540" t="e">
        <f t="shared" ca="1" si="436"/>
        <v>#N/A</v>
      </c>
      <c r="BJ139" s="540" t="e">
        <f t="shared" ca="1" si="436"/>
        <v>#N/A</v>
      </c>
      <c r="BK139" s="540" t="e">
        <f t="shared" ca="1" si="436"/>
        <v>#N/A</v>
      </c>
      <c r="BL139" s="540" t="e">
        <f t="shared" ca="1" si="436"/>
        <v>#N/A</v>
      </c>
      <c r="BM139" s="540" t="e">
        <f t="shared" ca="1" si="436"/>
        <v>#N/A</v>
      </c>
      <c r="BN139" s="540" t="e">
        <f t="shared" ca="1" si="436"/>
        <v>#N/A</v>
      </c>
      <c r="BO139" s="540" t="e">
        <f t="shared" ca="1" si="436"/>
        <v>#N/A</v>
      </c>
      <c r="BP139" s="540" t="e">
        <f t="shared" ca="1" si="436"/>
        <v>#N/A</v>
      </c>
      <c r="BQ139" s="540" t="e">
        <f t="shared" ca="1" si="436"/>
        <v>#N/A</v>
      </c>
      <c r="BR139" s="540" t="e">
        <f t="shared" ca="1" si="436"/>
        <v>#N/A</v>
      </c>
      <c r="BS139" s="540" t="e">
        <f t="shared" ca="1" si="436"/>
        <v>#N/A</v>
      </c>
      <c r="BT139" s="540" t="e">
        <f t="shared" ca="1" si="436"/>
        <v>#N/A</v>
      </c>
      <c r="BU139" s="540" t="e">
        <f t="shared" ca="1" si="436"/>
        <v>#N/A</v>
      </c>
      <c r="BV139" s="540" t="e">
        <f t="shared" ca="1" si="436"/>
        <v>#N/A</v>
      </c>
      <c r="BW139" s="540" t="e">
        <f t="shared" ref="BW139:CL139" ca="1" si="437">BV139*BW138</f>
        <v>#N/A</v>
      </c>
      <c r="BX139" s="540" t="e">
        <f t="shared" ca="1" si="437"/>
        <v>#N/A</v>
      </c>
      <c r="BY139" s="540" t="e">
        <f t="shared" ca="1" si="437"/>
        <v>#N/A</v>
      </c>
      <c r="BZ139" s="540" t="e">
        <f t="shared" ca="1" si="437"/>
        <v>#N/A</v>
      </c>
      <c r="CA139" s="540" t="e">
        <f t="shared" ca="1" si="437"/>
        <v>#N/A</v>
      </c>
      <c r="CB139" s="540" t="e">
        <f t="shared" ca="1" si="437"/>
        <v>#N/A</v>
      </c>
      <c r="CC139" s="540" t="e">
        <f t="shared" ca="1" si="437"/>
        <v>#N/A</v>
      </c>
      <c r="CD139" s="540" t="e">
        <f t="shared" ca="1" si="437"/>
        <v>#N/A</v>
      </c>
      <c r="CE139" s="540" t="e">
        <f t="shared" ca="1" si="437"/>
        <v>#N/A</v>
      </c>
      <c r="CF139" s="540" t="e">
        <f t="shared" ca="1" si="437"/>
        <v>#N/A</v>
      </c>
      <c r="CG139" s="540" t="e">
        <f t="shared" ca="1" si="437"/>
        <v>#N/A</v>
      </c>
      <c r="CH139" s="540" t="e">
        <f t="shared" ca="1" si="437"/>
        <v>#N/A</v>
      </c>
      <c r="CI139" s="540" t="e">
        <f t="shared" ca="1" si="437"/>
        <v>#N/A</v>
      </c>
      <c r="CJ139" s="540" t="e">
        <f t="shared" ca="1" si="437"/>
        <v>#N/A</v>
      </c>
      <c r="CK139" s="540" t="e">
        <f t="shared" ca="1" si="437"/>
        <v>#N/A</v>
      </c>
      <c r="CL139" s="540" t="e">
        <f t="shared" ca="1" si="437"/>
        <v>#N/A</v>
      </c>
      <c r="CN139" s="619"/>
      <c r="CO139" s="619"/>
      <c r="CP139" s="619"/>
    </row>
    <row r="140" spans="1:94" outlineLevel="1">
      <c r="A140" s="538" t="s">
        <v>429</v>
      </c>
      <c r="B140" s="538"/>
      <c r="C140" s="538" t="s">
        <v>422</v>
      </c>
      <c r="D140" s="538"/>
      <c r="E140" s="540"/>
      <c r="F140" s="540"/>
      <c r="G140" s="540"/>
      <c r="H140" s="540"/>
      <c r="I140" s="540" t="e">
        <f t="shared" ref="I140:BT140" ca="1" si="438">(I139/I117)*1000</f>
        <v>#REF!</v>
      </c>
      <c r="J140" s="540" t="e">
        <f t="shared" ca="1" si="438"/>
        <v>#N/A</v>
      </c>
      <c r="K140" s="540" t="e">
        <f t="shared" ca="1" si="438"/>
        <v>#N/A</v>
      </c>
      <c r="L140" s="540" t="e">
        <f t="shared" ca="1" si="438"/>
        <v>#N/A</v>
      </c>
      <c r="M140" s="540" t="e">
        <f t="shared" ca="1" si="438"/>
        <v>#N/A</v>
      </c>
      <c r="N140" s="540" t="e">
        <f t="shared" ca="1" si="438"/>
        <v>#N/A</v>
      </c>
      <c r="O140" s="540" t="e">
        <f t="shared" ca="1" si="438"/>
        <v>#N/A</v>
      </c>
      <c r="P140" s="540" t="e">
        <f t="shared" ca="1" si="438"/>
        <v>#N/A</v>
      </c>
      <c r="Q140" s="540" t="e">
        <f t="shared" ca="1" si="438"/>
        <v>#N/A</v>
      </c>
      <c r="R140" s="540" t="e">
        <f t="shared" ca="1" si="438"/>
        <v>#N/A</v>
      </c>
      <c r="S140" s="549" t="e">
        <f t="shared" ca="1" si="438"/>
        <v>#N/A</v>
      </c>
      <c r="T140" s="549" t="e">
        <f t="shared" ca="1" si="438"/>
        <v>#N/A</v>
      </c>
      <c r="U140" s="549" t="e">
        <f t="shared" ca="1" si="438"/>
        <v>#N/A</v>
      </c>
      <c r="V140" s="540" t="e">
        <f t="shared" ca="1" si="438"/>
        <v>#N/A</v>
      </c>
      <c r="W140" s="540" t="e">
        <f t="shared" ca="1" si="438"/>
        <v>#N/A</v>
      </c>
      <c r="X140" s="540" t="e">
        <f t="shared" ca="1" si="438"/>
        <v>#N/A</v>
      </c>
      <c r="Y140" s="540" t="e">
        <f t="shared" ca="1" si="438"/>
        <v>#N/A</v>
      </c>
      <c r="Z140" s="540" t="e">
        <f t="shared" ca="1" si="438"/>
        <v>#N/A</v>
      </c>
      <c r="AA140" s="540" t="e">
        <f t="shared" ca="1" si="438"/>
        <v>#N/A</v>
      </c>
      <c r="AB140" s="540" t="e">
        <f t="shared" ca="1" si="438"/>
        <v>#N/A</v>
      </c>
      <c r="AC140" s="540" t="e">
        <f t="shared" ca="1" si="438"/>
        <v>#N/A</v>
      </c>
      <c r="AD140" s="540" t="e">
        <f t="shared" ca="1" si="438"/>
        <v>#N/A</v>
      </c>
      <c r="AE140" s="540" t="e">
        <f t="shared" ca="1" si="438"/>
        <v>#N/A</v>
      </c>
      <c r="AF140" s="540" t="e">
        <f t="shared" ca="1" si="438"/>
        <v>#N/A</v>
      </c>
      <c r="AG140" s="540" t="e">
        <f t="shared" ca="1" si="438"/>
        <v>#N/A</v>
      </c>
      <c r="AH140" s="540" t="e">
        <f t="shared" ca="1" si="438"/>
        <v>#N/A</v>
      </c>
      <c r="AI140" s="540" t="e">
        <f t="shared" ca="1" si="438"/>
        <v>#N/A</v>
      </c>
      <c r="AJ140" s="540" t="e">
        <f t="shared" ca="1" si="438"/>
        <v>#N/A</v>
      </c>
      <c r="AK140" s="540" t="e">
        <f t="shared" ca="1" si="438"/>
        <v>#N/A</v>
      </c>
      <c r="AL140" s="540" t="e">
        <f t="shared" ca="1" si="438"/>
        <v>#N/A</v>
      </c>
      <c r="AM140" s="540" t="e">
        <f t="shared" ca="1" si="438"/>
        <v>#N/A</v>
      </c>
      <c r="AN140" s="540" t="e">
        <f t="shared" ca="1" si="438"/>
        <v>#N/A</v>
      </c>
      <c r="AO140" s="540" t="e">
        <f t="shared" ca="1" si="438"/>
        <v>#N/A</v>
      </c>
      <c r="AP140" s="540" t="e">
        <f t="shared" ca="1" si="438"/>
        <v>#N/A</v>
      </c>
      <c r="AQ140" s="540" t="e">
        <f t="shared" ca="1" si="438"/>
        <v>#N/A</v>
      </c>
      <c r="AR140" s="540" t="e">
        <f t="shared" ca="1" si="438"/>
        <v>#N/A</v>
      </c>
      <c r="AS140" s="540" t="e">
        <f t="shared" ca="1" si="438"/>
        <v>#N/A</v>
      </c>
      <c r="AT140" s="540" t="e">
        <f t="shared" ca="1" si="438"/>
        <v>#N/A</v>
      </c>
      <c r="AU140" s="540" t="e">
        <f t="shared" ca="1" si="438"/>
        <v>#N/A</v>
      </c>
      <c r="AV140" s="540" t="e">
        <f t="shared" ca="1" si="438"/>
        <v>#N/A</v>
      </c>
      <c r="AW140" s="540" t="e">
        <f t="shared" ca="1" si="438"/>
        <v>#N/A</v>
      </c>
      <c r="AX140" s="540" t="e">
        <f t="shared" ca="1" si="438"/>
        <v>#N/A</v>
      </c>
      <c r="AY140" s="540" t="e">
        <f t="shared" ca="1" si="438"/>
        <v>#N/A</v>
      </c>
      <c r="AZ140" s="540" t="e">
        <f t="shared" ca="1" si="438"/>
        <v>#N/A</v>
      </c>
      <c r="BA140" s="540" t="e">
        <f t="shared" ca="1" si="438"/>
        <v>#N/A</v>
      </c>
      <c r="BB140" s="540" t="e">
        <f t="shared" ca="1" si="438"/>
        <v>#N/A</v>
      </c>
      <c r="BC140" s="540" t="e">
        <f t="shared" ca="1" si="438"/>
        <v>#N/A</v>
      </c>
      <c r="BD140" s="540" t="e">
        <f t="shared" ca="1" si="438"/>
        <v>#N/A</v>
      </c>
      <c r="BE140" s="540" t="e">
        <f t="shared" ca="1" si="438"/>
        <v>#N/A</v>
      </c>
      <c r="BF140" s="540" t="e">
        <f t="shared" ca="1" si="438"/>
        <v>#N/A</v>
      </c>
      <c r="BG140" s="540" t="e">
        <f t="shared" ca="1" si="438"/>
        <v>#N/A</v>
      </c>
      <c r="BH140" s="540" t="e">
        <f t="shared" ca="1" si="438"/>
        <v>#N/A</v>
      </c>
      <c r="BI140" s="540" t="e">
        <f t="shared" ca="1" si="438"/>
        <v>#N/A</v>
      </c>
      <c r="BJ140" s="540" t="e">
        <f t="shared" ca="1" si="438"/>
        <v>#N/A</v>
      </c>
      <c r="BK140" s="540" t="e">
        <f t="shared" ca="1" si="438"/>
        <v>#N/A</v>
      </c>
      <c r="BL140" s="540" t="e">
        <f t="shared" ca="1" si="438"/>
        <v>#N/A</v>
      </c>
      <c r="BM140" s="540" t="e">
        <f t="shared" ca="1" si="438"/>
        <v>#N/A</v>
      </c>
      <c r="BN140" s="540" t="e">
        <f t="shared" ca="1" si="438"/>
        <v>#N/A</v>
      </c>
      <c r="BO140" s="540" t="e">
        <f t="shared" ca="1" si="438"/>
        <v>#N/A</v>
      </c>
      <c r="BP140" s="540" t="e">
        <f t="shared" ca="1" si="438"/>
        <v>#N/A</v>
      </c>
      <c r="BQ140" s="540" t="e">
        <f t="shared" ca="1" si="438"/>
        <v>#N/A</v>
      </c>
      <c r="BR140" s="540" t="e">
        <f t="shared" ca="1" si="438"/>
        <v>#N/A</v>
      </c>
      <c r="BS140" s="540" t="e">
        <f t="shared" ca="1" si="438"/>
        <v>#N/A</v>
      </c>
      <c r="BT140" s="540" t="e">
        <f t="shared" ca="1" si="438"/>
        <v>#N/A</v>
      </c>
      <c r="BU140" s="540" t="e">
        <f t="shared" ref="BU140:CL140" ca="1" si="439">(BU139/BU117)*1000</f>
        <v>#N/A</v>
      </c>
      <c r="BV140" s="540" t="e">
        <f t="shared" ca="1" si="439"/>
        <v>#N/A</v>
      </c>
      <c r="BW140" s="540" t="e">
        <f t="shared" ca="1" si="439"/>
        <v>#N/A</v>
      </c>
      <c r="BX140" s="540" t="e">
        <f t="shared" ca="1" si="439"/>
        <v>#N/A</v>
      </c>
      <c r="BY140" s="540" t="e">
        <f t="shared" ca="1" si="439"/>
        <v>#N/A</v>
      </c>
      <c r="BZ140" s="540" t="e">
        <f t="shared" ca="1" si="439"/>
        <v>#N/A</v>
      </c>
      <c r="CA140" s="540" t="e">
        <f t="shared" ca="1" si="439"/>
        <v>#N/A</v>
      </c>
      <c r="CB140" s="540" t="e">
        <f t="shared" ca="1" si="439"/>
        <v>#N/A</v>
      </c>
      <c r="CC140" s="540" t="e">
        <f t="shared" ca="1" si="439"/>
        <v>#N/A</v>
      </c>
      <c r="CD140" s="540" t="e">
        <f t="shared" ca="1" si="439"/>
        <v>#N/A</v>
      </c>
      <c r="CE140" s="540" t="e">
        <f t="shared" ca="1" si="439"/>
        <v>#N/A</v>
      </c>
      <c r="CF140" s="540" t="e">
        <f t="shared" ca="1" si="439"/>
        <v>#N/A</v>
      </c>
      <c r="CG140" s="540" t="e">
        <f t="shared" ca="1" si="439"/>
        <v>#N/A</v>
      </c>
      <c r="CH140" s="540" t="e">
        <f t="shared" ca="1" si="439"/>
        <v>#N/A</v>
      </c>
      <c r="CI140" s="540" t="e">
        <f t="shared" ca="1" si="439"/>
        <v>#N/A</v>
      </c>
      <c r="CJ140" s="540" t="e">
        <f t="shared" ca="1" si="439"/>
        <v>#N/A</v>
      </c>
      <c r="CK140" s="540" t="e">
        <f t="shared" ca="1" si="439"/>
        <v>#N/A</v>
      </c>
      <c r="CL140" s="540" t="e">
        <f t="shared" ca="1" si="439"/>
        <v>#N/A</v>
      </c>
      <c r="CN140" s="619"/>
      <c r="CO140" s="619"/>
      <c r="CP140" s="619"/>
    </row>
    <row r="141" spans="1:94" ht="16.5" thickBot="1">
      <c r="A141" s="582" t="s">
        <v>498</v>
      </c>
      <c r="B141" s="582"/>
      <c r="C141" s="582"/>
      <c r="D141" s="582"/>
      <c r="E141" s="583">
        <v>2015</v>
      </c>
      <c r="F141" s="584">
        <f>E141+1</f>
        <v>2016</v>
      </c>
      <c r="G141" s="584">
        <f t="shared" ref="G141:I141" si="440">F141+1</f>
        <v>2017</v>
      </c>
      <c r="H141" s="584">
        <f t="shared" si="440"/>
        <v>2018</v>
      </c>
      <c r="I141" s="584">
        <f t="shared" si="440"/>
        <v>2019</v>
      </c>
      <c r="J141" s="584">
        <f>E141+5</f>
        <v>2020</v>
      </c>
      <c r="K141" s="584">
        <f>J141+1</f>
        <v>2021</v>
      </c>
      <c r="L141" s="584">
        <f t="shared" ref="L141:N141" si="441">K141+1</f>
        <v>2022</v>
      </c>
      <c r="M141" s="584">
        <f t="shared" si="441"/>
        <v>2023</v>
      </c>
      <c r="N141" s="584">
        <f t="shared" si="441"/>
        <v>2024</v>
      </c>
      <c r="O141" s="584">
        <f>J141+5</f>
        <v>2025</v>
      </c>
      <c r="P141" s="584">
        <f>O141+1</f>
        <v>2026</v>
      </c>
      <c r="Q141" s="584">
        <f t="shared" ref="Q141:S141" si="442">P141+1</f>
        <v>2027</v>
      </c>
      <c r="R141" s="584">
        <f t="shared" si="442"/>
        <v>2028</v>
      </c>
      <c r="S141" s="584">
        <f t="shared" si="442"/>
        <v>2029</v>
      </c>
      <c r="T141" s="584">
        <f>O141+5</f>
        <v>2030</v>
      </c>
      <c r="U141" s="584">
        <f>T141+1</f>
        <v>2031</v>
      </c>
      <c r="V141" s="584">
        <f t="shared" ref="V141:X141" si="443">U141+1</f>
        <v>2032</v>
      </c>
      <c r="W141" s="584">
        <f t="shared" si="443"/>
        <v>2033</v>
      </c>
      <c r="X141" s="584">
        <f t="shared" si="443"/>
        <v>2034</v>
      </c>
      <c r="Y141" s="584">
        <f>T141+5</f>
        <v>2035</v>
      </c>
      <c r="Z141" s="584">
        <f>Y141+1</f>
        <v>2036</v>
      </c>
      <c r="AA141" s="584">
        <f t="shared" ref="AA141:AC141" si="444">Z141+1</f>
        <v>2037</v>
      </c>
      <c r="AB141" s="584">
        <f t="shared" si="444"/>
        <v>2038</v>
      </c>
      <c r="AC141" s="584">
        <f t="shared" si="444"/>
        <v>2039</v>
      </c>
      <c r="AD141" s="584">
        <f>Y141+5</f>
        <v>2040</v>
      </c>
      <c r="AE141" s="584">
        <f>AD141+1</f>
        <v>2041</v>
      </c>
      <c r="AF141" s="584">
        <f t="shared" ref="AF141:AH141" si="445">AE141+1</f>
        <v>2042</v>
      </c>
      <c r="AG141" s="584">
        <f t="shared" si="445"/>
        <v>2043</v>
      </c>
      <c r="AH141" s="584">
        <f t="shared" si="445"/>
        <v>2044</v>
      </c>
      <c r="AI141" s="584">
        <f>AD141+5</f>
        <v>2045</v>
      </c>
      <c r="AJ141" s="584">
        <f>AI141+1</f>
        <v>2046</v>
      </c>
      <c r="AK141" s="584">
        <f t="shared" ref="AK141:AM141" si="446">AJ141+1</f>
        <v>2047</v>
      </c>
      <c r="AL141" s="584">
        <f t="shared" si="446"/>
        <v>2048</v>
      </c>
      <c r="AM141" s="584">
        <f t="shared" si="446"/>
        <v>2049</v>
      </c>
      <c r="AN141" s="584">
        <f>AI141+5</f>
        <v>2050</v>
      </c>
      <c r="AO141" s="584">
        <f>AN141+1</f>
        <v>2051</v>
      </c>
      <c r="AP141" s="584">
        <f t="shared" ref="AP141:AR141" si="447">AO141+1</f>
        <v>2052</v>
      </c>
      <c r="AQ141" s="584">
        <f t="shared" si="447"/>
        <v>2053</v>
      </c>
      <c r="AR141" s="584">
        <f t="shared" si="447"/>
        <v>2054</v>
      </c>
      <c r="AS141" s="584">
        <f>AN141+5</f>
        <v>2055</v>
      </c>
      <c r="AT141" s="584">
        <f>AS141+1</f>
        <v>2056</v>
      </c>
      <c r="AU141" s="584">
        <f t="shared" ref="AU141:AW141" si="448">AT141+1</f>
        <v>2057</v>
      </c>
      <c r="AV141" s="584">
        <f t="shared" si="448"/>
        <v>2058</v>
      </c>
      <c r="AW141" s="584">
        <f t="shared" si="448"/>
        <v>2059</v>
      </c>
      <c r="AX141" s="584">
        <f>AS141+5</f>
        <v>2060</v>
      </c>
      <c r="AY141" s="584">
        <f>AX141+1</f>
        <v>2061</v>
      </c>
      <c r="AZ141" s="584">
        <f t="shared" ref="AZ141:BB141" si="449">AY141+1</f>
        <v>2062</v>
      </c>
      <c r="BA141" s="584">
        <f t="shared" si="449"/>
        <v>2063</v>
      </c>
      <c r="BB141" s="584">
        <f t="shared" si="449"/>
        <v>2064</v>
      </c>
      <c r="BC141" s="584">
        <f>AX141+5</f>
        <v>2065</v>
      </c>
      <c r="BD141" s="584">
        <f>BC141+1</f>
        <v>2066</v>
      </c>
      <c r="BE141" s="584">
        <f t="shared" ref="BE141:BG141" si="450">BD141+1</f>
        <v>2067</v>
      </c>
      <c r="BF141" s="584">
        <f t="shared" si="450"/>
        <v>2068</v>
      </c>
      <c r="BG141" s="584">
        <f t="shared" si="450"/>
        <v>2069</v>
      </c>
      <c r="BH141" s="584">
        <f>BC141+5</f>
        <v>2070</v>
      </c>
      <c r="BI141" s="584">
        <f>BH141+1</f>
        <v>2071</v>
      </c>
      <c r="BJ141" s="584">
        <f t="shared" ref="BJ141:BL141" si="451">BI141+1</f>
        <v>2072</v>
      </c>
      <c r="BK141" s="584">
        <f t="shared" si="451"/>
        <v>2073</v>
      </c>
      <c r="BL141" s="584">
        <f t="shared" si="451"/>
        <v>2074</v>
      </c>
      <c r="BM141" s="584">
        <f>BH141+5</f>
        <v>2075</v>
      </c>
      <c r="BN141" s="584">
        <f>BM141+1</f>
        <v>2076</v>
      </c>
      <c r="BO141" s="584">
        <f t="shared" ref="BO141:BQ141" si="452">BN141+1</f>
        <v>2077</v>
      </c>
      <c r="BP141" s="584">
        <f t="shared" si="452"/>
        <v>2078</v>
      </c>
      <c r="BQ141" s="584">
        <f t="shared" si="452"/>
        <v>2079</v>
      </c>
      <c r="BR141" s="584">
        <f>BM141+5</f>
        <v>2080</v>
      </c>
      <c r="BS141" s="584">
        <f>BR141+1</f>
        <v>2081</v>
      </c>
      <c r="BT141" s="584">
        <f t="shared" ref="BT141:BV141" si="453">BS141+1</f>
        <v>2082</v>
      </c>
      <c r="BU141" s="584">
        <f t="shared" si="453"/>
        <v>2083</v>
      </c>
      <c r="BV141" s="584">
        <f t="shared" si="453"/>
        <v>2084</v>
      </c>
      <c r="BW141" s="584">
        <f>BR141+5</f>
        <v>2085</v>
      </c>
      <c r="BX141" s="584">
        <f>BW141+1</f>
        <v>2086</v>
      </c>
      <c r="BY141" s="584">
        <f t="shared" ref="BY141:CA141" si="454">BX141+1</f>
        <v>2087</v>
      </c>
      <c r="BZ141" s="584">
        <f t="shared" si="454"/>
        <v>2088</v>
      </c>
      <c r="CA141" s="584">
        <f t="shared" si="454"/>
        <v>2089</v>
      </c>
      <c r="CB141" s="584">
        <f>BW141+5</f>
        <v>2090</v>
      </c>
      <c r="CC141" s="584">
        <f>CB141+1</f>
        <v>2091</v>
      </c>
      <c r="CD141" s="584">
        <f t="shared" ref="CD141:CF141" si="455">CC141+1</f>
        <v>2092</v>
      </c>
      <c r="CE141" s="584">
        <f t="shared" si="455"/>
        <v>2093</v>
      </c>
      <c r="CF141" s="584">
        <f t="shared" si="455"/>
        <v>2094</v>
      </c>
      <c r="CG141" s="584">
        <f>CB141+5</f>
        <v>2095</v>
      </c>
      <c r="CH141" s="584">
        <f>CG141+1</f>
        <v>2096</v>
      </c>
      <c r="CI141" s="584">
        <f t="shared" ref="CI141:CK141" si="456">CH141+1</f>
        <v>2097</v>
      </c>
      <c r="CJ141" s="584">
        <f t="shared" si="456"/>
        <v>2098</v>
      </c>
      <c r="CK141" s="584">
        <f t="shared" si="456"/>
        <v>2099</v>
      </c>
      <c r="CL141" s="584">
        <f>CG141+5</f>
        <v>2100</v>
      </c>
      <c r="CN141" s="628" t="s">
        <v>409</v>
      </c>
      <c r="CO141" s="628" t="s">
        <v>411</v>
      </c>
      <c r="CP141" s="628" t="s">
        <v>410</v>
      </c>
    </row>
    <row r="142" spans="1:94" ht="16.5" outlineLevel="1" thickTop="1">
      <c r="A142" s="538" t="s">
        <v>499</v>
      </c>
      <c r="B142" s="538"/>
      <c r="C142" s="538"/>
      <c r="D142" s="538"/>
      <c r="E142" s="484"/>
      <c r="F142" s="484"/>
      <c r="G142" s="484"/>
      <c r="H142" s="484" t="str">
        <f t="shared" ref="H142:BS142" si="457">IF(H141=S3_base,S3_Emissions,"")</f>
        <v/>
      </c>
      <c r="I142" s="630" t="str">
        <f t="shared" si="457"/>
        <v/>
      </c>
      <c r="J142" s="630" t="str">
        <f t="shared" si="457"/>
        <v/>
      </c>
      <c r="K142" s="630" t="str">
        <f t="shared" si="457"/>
        <v/>
      </c>
      <c r="L142" s="630" t="str">
        <f t="shared" si="457"/>
        <v/>
      </c>
      <c r="M142" s="630" t="str">
        <f t="shared" si="457"/>
        <v/>
      </c>
      <c r="N142" s="630" t="str">
        <f t="shared" si="457"/>
        <v/>
      </c>
      <c r="O142" s="630" t="str">
        <f t="shared" si="457"/>
        <v/>
      </c>
      <c r="P142" s="630" t="str">
        <f t="shared" si="457"/>
        <v/>
      </c>
      <c r="Q142" s="630" t="str">
        <f t="shared" si="457"/>
        <v/>
      </c>
      <c r="R142" s="630" t="str">
        <f t="shared" si="457"/>
        <v/>
      </c>
      <c r="S142" s="630" t="str">
        <f t="shared" si="457"/>
        <v/>
      </c>
      <c r="T142" s="630" t="str">
        <f t="shared" si="457"/>
        <v/>
      </c>
      <c r="U142" s="630" t="str">
        <f t="shared" si="457"/>
        <v/>
      </c>
      <c r="V142" s="630" t="str">
        <f t="shared" si="457"/>
        <v/>
      </c>
      <c r="W142" s="630" t="str">
        <f t="shared" si="457"/>
        <v/>
      </c>
      <c r="X142" s="630" t="str">
        <f t="shared" si="457"/>
        <v/>
      </c>
      <c r="Y142" s="630" t="str">
        <f t="shared" si="457"/>
        <v/>
      </c>
      <c r="Z142" s="630" t="str">
        <f t="shared" si="457"/>
        <v/>
      </c>
      <c r="AA142" s="630" t="str">
        <f t="shared" si="457"/>
        <v/>
      </c>
      <c r="AB142" s="630" t="str">
        <f t="shared" si="457"/>
        <v/>
      </c>
      <c r="AC142" s="630" t="str">
        <f t="shared" si="457"/>
        <v/>
      </c>
      <c r="AD142" s="630" t="str">
        <f t="shared" si="457"/>
        <v/>
      </c>
      <c r="AE142" s="630" t="str">
        <f t="shared" si="457"/>
        <v/>
      </c>
      <c r="AF142" s="630" t="str">
        <f t="shared" si="457"/>
        <v/>
      </c>
      <c r="AG142" s="630" t="str">
        <f t="shared" si="457"/>
        <v/>
      </c>
      <c r="AH142" s="630" t="str">
        <f t="shared" si="457"/>
        <v/>
      </c>
      <c r="AI142" s="630" t="str">
        <f t="shared" si="457"/>
        <v/>
      </c>
      <c r="AJ142" s="630" t="str">
        <f t="shared" si="457"/>
        <v/>
      </c>
      <c r="AK142" s="630" t="str">
        <f t="shared" si="457"/>
        <v/>
      </c>
      <c r="AL142" s="630" t="str">
        <f t="shared" si="457"/>
        <v/>
      </c>
      <c r="AM142" s="630" t="str">
        <f t="shared" si="457"/>
        <v/>
      </c>
      <c r="AN142" s="630" t="str">
        <f t="shared" si="457"/>
        <v/>
      </c>
      <c r="AO142" s="540" t="str">
        <f t="shared" si="457"/>
        <v/>
      </c>
      <c r="AP142" s="540" t="str">
        <f t="shared" si="457"/>
        <v/>
      </c>
      <c r="AQ142" s="540" t="str">
        <f t="shared" si="457"/>
        <v/>
      </c>
      <c r="AR142" s="540" t="str">
        <f t="shared" si="457"/>
        <v/>
      </c>
      <c r="AS142" s="540" t="str">
        <f t="shared" si="457"/>
        <v/>
      </c>
      <c r="AT142" s="540" t="str">
        <f t="shared" si="457"/>
        <v/>
      </c>
      <c r="AU142" s="540" t="str">
        <f t="shared" si="457"/>
        <v/>
      </c>
      <c r="AV142" s="540" t="str">
        <f t="shared" si="457"/>
        <v/>
      </c>
      <c r="AW142" s="540" t="str">
        <f t="shared" si="457"/>
        <v/>
      </c>
      <c r="AX142" s="540" t="str">
        <f t="shared" si="457"/>
        <v/>
      </c>
      <c r="AY142" s="540" t="str">
        <f t="shared" si="457"/>
        <v/>
      </c>
      <c r="AZ142" s="540" t="str">
        <f t="shared" si="457"/>
        <v/>
      </c>
      <c r="BA142" s="540" t="str">
        <f t="shared" si="457"/>
        <v/>
      </c>
      <c r="BB142" s="540" t="str">
        <f t="shared" si="457"/>
        <v/>
      </c>
      <c r="BC142" s="540" t="str">
        <f t="shared" si="457"/>
        <v/>
      </c>
      <c r="BD142" s="540" t="str">
        <f t="shared" si="457"/>
        <v/>
      </c>
      <c r="BE142" s="540" t="str">
        <f t="shared" si="457"/>
        <v/>
      </c>
      <c r="BF142" s="540" t="str">
        <f t="shared" si="457"/>
        <v/>
      </c>
      <c r="BG142" s="540" t="str">
        <f t="shared" si="457"/>
        <v/>
      </c>
      <c r="BH142" s="540" t="str">
        <f t="shared" si="457"/>
        <v/>
      </c>
      <c r="BI142" s="540" t="str">
        <f t="shared" si="457"/>
        <v/>
      </c>
      <c r="BJ142" s="540" t="str">
        <f t="shared" si="457"/>
        <v/>
      </c>
      <c r="BK142" s="540" t="str">
        <f t="shared" si="457"/>
        <v/>
      </c>
      <c r="BL142" s="540" t="str">
        <f t="shared" si="457"/>
        <v/>
      </c>
      <c r="BM142" s="540" t="str">
        <f t="shared" si="457"/>
        <v/>
      </c>
      <c r="BN142" s="540" t="str">
        <f t="shared" si="457"/>
        <v/>
      </c>
      <c r="BO142" s="540" t="str">
        <f t="shared" si="457"/>
        <v/>
      </c>
      <c r="BP142" s="540" t="str">
        <f t="shared" si="457"/>
        <v/>
      </c>
      <c r="BQ142" s="540" t="str">
        <f t="shared" si="457"/>
        <v/>
      </c>
      <c r="BR142" s="540" t="str">
        <f t="shared" si="457"/>
        <v/>
      </c>
      <c r="BS142" s="540" t="str">
        <f t="shared" si="457"/>
        <v/>
      </c>
      <c r="BT142" s="540" t="str">
        <f t="shared" ref="BT142:CL142" si="458">IF(BT141=S3_base,S3_Emissions,"")</f>
        <v/>
      </c>
      <c r="BU142" s="540" t="str">
        <f t="shared" si="458"/>
        <v/>
      </c>
      <c r="BV142" s="540" t="str">
        <f t="shared" si="458"/>
        <v/>
      </c>
      <c r="BW142" s="540" t="str">
        <f t="shared" si="458"/>
        <v/>
      </c>
      <c r="BX142" s="540" t="str">
        <f t="shared" si="458"/>
        <v/>
      </c>
      <c r="BY142" s="540" t="str">
        <f t="shared" si="458"/>
        <v/>
      </c>
      <c r="BZ142" s="540" t="str">
        <f t="shared" si="458"/>
        <v/>
      </c>
      <c r="CA142" s="540" t="str">
        <f t="shared" si="458"/>
        <v/>
      </c>
      <c r="CB142" s="540" t="str">
        <f t="shared" si="458"/>
        <v/>
      </c>
      <c r="CC142" s="540" t="str">
        <f t="shared" si="458"/>
        <v/>
      </c>
      <c r="CD142" s="540" t="str">
        <f t="shared" si="458"/>
        <v/>
      </c>
      <c r="CE142" s="540" t="str">
        <f t="shared" si="458"/>
        <v/>
      </c>
      <c r="CF142" s="540" t="str">
        <f t="shared" si="458"/>
        <v/>
      </c>
      <c r="CG142" s="540" t="str">
        <f t="shared" si="458"/>
        <v/>
      </c>
      <c r="CH142" s="540" t="str">
        <f t="shared" si="458"/>
        <v/>
      </c>
      <c r="CI142" s="540" t="str">
        <f t="shared" si="458"/>
        <v/>
      </c>
      <c r="CJ142" s="540" t="str">
        <f t="shared" si="458"/>
        <v/>
      </c>
      <c r="CK142" s="540" t="str">
        <f t="shared" si="458"/>
        <v/>
      </c>
      <c r="CL142" s="540" t="str">
        <f t="shared" si="458"/>
        <v/>
      </c>
      <c r="CN142" s="619"/>
      <c r="CO142" s="619"/>
      <c r="CP142" s="619"/>
    </row>
    <row r="143" spans="1:94" outlineLevel="1">
      <c r="A143" s="538" t="s">
        <v>618</v>
      </c>
      <c r="B143" s="538"/>
      <c r="C143" s="538"/>
      <c r="D143" s="538"/>
      <c r="E143" s="619"/>
      <c r="F143" s="619"/>
      <c r="G143" s="619"/>
      <c r="H143" s="619">
        <f t="shared" ref="H143:BS143" si="459">IF(S3_base&lt;2020,IF(H141=S3_base,0,2.5%+G143),IF(H141=2020,0,2.5%+G143))</f>
        <v>2.5000000000000001E-2</v>
      </c>
      <c r="I143" s="619">
        <f t="shared" si="459"/>
        <v>0.05</v>
      </c>
      <c r="J143" s="619">
        <f t="shared" si="459"/>
        <v>7.5000000000000011E-2</v>
      </c>
      <c r="K143" s="619">
        <f t="shared" si="459"/>
        <v>0.1</v>
      </c>
      <c r="L143" s="619">
        <f t="shared" si="459"/>
        <v>0.125</v>
      </c>
      <c r="M143" s="619">
        <f t="shared" si="459"/>
        <v>0.15</v>
      </c>
      <c r="N143" s="619">
        <f t="shared" si="459"/>
        <v>0.17499999999999999</v>
      </c>
      <c r="O143" s="619">
        <f t="shared" si="459"/>
        <v>0.19999999999999998</v>
      </c>
      <c r="P143" s="619">
        <f t="shared" si="459"/>
        <v>0.22499999999999998</v>
      </c>
      <c r="Q143" s="619">
        <f t="shared" si="459"/>
        <v>0.24999999999999997</v>
      </c>
      <c r="R143" s="619">
        <f t="shared" si="459"/>
        <v>0.27499999999999997</v>
      </c>
      <c r="S143" s="619">
        <f t="shared" si="459"/>
        <v>0.3</v>
      </c>
      <c r="T143" s="619">
        <f t="shared" si="459"/>
        <v>0.32500000000000001</v>
      </c>
      <c r="U143" s="619">
        <f t="shared" si="459"/>
        <v>0.35000000000000003</v>
      </c>
      <c r="V143" s="619">
        <f t="shared" si="459"/>
        <v>0.37500000000000006</v>
      </c>
      <c r="W143" s="619">
        <f t="shared" si="459"/>
        <v>0.40000000000000008</v>
      </c>
      <c r="X143" s="619">
        <f t="shared" si="459"/>
        <v>0.4250000000000001</v>
      </c>
      <c r="Y143" s="619">
        <f t="shared" si="459"/>
        <v>0.45000000000000012</v>
      </c>
      <c r="Z143" s="619">
        <f t="shared" si="459"/>
        <v>0.47500000000000014</v>
      </c>
      <c r="AA143" s="619">
        <f t="shared" si="459"/>
        <v>0.50000000000000011</v>
      </c>
      <c r="AB143" s="619">
        <f t="shared" si="459"/>
        <v>0.52500000000000013</v>
      </c>
      <c r="AC143" s="619">
        <f t="shared" si="459"/>
        <v>0.55000000000000016</v>
      </c>
      <c r="AD143" s="619">
        <f t="shared" si="459"/>
        <v>0.57500000000000018</v>
      </c>
      <c r="AE143" s="619">
        <f t="shared" si="459"/>
        <v>0.6000000000000002</v>
      </c>
      <c r="AF143" s="619">
        <f t="shared" si="459"/>
        <v>0.62500000000000022</v>
      </c>
      <c r="AG143" s="619">
        <f t="shared" si="459"/>
        <v>0.65000000000000024</v>
      </c>
      <c r="AH143" s="619">
        <f t="shared" si="459"/>
        <v>0.67500000000000027</v>
      </c>
      <c r="AI143" s="619">
        <f t="shared" si="459"/>
        <v>0.70000000000000029</v>
      </c>
      <c r="AJ143" s="619">
        <f t="shared" si="459"/>
        <v>0.72500000000000031</v>
      </c>
      <c r="AK143" s="619">
        <f t="shared" si="459"/>
        <v>0.75000000000000033</v>
      </c>
      <c r="AL143" s="619">
        <f t="shared" si="459"/>
        <v>0.77500000000000036</v>
      </c>
      <c r="AM143" s="619">
        <f t="shared" si="459"/>
        <v>0.80000000000000038</v>
      </c>
      <c r="AN143" s="619">
        <f t="shared" si="459"/>
        <v>0.8250000000000004</v>
      </c>
      <c r="AO143" s="619">
        <f t="shared" si="459"/>
        <v>0.85000000000000042</v>
      </c>
      <c r="AP143" s="619">
        <f t="shared" si="459"/>
        <v>0.87500000000000044</v>
      </c>
      <c r="AQ143" s="619">
        <f t="shared" si="459"/>
        <v>0.90000000000000047</v>
      </c>
      <c r="AR143" s="619">
        <f t="shared" si="459"/>
        <v>0.92500000000000049</v>
      </c>
      <c r="AS143" s="619">
        <f t="shared" si="459"/>
        <v>0.95000000000000051</v>
      </c>
      <c r="AT143" s="619">
        <f t="shared" si="459"/>
        <v>0.97500000000000053</v>
      </c>
      <c r="AU143" s="619">
        <f t="shared" si="459"/>
        <v>1.0000000000000004</v>
      </c>
      <c r="AV143" s="619">
        <f t="shared" si="459"/>
        <v>1.0250000000000004</v>
      </c>
      <c r="AW143" s="619">
        <f t="shared" si="459"/>
        <v>1.0500000000000003</v>
      </c>
      <c r="AX143" s="619">
        <f t="shared" si="459"/>
        <v>1.0750000000000002</v>
      </c>
      <c r="AY143" s="619">
        <f t="shared" si="459"/>
        <v>1.1000000000000001</v>
      </c>
      <c r="AZ143" s="619">
        <f t="shared" si="459"/>
        <v>1.125</v>
      </c>
      <c r="BA143" s="619">
        <f t="shared" si="459"/>
        <v>1.1499999999999999</v>
      </c>
      <c r="BB143" s="619">
        <f t="shared" si="459"/>
        <v>1.1749999999999998</v>
      </c>
      <c r="BC143" s="619">
        <f t="shared" si="459"/>
        <v>1.1999999999999997</v>
      </c>
      <c r="BD143" s="619">
        <f t="shared" si="459"/>
        <v>1.2249999999999996</v>
      </c>
      <c r="BE143" s="619">
        <f t="shared" si="459"/>
        <v>1.2499999999999996</v>
      </c>
      <c r="BF143" s="619">
        <f t="shared" si="459"/>
        <v>1.2749999999999995</v>
      </c>
      <c r="BG143" s="619">
        <f t="shared" si="459"/>
        <v>1.2999999999999994</v>
      </c>
      <c r="BH143" s="619">
        <f t="shared" si="459"/>
        <v>1.3249999999999993</v>
      </c>
      <c r="BI143" s="619">
        <f t="shared" si="459"/>
        <v>1.3499999999999992</v>
      </c>
      <c r="BJ143" s="619">
        <f t="shared" si="459"/>
        <v>1.3749999999999991</v>
      </c>
      <c r="BK143" s="619">
        <f t="shared" si="459"/>
        <v>1.399999999999999</v>
      </c>
      <c r="BL143" s="619">
        <f t="shared" si="459"/>
        <v>1.4249999999999989</v>
      </c>
      <c r="BM143" s="619">
        <f t="shared" si="459"/>
        <v>1.4499999999999988</v>
      </c>
      <c r="BN143" s="619">
        <f t="shared" si="459"/>
        <v>1.4749999999999988</v>
      </c>
      <c r="BO143" s="619">
        <f t="shared" si="459"/>
        <v>1.4999999999999987</v>
      </c>
      <c r="BP143" s="619">
        <f t="shared" si="459"/>
        <v>1.5249999999999986</v>
      </c>
      <c r="BQ143" s="619">
        <f t="shared" si="459"/>
        <v>1.5499999999999985</v>
      </c>
      <c r="BR143" s="619">
        <f t="shared" si="459"/>
        <v>1.5749999999999984</v>
      </c>
      <c r="BS143" s="619">
        <f t="shared" si="459"/>
        <v>1.5999999999999983</v>
      </c>
      <c r="BT143" s="619">
        <f t="shared" ref="BT143:CL143" si="460">IF(S3_base&lt;2020,IF(BT141=S3_base,0,2.5%+BS143),IF(BT141=2020,0,2.5%+BS143))</f>
        <v>1.6249999999999982</v>
      </c>
      <c r="BU143" s="619">
        <f t="shared" si="460"/>
        <v>1.6499999999999981</v>
      </c>
      <c r="BV143" s="619">
        <f t="shared" si="460"/>
        <v>1.674999999999998</v>
      </c>
      <c r="BW143" s="619">
        <f t="shared" si="460"/>
        <v>1.699999999999998</v>
      </c>
      <c r="BX143" s="619">
        <f t="shared" si="460"/>
        <v>1.7249999999999979</v>
      </c>
      <c r="BY143" s="619">
        <f t="shared" si="460"/>
        <v>1.7499999999999978</v>
      </c>
      <c r="BZ143" s="619">
        <f t="shared" si="460"/>
        <v>1.7749999999999977</v>
      </c>
      <c r="CA143" s="619">
        <f t="shared" si="460"/>
        <v>1.7999999999999976</v>
      </c>
      <c r="CB143" s="619">
        <f t="shared" si="460"/>
        <v>1.8249999999999975</v>
      </c>
      <c r="CC143" s="619">
        <f t="shared" si="460"/>
        <v>1.8499999999999974</v>
      </c>
      <c r="CD143" s="619">
        <f t="shared" si="460"/>
        <v>1.8749999999999973</v>
      </c>
      <c r="CE143" s="619">
        <f t="shared" si="460"/>
        <v>1.8999999999999972</v>
      </c>
      <c r="CF143" s="619">
        <f t="shared" si="460"/>
        <v>1.9249999999999972</v>
      </c>
      <c r="CG143" s="619">
        <f t="shared" si="460"/>
        <v>1.9499999999999971</v>
      </c>
      <c r="CH143" s="619">
        <f t="shared" si="460"/>
        <v>1.974999999999997</v>
      </c>
      <c r="CI143" s="619">
        <f t="shared" si="460"/>
        <v>1.9999999999999969</v>
      </c>
      <c r="CJ143" s="619">
        <f t="shared" si="460"/>
        <v>2.0249999999999968</v>
      </c>
      <c r="CK143" s="619">
        <f t="shared" si="460"/>
        <v>2.0499999999999967</v>
      </c>
      <c r="CL143" s="619">
        <f t="shared" si="460"/>
        <v>2.0749999999999966</v>
      </c>
      <c r="CM143" s="619">
        <f>IF(CM141=S3_base,0,IF(AND(CM141&gt;S3_base,CM141&lt;2020),2.5%+CL143,IF(CM141&gt;2020,2.5%+CL143,"")))</f>
        <v>0</v>
      </c>
      <c r="CN143" s="619"/>
      <c r="CO143" s="619"/>
      <c r="CP143" s="619"/>
    </row>
    <row r="144" spans="1:94" outlineLevel="1">
      <c r="A144" s="538" t="s">
        <v>500</v>
      </c>
      <c r="B144" s="538"/>
      <c r="C144" s="538"/>
      <c r="D144" s="538"/>
      <c r="E144" s="540" t="e">
        <f t="shared" ref="E144:G144" si="461">INDEX($E$141:$CL$142,2,MATCH(S3_base,$E$141:$CL$141,0))*(1-IF(E143&lt;0,0,E143))</f>
        <v>#N/A</v>
      </c>
      <c r="F144" s="540" t="e">
        <f t="shared" si="461"/>
        <v>#N/A</v>
      </c>
      <c r="G144" s="540" t="e">
        <f t="shared" si="461"/>
        <v>#N/A</v>
      </c>
      <c r="H144" s="540" t="e">
        <f t="shared" ref="H144:BS144" si="462">IF(H141&lt;S3_base,NA(),INDEX($E$141:$CL$142,2,MATCH(S3_base,$E$141:$CL$141,0))*(1-IF(H143&lt;0,0,H143)))</f>
        <v>#N/A</v>
      </c>
      <c r="I144" s="540" t="e">
        <f t="shared" si="462"/>
        <v>#N/A</v>
      </c>
      <c r="J144" s="540" t="e">
        <f t="shared" si="462"/>
        <v>#N/A</v>
      </c>
      <c r="K144" s="540" t="e">
        <f t="shared" si="462"/>
        <v>#N/A</v>
      </c>
      <c r="L144" s="540" t="e">
        <f t="shared" si="462"/>
        <v>#N/A</v>
      </c>
      <c r="M144" s="540" t="e">
        <f t="shared" si="462"/>
        <v>#N/A</v>
      </c>
      <c r="N144" s="540" t="e">
        <f t="shared" si="462"/>
        <v>#N/A</v>
      </c>
      <c r="O144" s="540" t="e">
        <f t="shared" si="462"/>
        <v>#N/A</v>
      </c>
      <c r="P144" s="540" t="e">
        <f t="shared" si="462"/>
        <v>#N/A</v>
      </c>
      <c r="Q144" s="540" t="e">
        <f t="shared" si="462"/>
        <v>#N/A</v>
      </c>
      <c r="R144" s="540" t="e">
        <f t="shared" si="462"/>
        <v>#N/A</v>
      </c>
      <c r="S144" s="540" t="e">
        <f t="shared" si="462"/>
        <v>#N/A</v>
      </c>
      <c r="T144" s="540" t="e">
        <f t="shared" si="462"/>
        <v>#N/A</v>
      </c>
      <c r="U144" s="540" t="e">
        <f t="shared" si="462"/>
        <v>#N/A</v>
      </c>
      <c r="V144" s="540" t="e">
        <f t="shared" si="462"/>
        <v>#N/A</v>
      </c>
      <c r="W144" s="540" t="e">
        <f t="shared" si="462"/>
        <v>#N/A</v>
      </c>
      <c r="X144" s="540" t="e">
        <f t="shared" si="462"/>
        <v>#N/A</v>
      </c>
      <c r="Y144" s="540" t="e">
        <f t="shared" si="462"/>
        <v>#N/A</v>
      </c>
      <c r="Z144" s="540" t="e">
        <f t="shared" si="462"/>
        <v>#N/A</v>
      </c>
      <c r="AA144" s="540" t="e">
        <f t="shared" si="462"/>
        <v>#N/A</v>
      </c>
      <c r="AB144" s="540" t="e">
        <f t="shared" si="462"/>
        <v>#N/A</v>
      </c>
      <c r="AC144" s="540" t="e">
        <f t="shared" si="462"/>
        <v>#N/A</v>
      </c>
      <c r="AD144" s="540" t="e">
        <f t="shared" si="462"/>
        <v>#N/A</v>
      </c>
      <c r="AE144" s="540" t="e">
        <f t="shared" si="462"/>
        <v>#N/A</v>
      </c>
      <c r="AF144" s="540" t="e">
        <f t="shared" si="462"/>
        <v>#N/A</v>
      </c>
      <c r="AG144" s="540" t="e">
        <f t="shared" si="462"/>
        <v>#N/A</v>
      </c>
      <c r="AH144" s="540" t="e">
        <f t="shared" si="462"/>
        <v>#N/A</v>
      </c>
      <c r="AI144" s="540" t="e">
        <f t="shared" si="462"/>
        <v>#N/A</v>
      </c>
      <c r="AJ144" s="540" t="e">
        <f t="shared" si="462"/>
        <v>#N/A</v>
      </c>
      <c r="AK144" s="540" t="e">
        <f t="shared" si="462"/>
        <v>#N/A</v>
      </c>
      <c r="AL144" s="540" t="e">
        <f t="shared" si="462"/>
        <v>#N/A</v>
      </c>
      <c r="AM144" s="540" t="e">
        <f t="shared" si="462"/>
        <v>#N/A</v>
      </c>
      <c r="AN144" s="540" t="e">
        <f t="shared" si="462"/>
        <v>#N/A</v>
      </c>
      <c r="AO144" s="540" t="e">
        <f t="shared" si="462"/>
        <v>#N/A</v>
      </c>
      <c r="AP144" s="540" t="e">
        <f t="shared" si="462"/>
        <v>#N/A</v>
      </c>
      <c r="AQ144" s="540" t="e">
        <f t="shared" si="462"/>
        <v>#N/A</v>
      </c>
      <c r="AR144" s="540" t="e">
        <f t="shared" si="462"/>
        <v>#N/A</v>
      </c>
      <c r="AS144" s="540" t="e">
        <f t="shared" si="462"/>
        <v>#N/A</v>
      </c>
      <c r="AT144" s="540" t="e">
        <f t="shared" si="462"/>
        <v>#N/A</v>
      </c>
      <c r="AU144" s="540" t="e">
        <f t="shared" si="462"/>
        <v>#N/A</v>
      </c>
      <c r="AV144" s="540" t="e">
        <f t="shared" si="462"/>
        <v>#N/A</v>
      </c>
      <c r="AW144" s="540" t="e">
        <f t="shared" si="462"/>
        <v>#N/A</v>
      </c>
      <c r="AX144" s="540" t="e">
        <f t="shared" si="462"/>
        <v>#N/A</v>
      </c>
      <c r="AY144" s="540" t="e">
        <f t="shared" si="462"/>
        <v>#N/A</v>
      </c>
      <c r="AZ144" s="540" t="e">
        <f t="shared" si="462"/>
        <v>#N/A</v>
      </c>
      <c r="BA144" s="540" t="e">
        <f t="shared" si="462"/>
        <v>#N/A</v>
      </c>
      <c r="BB144" s="540" t="e">
        <f t="shared" si="462"/>
        <v>#N/A</v>
      </c>
      <c r="BC144" s="540" t="e">
        <f t="shared" si="462"/>
        <v>#N/A</v>
      </c>
      <c r="BD144" s="540" t="e">
        <f t="shared" si="462"/>
        <v>#N/A</v>
      </c>
      <c r="BE144" s="540" t="e">
        <f t="shared" si="462"/>
        <v>#N/A</v>
      </c>
      <c r="BF144" s="540" t="e">
        <f t="shared" si="462"/>
        <v>#N/A</v>
      </c>
      <c r="BG144" s="540" t="e">
        <f t="shared" si="462"/>
        <v>#N/A</v>
      </c>
      <c r="BH144" s="540" t="e">
        <f t="shared" si="462"/>
        <v>#N/A</v>
      </c>
      <c r="BI144" s="540" t="e">
        <f t="shared" si="462"/>
        <v>#N/A</v>
      </c>
      <c r="BJ144" s="540" t="e">
        <f t="shared" si="462"/>
        <v>#N/A</v>
      </c>
      <c r="BK144" s="540" t="e">
        <f t="shared" si="462"/>
        <v>#N/A</v>
      </c>
      <c r="BL144" s="540" t="e">
        <f t="shared" si="462"/>
        <v>#N/A</v>
      </c>
      <c r="BM144" s="540" t="e">
        <f t="shared" si="462"/>
        <v>#N/A</v>
      </c>
      <c r="BN144" s="540" t="e">
        <f t="shared" si="462"/>
        <v>#N/A</v>
      </c>
      <c r="BO144" s="540" t="e">
        <f t="shared" si="462"/>
        <v>#N/A</v>
      </c>
      <c r="BP144" s="540" t="e">
        <f t="shared" si="462"/>
        <v>#N/A</v>
      </c>
      <c r="BQ144" s="540" t="e">
        <f t="shared" si="462"/>
        <v>#N/A</v>
      </c>
      <c r="BR144" s="540" t="e">
        <f t="shared" si="462"/>
        <v>#N/A</v>
      </c>
      <c r="BS144" s="540" t="e">
        <f t="shared" si="462"/>
        <v>#N/A</v>
      </c>
      <c r="BT144" s="540" t="e">
        <f t="shared" ref="BT144:CL144" si="463">IF(BT141&lt;S3_base,NA(),INDEX($E$141:$CL$142,2,MATCH(S3_base,$E$141:$CL$141,0))*(1-IF(BT143&lt;0,0,BT143)))</f>
        <v>#N/A</v>
      </c>
      <c r="BU144" s="540" t="e">
        <f t="shared" si="463"/>
        <v>#N/A</v>
      </c>
      <c r="BV144" s="540" t="e">
        <f t="shared" si="463"/>
        <v>#N/A</v>
      </c>
      <c r="BW144" s="540" t="e">
        <f t="shared" si="463"/>
        <v>#N/A</v>
      </c>
      <c r="BX144" s="540" t="e">
        <f t="shared" si="463"/>
        <v>#N/A</v>
      </c>
      <c r="BY144" s="540" t="e">
        <f t="shared" si="463"/>
        <v>#N/A</v>
      </c>
      <c r="BZ144" s="540" t="e">
        <f t="shared" si="463"/>
        <v>#N/A</v>
      </c>
      <c r="CA144" s="540" t="e">
        <f t="shared" si="463"/>
        <v>#N/A</v>
      </c>
      <c r="CB144" s="540" t="e">
        <f t="shared" si="463"/>
        <v>#N/A</v>
      </c>
      <c r="CC144" s="540" t="e">
        <f t="shared" si="463"/>
        <v>#N/A</v>
      </c>
      <c r="CD144" s="540" t="e">
        <f t="shared" si="463"/>
        <v>#N/A</v>
      </c>
      <c r="CE144" s="540" t="e">
        <f t="shared" si="463"/>
        <v>#N/A</v>
      </c>
      <c r="CF144" s="540" t="e">
        <f t="shared" si="463"/>
        <v>#N/A</v>
      </c>
      <c r="CG144" s="540" t="e">
        <f t="shared" si="463"/>
        <v>#N/A</v>
      </c>
      <c r="CH144" s="540" t="e">
        <f t="shared" si="463"/>
        <v>#N/A</v>
      </c>
      <c r="CI144" s="540" t="e">
        <f t="shared" si="463"/>
        <v>#N/A</v>
      </c>
      <c r="CJ144" s="540" t="e">
        <f t="shared" si="463"/>
        <v>#N/A</v>
      </c>
      <c r="CK144" s="540" t="e">
        <f t="shared" si="463"/>
        <v>#N/A</v>
      </c>
      <c r="CL144" s="540" t="e">
        <f t="shared" si="463"/>
        <v>#N/A</v>
      </c>
      <c r="CN144" s="619"/>
      <c r="CO144" s="619"/>
      <c r="CP144" s="619"/>
    </row>
    <row r="145" spans="1:94" outlineLevel="1">
      <c r="A145" s="535" t="s">
        <v>500</v>
      </c>
      <c r="B145" s="535" t="s">
        <v>1</v>
      </c>
      <c r="C145" s="535"/>
      <c r="D145" s="535"/>
      <c r="E145" s="587" t="e">
        <f t="shared" ref="E145:BP145" si="464">IF(E141=S3_target,E144,NA())</f>
        <v>#N/A</v>
      </c>
      <c r="F145" s="541" t="e">
        <f t="shared" si="464"/>
        <v>#N/A</v>
      </c>
      <c r="G145" s="541" t="e">
        <f t="shared" si="464"/>
        <v>#N/A</v>
      </c>
      <c r="H145" s="541" t="e">
        <f t="shared" si="464"/>
        <v>#N/A</v>
      </c>
      <c r="I145" s="631" t="e">
        <f t="shared" si="464"/>
        <v>#N/A</v>
      </c>
      <c r="J145" s="541" t="e">
        <f t="shared" si="464"/>
        <v>#N/A</v>
      </c>
      <c r="K145" s="541" t="e">
        <f t="shared" si="464"/>
        <v>#N/A</v>
      </c>
      <c r="L145" s="541" t="e">
        <f t="shared" si="464"/>
        <v>#N/A</v>
      </c>
      <c r="M145" s="541" t="e">
        <f t="shared" si="464"/>
        <v>#N/A</v>
      </c>
      <c r="N145" s="541" t="e">
        <f t="shared" si="464"/>
        <v>#N/A</v>
      </c>
      <c r="O145" s="541" t="e">
        <f t="shared" si="464"/>
        <v>#N/A</v>
      </c>
      <c r="P145" s="541" t="e">
        <f t="shared" si="464"/>
        <v>#N/A</v>
      </c>
      <c r="Q145" s="541" t="e">
        <f t="shared" si="464"/>
        <v>#N/A</v>
      </c>
      <c r="R145" s="541" t="e">
        <f t="shared" si="464"/>
        <v>#N/A</v>
      </c>
      <c r="S145" s="587" t="e">
        <f t="shared" si="464"/>
        <v>#N/A</v>
      </c>
      <c r="T145" s="587" t="e">
        <f t="shared" si="464"/>
        <v>#N/A</v>
      </c>
      <c r="U145" s="587" t="e">
        <f t="shared" si="464"/>
        <v>#N/A</v>
      </c>
      <c r="V145" s="541" t="e">
        <f t="shared" si="464"/>
        <v>#N/A</v>
      </c>
      <c r="W145" s="541" t="e">
        <f t="shared" si="464"/>
        <v>#N/A</v>
      </c>
      <c r="X145" s="541" t="e">
        <f t="shared" si="464"/>
        <v>#N/A</v>
      </c>
      <c r="Y145" s="541" t="e">
        <f t="shared" si="464"/>
        <v>#N/A</v>
      </c>
      <c r="Z145" s="541" t="e">
        <f t="shared" si="464"/>
        <v>#N/A</v>
      </c>
      <c r="AA145" s="541" t="e">
        <f t="shared" si="464"/>
        <v>#N/A</v>
      </c>
      <c r="AB145" s="541" t="e">
        <f t="shared" si="464"/>
        <v>#N/A</v>
      </c>
      <c r="AC145" s="541" t="e">
        <f t="shared" si="464"/>
        <v>#N/A</v>
      </c>
      <c r="AD145" s="541" t="e">
        <f t="shared" si="464"/>
        <v>#N/A</v>
      </c>
      <c r="AE145" s="541" t="e">
        <f t="shared" si="464"/>
        <v>#N/A</v>
      </c>
      <c r="AF145" s="541" t="e">
        <f t="shared" si="464"/>
        <v>#N/A</v>
      </c>
      <c r="AG145" s="541" t="e">
        <f t="shared" si="464"/>
        <v>#N/A</v>
      </c>
      <c r="AH145" s="541" t="e">
        <f t="shared" si="464"/>
        <v>#N/A</v>
      </c>
      <c r="AI145" s="541" t="e">
        <f t="shared" si="464"/>
        <v>#N/A</v>
      </c>
      <c r="AJ145" s="541" t="e">
        <f t="shared" si="464"/>
        <v>#N/A</v>
      </c>
      <c r="AK145" s="541" t="e">
        <f t="shared" si="464"/>
        <v>#N/A</v>
      </c>
      <c r="AL145" s="541" t="e">
        <f t="shared" si="464"/>
        <v>#N/A</v>
      </c>
      <c r="AM145" s="541" t="e">
        <f t="shared" si="464"/>
        <v>#N/A</v>
      </c>
      <c r="AN145" s="541" t="e">
        <f t="shared" si="464"/>
        <v>#N/A</v>
      </c>
      <c r="AO145" s="541" t="e">
        <f t="shared" si="464"/>
        <v>#N/A</v>
      </c>
      <c r="AP145" s="541" t="e">
        <f t="shared" si="464"/>
        <v>#N/A</v>
      </c>
      <c r="AQ145" s="541" t="e">
        <f t="shared" si="464"/>
        <v>#N/A</v>
      </c>
      <c r="AR145" s="541" t="e">
        <f t="shared" si="464"/>
        <v>#N/A</v>
      </c>
      <c r="AS145" s="541" t="e">
        <f t="shared" si="464"/>
        <v>#N/A</v>
      </c>
      <c r="AT145" s="541" t="e">
        <f t="shared" si="464"/>
        <v>#N/A</v>
      </c>
      <c r="AU145" s="541" t="e">
        <f t="shared" si="464"/>
        <v>#N/A</v>
      </c>
      <c r="AV145" s="541" t="e">
        <f t="shared" si="464"/>
        <v>#N/A</v>
      </c>
      <c r="AW145" s="541" t="e">
        <f t="shared" si="464"/>
        <v>#N/A</v>
      </c>
      <c r="AX145" s="541" t="e">
        <f t="shared" si="464"/>
        <v>#N/A</v>
      </c>
      <c r="AY145" s="541" t="e">
        <f t="shared" si="464"/>
        <v>#N/A</v>
      </c>
      <c r="AZ145" s="541" t="e">
        <f t="shared" si="464"/>
        <v>#N/A</v>
      </c>
      <c r="BA145" s="541" t="e">
        <f t="shared" si="464"/>
        <v>#N/A</v>
      </c>
      <c r="BB145" s="541" t="e">
        <f t="shared" si="464"/>
        <v>#N/A</v>
      </c>
      <c r="BC145" s="541" t="e">
        <f t="shared" si="464"/>
        <v>#N/A</v>
      </c>
      <c r="BD145" s="541" t="e">
        <f t="shared" si="464"/>
        <v>#N/A</v>
      </c>
      <c r="BE145" s="541" t="e">
        <f t="shared" si="464"/>
        <v>#N/A</v>
      </c>
      <c r="BF145" s="541" t="e">
        <f t="shared" si="464"/>
        <v>#N/A</v>
      </c>
      <c r="BG145" s="541" t="e">
        <f t="shared" si="464"/>
        <v>#N/A</v>
      </c>
      <c r="BH145" s="541" t="e">
        <f t="shared" si="464"/>
        <v>#N/A</v>
      </c>
      <c r="BI145" s="541" t="e">
        <f t="shared" si="464"/>
        <v>#N/A</v>
      </c>
      <c r="BJ145" s="541" t="e">
        <f t="shared" si="464"/>
        <v>#N/A</v>
      </c>
      <c r="BK145" s="541" t="e">
        <f t="shared" si="464"/>
        <v>#N/A</v>
      </c>
      <c r="BL145" s="541" t="e">
        <f t="shared" si="464"/>
        <v>#N/A</v>
      </c>
      <c r="BM145" s="541" t="e">
        <f t="shared" si="464"/>
        <v>#N/A</v>
      </c>
      <c r="BN145" s="541" t="e">
        <f t="shared" si="464"/>
        <v>#N/A</v>
      </c>
      <c r="BO145" s="541" t="e">
        <f t="shared" si="464"/>
        <v>#N/A</v>
      </c>
      <c r="BP145" s="541" t="e">
        <f t="shared" si="464"/>
        <v>#N/A</v>
      </c>
      <c r="BQ145" s="541" t="e">
        <f t="shared" ref="BQ145:CL145" si="465">IF(BQ141=S3_target,BQ144,NA())</f>
        <v>#N/A</v>
      </c>
      <c r="BR145" s="541" t="e">
        <f t="shared" si="465"/>
        <v>#N/A</v>
      </c>
      <c r="BS145" s="541" t="e">
        <f t="shared" si="465"/>
        <v>#N/A</v>
      </c>
      <c r="BT145" s="541" t="e">
        <f t="shared" si="465"/>
        <v>#N/A</v>
      </c>
      <c r="BU145" s="541" t="e">
        <f t="shared" si="465"/>
        <v>#N/A</v>
      </c>
      <c r="BV145" s="541" t="e">
        <f t="shared" si="465"/>
        <v>#N/A</v>
      </c>
      <c r="BW145" s="541" t="e">
        <f t="shared" si="465"/>
        <v>#N/A</v>
      </c>
      <c r="BX145" s="541" t="e">
        <f t="shared" si="465"/>
        <v>#N/A</v>
      </c>
      <c r="BY145" s="541" t="e">
        <f t="shared" si="465"/>
        <v>#N/A</v>
      </c>
      <c r="BZ145" s="541" t="e">
        <f t="shared" si="465"/>
        <v>#N/A</v>
      </c>
      <c r="CA145" s="541" t="e">
        <f t="shared" si="465"/>
        <v>#N/A</v>
      </c>
      <c r="CB145" s="541" t="e">
        <f t="shared" si="465"/>
        <v>#N/A</v>
      </c>
      <c r="CC145" s="541" t="e">
        <f t="shared" si="465"/>
        <v>#N/A</v>
      </c>
      <c r="CD145" s="541" t="e">
        <f t="shared" si="465"/>
        <v>#N/A</v>
      </c>
      <c r="CE145" s="541" t="e">
        <f t="shared" si="465"/>
        <v>#N/A</v>
      </c>
      <c r="CF145" s="541" t="e">
        <f t="shared" si="465"/>
        <v>#N/A</v>
      </c>
      <c r="CG145" s="541" t="e">
        <f t="shared" si="465"/>
        <v>#N/A</v>
      </c>
      <c r="CH145" s="541" t="e">
        <f t="shared" si="465"/>
        <v>#N/A</v>
      </c>
      <c r="CI145" s="541" t="e">
        <f t="shared" si="465"/>
        <v>#N/A</v>
      </c>
      <c r="CJ145" s="541" t="e">
        <f t="shared" si="465"/>
        <v>#N/A</v>
      </c>
      <c r="CK145" s="541" t="e">
        <f t="shared" si="465"/>
        <v>#N/A</v>
      </c>
      <c r="CL145" s="541" t="e">
        <f t="shared" si="465"/>
        <v>#N/A</v>
      </c>
      <c r="CN145" s="620"/>
      <c r="CO145" s="620"/>
      <c r="CP145" s="620"/>
    </row>
    <row r="146" spans="1:94" outlineLevel="1">
      <c r="A146" s="535" t="s">
        <v>502</v>
      </c>
      <c r="B146" s="535"/>
      <c r="C146" s="535"/>
      <c r="D146" s="535"/>
      <c r="E146" s="620" t="e">
        <f t="shared" ref="E146:BP146" si="466">(S3_FTE_Target/S36_FTE_Base)^(1/(S3_target-S3_base))-1</f>
        <v>#DIV/0!</v>
      </c>
      <c r="F146" s="620" t="e">
        <f t="shared" si="466"/>
        <v>#DIV/0!</v>
      </c>
      <c r="G146" s="620" t="e">
        <f t="shared" si="466"/>
        <v>#DIV/0!</v>
      </c>
      <c r="H146" s="620" t="e">
        <f t="shared" si="466"/>
        <v>#DIV/0!</v>
      </c>
      <c r="I146" s="620" t="e">
        <f t="shared" si="466"/>
        <v>#DIV/0!</v>
      </c>
      <c r="J146" s="620" t="e">
        <f t="shared" si="466"/>
        <v>#DIV/0!</v>
      </c>
      <c r="K146" s="620" t="e">
        <f t="shared" si="466"/>
        <v>#DIV/0!</v>
      </c>
      <c r="L146" s="620" t="e">
        <f t="shared" si="466"/>
        <v>#DIV/0!</v>
      </c>
      <c r="M146" s="620" t="e">
        <f t="shared" si="466"/>
        <v>#DIV/0!</v>
      </c>
      <c r="N146" s="620" t="e">
        <f t="shared" si="466"/>
        <v>#DIV/0!</v>
      </c>
      <c r="O146" s="620" t="e">
        <f t="shared" si="466"/>
        <v>#DIV/0!</v>
      </c>
      <c r="P146" s="620" t="e">
        <f t="shared" si="466"/>
        <v>#DIV/0!</v>
      </c>
      <c r="Q146" s="620" t="e">
        <f t="shared" si="466"/>
        <v>#DIV/0!</v>
      </c>
      <c r="R146" s="620" t="e">
        <f t="shared" si="466"/>
        <v>#DIV/0!</v>
      </c>
      <c r="S146" s="620" t="e">
        <f t="shared" si="466"/>
        <v>#DIV/0!</v>
      </c>
      <c r="T146" s="620" t="e">
        <f t="shared" si="466"/>
        <v>#DIV/0!</v>
      </c>
      <c r="U146" s="620" t="e">
        <f t="shared" si="466"/>
        <v>#DIV/0!</v>
      </c>
      <c r="V146" s="620" t="e">
        <f t="shared" si="466"/>
        <v>#DIV/0!</v>
      </c>
      <c r="W146" s="620" t="e">
        <f t="shared" si="466"/>
        <v>#DIV/0!</v>
      </c>
      <c r="X146" s="620" t="e">
        <f t="shared" si="466"/>
        <v>#DIV/0!</v>
      </c>
      <c r="Y146" s="620" t="e">
        <f t="shared" si="466"/>
        <v>#DIV/0!</v>
      </c>
      <c r="Z146" s="620" t="e">
        <f t="shared" si="466"/>
        <v>#DIV/0!</v>
      </c>
      <c r="AA146" s="620" t="e">
        <f t="shared" si="466"/>
        <v>#DIV/0!</v>
      </c>
      <c r="AB146" s="620" t="e">
        <f t="shared" si="466"/>
        <v>#DIV/0!</v>
      </c>
      <c r="AC146" s="620" t="e">
        <f t="shared" si="466"/>
        <v>#DIV/0!</v>
      </c>
      <c r="AD146" s="620" t="e">
        <f t="shared" si="466"/>
        <v>#DIV/0!</v>
      </c>
      <c r="AE146" s="620" t="e">
        <f t="shared" si="466"/>
        <v>#DIV/0!</v>
      </c>
      <c r="AF146" s="620" t="e">
        <f t="shared" si="466"/>
        <v>#DIV/0!</v>
      </c>
      <c r="AG146" s="620" t="e">
        <f t="shared" si="466"/>
        <v>#DIV/0!</v>
      </c>
      <c r="AH146" s="620" t="e">
        <f t="shared" si="466"/>
        <v>#DIV/0!</v>
      </c>
      <c r="AI146" s="620" t="e">
        <f t="shared" si="466"/>
        <v>#DIV/0!</v>
      </c>
      <c r="AJ146" s="620" t="e">
        <f t="shared" si="466"/>
        <v>#DIV/0!</v>
      </c>
      <c r="AK146" s="620" t="e">
        <f t="shared" si="466"/>
        <v>#DIV/0!</v>
      </c>
      <c r="AL146" s="620" t="e">
        <f t="shared" si="466"/>
        <v>#DIV/0!</v>
      </c>
      <c r="AM146" s="620" t="e">
        <f t="shared" si="466"/>
        <v>#DIV/0!</v>
      </c>
      <c r="AN146" s="620" t="e">
        <f t="shared" si="466"/>
        <v>#DIV/0!</v>
      </c>
      <c r="AO146" s="620" t="e">
        <f t="shared" si="466"/>
        <v>#DIV/0!</v>
      </c>
      <c r="AP146" s="620" t="e">
        <f t="shared" si="466"/>
        <v>#DIV/0!</v>
      </c>
      <c r="AQ146" s="620" t="e">
        <f t="shared" si="466"/>
        <v>#DIV/0!</v>
      </c>
      <c r="AR146" s="620" t="e">
        <f t="shared" si="466"/>
        <v>#DIV/0!</v>
      </c>
      <c r="AS146" s="620" t="e">
        <f t="shared" si="466"/>
        <v>#DIV/0!</v>
      </c>
      <c r="AT146" s="620" t="e">
        <f t="shared" si="466"/>
        <v>#DIV/0!</v>
      </c>
      <c r="AU146" s="620" t="e">
        <f t="shared" si="466"/>
        <v>#DIV/0!</v>
      </c>
      <c r="AV146" s="620" t="e">
        <f t="shared" si="466"/>
        <v>#DIV/0!</v>
      </c>
      <c r="AW146" s="620" t="e">
        <f t="shared" si="466"/>
        <v>#DIV/0!</v>
      </c>
      <c r="AX146" s="620" t="e">
        <f t="shared" si="466"/>
        <v>#DIV/0!</v>
      </c>
      <c r="AY146" s="620" t="e">
        <f t="shared" si="466"/>
        <v>#DIV/0!</v>
      </c>
      <c r="AZ146" s="620" t="e">
        <f t="shared" si="466"/>
        <v>#DIV/0!</v>
      </c>
      <c r="BA146" s="620" t="e">
        <f t="shared" si="466"/>
        <v>#DIV/0!</v>
      </c>
      <c r="BB146" s="620" t="e">
        <f t="shared" si="466"/>
        <v>#DIV/0!</v>
      </c>
      <c r="BC146" s="620" t="e">
        <f t="shared" si="466"/>
        <v>#DIV/0!</v>
      </c>
      <c r="BD146" s="620" t="e">
        <f t="shared" si="466"/>
        <v>#DIV/0!</v>
      </c>
      <c r="BE146" s="620" t="e">
        <f t="shared" si="466"/>
        <v>#DIV/0!</v>
      </c>
      <c r="BF146" s="620" t="e">
        <f t="shared" si="466"/>
        <v>#DIV/0!</v>
      </c>
      <c r="BG146" s="620" t="e">
        <f t="shared" si="466"/>
        <v>#DIV/0!</v>
      </c>
      <c r="BH146" s="620" t="e">
        <f t="shared" si="466"/>
        <v>#DIV/0!</v>
      </c>
      <c r="BI146" s="620" t="e">
        <f t="shared" si="466"/>
        <v>#DIV/0!</v>
      </c>
      <c r="BJ146" s="620" t="e">
        <f t="shared" si="466"/>
        <v>#DIV/0!</v>
      </c>
      <c r="BK146" s="620" t="e">
        <f t="shared" si="466"/>
        <v>#DIV/0!</v>
      </c>
      <c r="BL146" s="620" t="e">
        <f t="shared" si="466"/>
        <v>#DIV/0!</v>
      </c>
      <c r="BM146" s="620" t="e">
        <f t="shared" si="466"/>
        <v>#DIV/0!</v>
      </c>
      <c r="BN146" s="620" t="e">
        <f t="shared" si="466"/>
        <v>#DIV/0!</v>
      </c>
      <c r="BO146" s="620" t="e">
        <f t="shared" si="466"/>
        <v>#DIV/0!</v>
      </c>
      <c r="BP146" s="620" t="e">
        <f t="shared" si="466"/>
        <v>#DIV/0!</v>
      </c>
      <c r="BQ146" s="620" t="e">
        <f t="shared" ref="BQ146:CL146" si="467">(S3_FTE_Target/S36_FTE_Base)^(1/(S3_target-S3_base))-1</f>
        <v>#DIV/0!</v>
      </c>
      <c r="BR146" s="620" t="e">
        <f t="shared" si="467"/>
        <v>#DIV/0!</v>
      </c>
      <c r="BS146" s="620" t="e">
        <f t="shared" si="467"/>
        <v>#DIV/0!</v>
      </c>
      <c r="BT146" s="620" t="e">
        <f t="shared" si="467"/>
        <v>#DIV/0!</v>
      </c>
      <c r="BU146" s="620" t="e">
        <f t="shared" si="467"/>
        <v>#DIV/0!</v>
      </c>
      <c r="BV146" s="620" t="e">
        <f t="shared" si="467"/>
        <v>#DIV/0!</v>
      </c>
      <c r="BW146" s="620" t="e">
        <f t="shared" si="467"/>
        <v>#DIV/0!</v>
      </c>
      <c r="BX146" s="620" t="e">
        <f t="shared" si="467"/>
        <v>#DIV/0!</v>
      </c>
      <c r="BY146" s="620" t="e">
        <f t="shared" si="467"/>
        <v>#DIV/0!</v>
      </c>
      <c r="BZ146" s="620" t="e">
        <f t="shared" si="467"/>
        <v>#DIV/0!</v>
      </c>
      <c r="CA146" s="620" t="e">
        <f t="shared" si="467"/>
        <v>#DIV/0!</v>
      </c>
      <c r="CB146" s="620" t="e">
        <f t="shared" si="467"/>
        <v>#DIV/0!</v>
      </c>
      <c r="CC146" s="620" t="e">
        <f t="shared" si="467"/>
        <v>#DIV/0!</v>
      </c>
      <c r="CD146" s="620" t="e">
        <f t="shared" si="467"/>
        <v>#DIV/0!</v>
      </c>
      <c r="CE146" s="620" t="e">
        <f t="shared" si="467"/>
        <v>#DIV/0!</v>
      </c>
      <c r="CF146" s="620" t="e">
        <f t="shared" si="467"/>
        <v>#DIV/0!</v>
      </c>
      <c r="CG146" s="620" t="e">
        <f t="shared" si="467"/>
        <v>#DIV/0!</v>
      </c>
      <c r="CH146" s="620" t="e">
        <f t="shared" si="467"/>
        <v>#DIV/0!</v>
      </c>
      <c r="CI146" s="620" t="e">
        <f t="shared" si="467"/>
        <v>#DIV/0!</v>
      </c>
      <c r="CJ146" s="620" t="e">
        <f t="shared" si="467"/>
        <v>#DIV/0!</v>
      </c>
      <c r="CK146" s="620" t="e">
        <f t="shared" si="467"/>
        <v>#DIV/0!</v>
      </c>
      <c r="CL146" s="620" t="e">
        <f t="shared" si="467"/>
        <v>#DIV/0!</v>
      </c>
      <c r="CN146" s="620"/>
      <c r="CO146" s="620"/>
      <c r="CP146" s="620"/>
    </row>
    <row r="147" spans="1:94" outlineLevel="1">
      <c r="A147" s="535" t="s">
        <v>501</v>
      </c>
      <c r="B147" s="535"/>
      <c r="C147" s="535"/>
      <c r="D147" s="535"/>
      <c r="E147" s="541" t="e">
        <f t="shared" ref="E147:BP147" si="468">IF(E141=S3_base,S36_FTE_Base,IF(E141&gt;S3_base,D147*(1+E146),0))</f>
        <v>#DIV/0!</v>
      </c>
      <c r="F147" s="541" t="e">
        <f t="shared" si="468"/>
        <v>#DIV/0!</v>
      </c>
      <c r="G147" s="541" t="e">
        <f t="shared" si="468"/>
        <v>#DIV/0!</v>
      </c>
      <c r="H147" s="541" t="e">
        <f t="shared" si="468"/>
        <v>#DIV/0!</v>
      </c>
      <c r="I147" s="631" t="e">
        <f t="shared" si="468"/>
        <v>#DIV/0!</v>
      </c>
      <c r="J147" s="541" t="e">
        <f t="shared" si="468"/>
        <v>#DIV/0!</v>
      </c>
      <c r="K147" s="541" t="e">
        <f t="shared" si="468"/>
        <v>#DIV/0!</v>
      </c>
      <c r="L147" s="541" t="e">
        <f t="shared" si="468"/>
        <v>#DIV/0!</v>
      </c>
      <c r="M147" s="541" t="e">
        <f t="shared" si="468"/>
        <v>#DIV/0!</v>
      </c>
      <c r="N147" s="541" t="e">
        <f t="shared" si="468"/>
        <v>#DIV/0!</v>
      </c>
      <c r="O147" s="541" t="e">
        <f t="shared" si="468"/>
        <v>#DIV/0!</v>
      </c>
      <c r="P147" s="541" t="e">
        <f t="shared" si="468"/>
        <v>#DIV/0!</v>
      </c>
      <c r="Q147" s="541" t="e">
        <f t="shared" si="468"/>
        <v>#DIV/0!</v>
      </c>
      <c r="R147" s="541" t="e">
        <f t="shared" si="468"/>
        <v>#DIV/0!</v>
      </c>
      <c r="S147" s="587" t="e">
        <f t="shared" si="468"/>
        <v>#DIV/0!</v>
      </c>
      <c r="T147" s="587" t="e">
        <f t="shared" si="468"/>
        <v>#DIV/0!</v>
      </c>
      <c r="U147" s="587" t="e">
        <f t="shared" si="468"/>
        <v>#DIV/0!</v>
      </c>
      <c r="V147" s="541" t="e">
        <f t="shared" si="468"/>
        <v>#DIV/0!</v>
      </c>
      <c r="W147" s="541" t="e">
        <f t="shared" si="468"/>
        <v>#DIV/0!</v>
      </c>
      <c r="X147" s="541" t="e">
        <f t="shared" si="468"/>
        <v>#DIV/0!</v>
      </c>
      <c r="Y147" s="541" t="e">
        <f t="shared" si="468"/>
        <v>#DIV/0!</v>
      </c>
      <c r="Z147" s="541" t="e">
        <f t="shared" si="468"/>
        <v>#DIV/0!</v>
      </c>
      <c r="AA147" s="541" t="e">
        <f t="shared" si="468"/>
        <v>#DIV/0!</v>
      </c>
      <c r="AB147" s="541" t="e">
        <f t="shared" si="468"/>
        <v>#DIV/0!</v>
      </c>
      <c r="AC147" s="541" t="e">
        <f t="shared" si="468"/>
        <v>#DIV/0!</v>
      </c>
      <c r="AD147" s="541" t="e">
        <f t="shared" si="468"/>
        <v>#DIV/0!</v>
      </c>
      <c r="AE147" s="541" t="e">
        <f t="shared" si="468"/>
        <v>#DIV/0!</v>
      </c>
      <c r="AF147" s="541" t="e">
        <f t="shared" si="468"/>
        <v>#DIV/0!</v>
      </c>
      <c r="AG147" s="541" t="e">
        <f t="shared" si="468"/>
        <v>#DIV/0!</v>
      </c>
      <c r="AH147" s="541" t="e">
        <f t="shared" si="468"/>
        <v>#DIV/0!</v>
      </c>
      <c r="AI147" s="541" t="e">
        <f t="shared" si="468"/>
        <v>#DIV/0!</v>
      </c>
      <c r="AJ147" s="541" t="e">
        <f t="shared" si="468"/>
        <v>#DIV/0!</v>
      </c>
      <c r="AK147" s="541" t="e">
        <f t="shared" si="468"/>
        <v>#DIV/0!</v>
      </c>
      <c r="AL147" s="541" t="e">
        <f t="shared" si="468"/>
        <v>#DIV/0!</v>
      </c>
      <c r="AM147" s="541" t="e">
        <f t="shared" si="468"/>
        <v>#DIV/0!</v>
      </c>
      <c r="AN147" s="541" t="e">
        <f t="shared" si="468"/>
        <v>#DIV/0!</v>
      </c>
      <c r="AO147" s="541" t="e">
        <f t="shared" si="468"/>
        <v>#DIV/0!</v>
      </c>
      <c r="AP147" s="541" t="e">
        <f t="shared" si="468"/>
        <v>#DIV/0!</v>
      </c>
      <c r="AQ147" s="541" t="e">
        <f t="shared" si="468"/>
        <v>#DIV/0!</v>
      </c>
      <c r="AR147" s="541" t="e">
        <f t="shared" si="468"/>
        <v>#DIV/0!</v>
      </c>
      <c r="AS147" s="541" t="e">
        <f t="shared" si="468"/>
        <v>#DIV/0!</v>
      </c>
      <c r="AT147" s="541" t="e">
        <f t="shared" si="468"/>
        <v>#DIV/0!</v>
      </c>
      <c r="AU147" s="541" t="e">
        <f t="shared" si="468"/>
        <v>#DIV/0!</v>
      </c>
      <c r="AV147" s="541" t="e">
        <f t="shared" si="468"/>
        <v>#DIV/0!</v>
      </c>
      <c r="AW147" s="541" t="e">
        <f t="shared" si="468"/>
        <v>#DIV/0!</v>
      </c>
      <c r="AX147" s="541" t="e">
        <f t="shared" si="468"/>
        <v>#DIV/0!</v>
      </c>
      <c r="AY147" s="541" t="e">
        <f t="shared" si="468"/>
        <v>#DIV/0!</v>
      </c>
      <c r="AZ147" s="541" t="e">
        <f t="shared" si="468"/>
        <v>#DIV/0!</v>
      </c>
      <c r="BA147" s="541" t="e">
        <f t="shared" si="468"/>
        <v>#DIV/0!</v>
      </c>
      <c r="BB147" s="541" t="e">
        <f t="shared" si="468"/>
        <v>#DIV/0!</v>
      </c>
      <c r="BC147" s="541" t="e">
        <f t="shared" si="468"/>
        <v>#DIV/0!</v>
      </c>
      <c r="BD147" s="541" t="e">
        <f t="shared" si="468"/>
        <v>#DIV/0!</v>
      </c>
      <c r="BE147" s="541" t="e">
        <f t="shared" si="468"/>
        <v>#DIV/0!</v>
      </c>
      <c r="BF147" s="541" t="e">
        <f t="shared" si="468"/>
        <v>#DIV/0!</v>
      </c>
      <c r="BG147" s="541" t="e">
        <f t="shared" si="468"/>
        <v>#DIV/0!</v>
      </c>
      <c r="BH147" s="541" t="e">
        <f t="shared" si="468"/>
        <v>#DIV/0!</v>
      </c>
      <c r="BI147" s="541" t="e">
        <f t="shared" si="468"/>
        <v>#DIV/0!</v>
      </c>
      <c r="BJ147" s="541" t="e">
        <f t="shared" si="468"/>
        <v>#DIV/0!</v>
      </c>
      <c r="BK147" s="541" t="e">
        <f t="shared" si="468"/>
        <v>#DIV/0!</v>
      </c>
      <c r="BL147" s="541" t="e">
        <f t="shared" si="468"/>
        <v>#DIV/0!</v>
      </c>
      <c r="BM147" s="541" t="e">
        <f t="shared" si="468"/>
        <v>#DIV/0!</v>
      </c>
      <c r="BN147" s="541" t="e">
        <f t="shared" si="468"/>
        <v>#DIV/0!</v>
      </c>
      <c r="BO147" s="541" t="e">
        <f t="shared" si="468"/>
        <v>#DIV/0!</v>
      </c>
      <c r="BP147" s="541" t="e">
        <f t="shared" si="468"/>
        <v>#DIV/0!</v>
      </c>
      <c r="BQ147" s="541" t="e">
        <f t="shared" ref="BQ147:CL147" si="469">IF(BQ141=S3_base,S36_FTE_Base,IF(BQ141&gt;S3_base,BP147*(1+BQ146),0))</f>
        <v>#DIV/0!</v>
      </c>
      <c r="BR147" s="541" t="e">
        <f t="shared" si="469"/>
        <v>#DIV/0!</v>
      </c>
      <c r="BS147" s="541" t="e">
        <f t="shared" si="469"/>
        <v>#DIV/0!</v>
      </c>
      <c r="BT147" s="541" t="e">
        <f t="shared" si="469"/>
        <v>#DIV/0!</v>
      </c>
      <c r="BU147" s="541" t="e">
        <f t="shared" si="469"/>
        <v>#DIV/0!</v>
      </c>
      <c r="BV147" s="541" t="e">
        <f t="shared" si="469"/>
        <v>#DIV/0!</v>
      </c>
      <c r="BW147" s="541" t="e">
        <f t="shared" si="469"/>
        <v>#DIV/0!</v>
      </c>
      <c r="BX147" s="541" t="e">
        <f t="shared" si="469"/>
        <v>#DIV/0!</v>
      </c>
      <c r="BY147" s="541" t="e">
        <f t="shared" si="469"/>
        <v>#DIV/0!</v>
      </c>
      <c r="BZ147" s="541" t="e">
        <f t="shared" si="469"/>
        <v>#DIV/0!</v>
      </c>
      <c r="CA147" s="541" t="e">
        <f t="shared" si="469"/>
        <v>#DIV/0!</v>
      </c>
      <c r="CB147" s="541" t="e">
        <f t="shared" si="469"/>
        <v>#DIV/0!</v>
      </c>
      <c r="CC147" s="541" t="e">
        <f t="shared" si="469"/>
        <v>#DIV/0!</v>
      </c>
      <c r="CD147" s="541" t="e">
        <f t="shared" si="469"/>
        <v>#DIV/0!</v>
      </c>
      <c r="CE147" s="541" t="e">
        <f t="shared" si="469"/>
        <v>#DIV/0!</v>
      </c>
      <c r="CF147" s="541" t="e">
        <f t="shared" si="469"/>
        <v>#DIV/0!</v>
      </c>
      <c r="CG147" s="541" t="e">
        <f t="shared" si="469"/>
        <v>#DIV/0!</v>
      </c>
      <c r="CH147" s="541" t="e">
        <f t="shared" si="469"/>
        <v>#DIV/0!</v>
      </c>
      <c r="CI147" s="541" t="e">
        <f t="shared" si="469"/>
        <v>#DIV/0!</v>
      </c>
      <c r="CJ147" s="541" t="e">
        <f t="shared" si="469"/>
        <v>#DIV/0!</v>
      </c>
      <c r="CK147" s="541" t="e">
        <f t="shared" si="469"/>
        <v>#DIV/0!</v>
      </c>
      <c r="CL147" s="541" t="e">
        <f t="shared" si="469"/>
        <v>#DIV/0!</v>
      </c>
      <c r="CN147" s="620"/>
      <c r="CO147" s="620"/>
      <c r="CP147" s="620"/>
    </row>
    <row r="148" spans="1:94" outlineLevel="1">
      <c r="A148" s="535" t="s">
        <v>503</v>
      </c>
      <c r="B148" s="535"/>
      <c r="C148" s="535"/>
      <c r="D148" s="535"/>
      <c r="E148" s="587" t="e">
        <f t="shared" ref="E148:BP148" si="470">IF(E141&gt;=S3_base,E144/E147,NA())</f>
        <v>#N/A</v>
      </c>
      <c r="F148" s="587" t="e">
        <f t="shared" si="470"/>
        <v>#N/A</v>
      </c>
      <c r="G148" s="587" t="e">
        <f t="shared" si="470"/>
        <v>#N/A</v>
      </c>
      <c r="H148" s="587" t="e">
        <f t="shared" si="470"/>
        <v>#N/A</v>
      </c>
      <c r="I148" s="632" t="e">
        <f t="shared" si="470"/>
        <v>#N/A</v>
      </c>
      <c r="J148" s="587" t="e">
        <f t="shared" si="470"/>
        <v>#N/A</v>
      </c>
      <c r="K148" s="587" t="e">
        <f t="shared" si="470"/>
        <v>#N/A</v>
      </c>
      <c r="L148" s="587" t="e">
        <f t="shared" si="470"/>
        <v>#N/A</v>
      </c>
      <c r="M148" s="587" t="e">
        <f t="shared" si="470"/>
        <v>#N/A</v>
      </c>
      <c r="N148" s="587" t="e">
        <f t="shared" si="470"/>
        <v>#N/A</v>
      </c>
      <c r="O148" s="587" t="e">
        <f t="shared" si="470"/>
        <v>#N/A</v>
      </c>
      <c r="P148" s="587" t="e">
        <f t="shared" si="470"/>
        <v>#N/A</v>
      </c>
      <c r="Q148" s="587" t="e">
        <f t="shared" si="470"/>
        <v>#N/A</v>
      </c>
      <c r="R148" s="587" t="e">
        <f t="shared" si="470"/>
        <v>#N/A</v>
      </c>
      <c r="S148" s="587" t="e">
        <f t="shared" si="470"/>
        <v>#N/A</v>
      </c>
      <c r="T148" s="587" t="e">
        <f t="shared" si="470"/>
        <v>#N/A</v>
      </c>
      <c r="U148" s="587" t="e">
        <f t="shared" si="470"/>
        <v>#N/A</v>
      </c>
      <c r="V148" s="587" t="e">
        <f t="shared" si="470"/>
        <v>#N/A</v>
      </c>
      <c r="W148" s="587" t="e">
        <f t="shared" si="470"/>
        <v>#N/A</v>
      </c>
      <c r="X148" s="587" t="e">
        <f t="shared" si="470"/>
        <v>#N/A</v>
      </c>
      <c r="Y148" s="587" t="e">
        <f t="shared" si="470"/>
        <v>#N/A</v>
      </c>
      <c r="Z148" s="587" t="e">
        <f t="shared" si="470"/>
        <v>#N/A</v>
      </c>
      <c r="AA148" s="587" t="e">
        <f t="shared" si="470"/>
        <v>#N/A</v>
      </c>
      <c r="AB148" s="587" t="e">
        <f t="shared" si="470"/>
        <v>#N/A</v>
      </c>
      <c r="AC148" s="587" t="e">
        <f t="shared" si="470"/>
        <v>#N/A</v>
      </c>
      <c r="AD148" s="587" t="e">
        <f t="shared" si="470"/>
        <v>#N/A</v>
      </c>
      <c r="AE148" s="587" t="e">
        <f t="shared" si="470"/>
        <v>#N/A</v>
      </c>
      <c r="AF148" s="587" t="e">
        <f t="shared" si="470"/>
        <v>#N/A</v>
      </c>
      <c r="AG148" s="587" t="e">
        <f t="shared" si="470"/>
        <v>#N/A</v>
      </c>
      <c r="AH148" s="587" t="e">
        <f t="shared" si="470"/>
        <v>#N/A</v>
      </c>
      <c r="AI148" s="587" t="e">
        <f t="shared" si="470"/>
        <v>#N/A</v>
      </c>
      <c r="AJ148" s="587" t="e">
        <f t="shared" si="470"/>
        <v>#N/A</v>
      </c>
      <c r="AK148" s="587" t="e">
        <f t="shared" si="470"/>
        <v>#N/A</v>
      </c>
      <c r="AL148" s="587" t="e">
        <f t="shared" si="470"/>
        <v>#N/A</v>
      </c>
      <c r="AM148" s="587" t="e">
        <f t="shared" si="470"/>
        <v>#N/A</v>
      </c>
      <c r="AN148" s="587" t="e">
        <f t="shared" si="470"/>
        <v>#N/A</v>
      </c>
      <c r="AO148" s="587" t="e">
        <f t="shared" si="470"/>
        <v>#N/A</v>
      </c>
      <c r="AP148" s="587" t="e">
        <f t="shared" si="470"/>
        <v>#N/A</v>
      </c>
      <c r="AQ148" s="587" t="e">
        <f t="shared" si="470"/>
        <v>#N/A</v>
      </c>
      <c r="AR148" s="587" t="e">
        <f t="shared" si="470"/>
        <v>#N/A</v>
      </c>
      <c r="AS148" s="587" t="e">
        <f t="shared" si="470"/>
        <v>#N/A</v>
      </c>
      <c r="AT148" s="587" t="e">
        <f t="shared" si="470"/>
        <v>#N/A</v>
      </c>
      <c r="AU148" s="587" t="e">
        <f t="shared" si="470"/>
        <v>#N/A</v>
      </c>
      <c r="AV148" s="587" t="e">
        <f t="shared" si="470"/>
        <v>#N/A</v>
      </c>
      <c r="AW148" s="587" t="e">
        <f t="shared" si="470"/>
        <v>#N/A</v>
      </c>
      <c r="AX148" s="587" t="e">
        <f t="shared" si="470"/>
        <v>#N/A</v>
      </c>
      <c r="AY148" s="587" t="e">
        <f t="shared" si="470"/>
        <v>#N/A</v>
      </c>
      <c r="AZ148" s="587" t="e">
        <f t="shared" si="470"/>
        <v>#N/A</v>
      </c>
      <c r="BA148" s="587" t="e">
        <f t="shared" si="470"/>
        <v>#N/A</v>
      </c>
      <c r="BB148" s="587" t="e">
        <f t="shared" si="470"/>
        <v>#N/A</v>
      </c>
      <c r="BC148" s="587" t="e">
        <f t="shared" si="470"/>
        <v>#N/A</v>
      </c>
      <c r="BD148" s="587" t="e">
        <f t="shared" si="470"/>
        <v>#N/A</v>
      </c>
      <c r="BE148" s="587" t="e">
        <f t="shared" si="470"/>
        <v>#N/A</v>
      </c>
      <c r="BF148" s="587" t="e">
        <f t="shared" si="470"/>
        <v>#N/A</v>
      </c>
      <c r="BG148" s="587" t="e">
        <f t="shared" si="470"/>
        <v>#N/A</v>
      </c>
      <c r="BH148" s="587" t="e">
        <f t="shared" si="470"/>
        <v>#N/A</v>
      </c>
      <c r="BI148" s="587" t="e">
        <f t="shared" si="470"/>
        <v>#N/A</v>
      </c>
      <c r="BJ148" s="587" t="e">
        <f t="shared" si="470"/>
        <v>#N/A</v>
      </c>
      <c r="BK148" s="587" t="e">
        <f t="shared" si="470"/>
        <v>#N/A</v>
      </c>
      <c r="BL148" s="587" t="e">
        <f t="shared" si="470"/>
        <v>#N/A</v>
      </c>
      <c r="BM148" s="587" t="e">
        <f t="shared" si="470"/>
        <v>#N/A</v>
      </c>
      <c r="BN148" s="587" t="e">
        <f t="shared" si="470"/>
        <v>#N/A</v>
      </c>
      <c r="BO148" s="587" t="e">
        <f t="shared" si="470"/>
        <v>#N/A</v>
      </c>
      <c r="BP148" s="587" t="e">
        <f t="shared" si="470"/>
        <v>#N/A</v>
      </c>
      <c r="BQ148" s="587" t="e">
        <f t="shared" ref="BQ148:CL148" si="471">IF(BQ141&gt;=S3_base,BQ144/BQ147,NA())</f>
        <v>#N/A</v>
      </c>
      <c r="BR148" s="587" t="e">
        <f t="shared" si="471"/>
        <v>#N/A</v>
      </c>
      <c r="BS148" s="587" t="e">
        <f t="shared" si="471"/>
        <v>#N/A</v>
      </c>
      <c r="BT148" s="587" t="e">
        <f t="shared" si="471"/>
        <v>#N/A</v>
      </c>
      <c r="BU148" s="587" t="e">
        <f t="shared" si="471"/>
        <v>#N/A</v>
      </c>
      <c r="BV148" s="587" t="e">
        <f t="shared" si="471"/>
        <v>#N/A</v>
      </c>
      <c r="BW148" s="587" t="e">
        <f t="shared" si="471"/>
        <v>#N/A</v>
      </c>
      <c r="BX148" s="587" t="e">
        <f t="shared" si="471"/>
        <v>#N/A</v>
      </c>
      <c r="BY148" s="587" t="e">
        <f t="shared" si="471"/>
        <v>#N/A</v>
      </c>
      <c r="BZ148" s="587" t="e">
        <f t="shared" si="471"/>
        <v>#N/A</v>
      </c>
      <c r="CA148" s="587" t="e">
        <f t="shared" si="471"/>
        <v>#N/A</v>
      </c>
      <c r="CB148" s="587" t="e">
        <f t="shared" si="471"/>
        <v>#N/A</v>
      </c>
      <c r="CC148" s="587" t="e">
        <f t="shared" si="471"/>
        <v>#N/A</v>
      </c>
      <c r="CD148" s="587" t="e">
        <f t="shared" si="471"/>
        <v>#N/A</v>
      </c>
      <c r="CE148" s="587" t="e">
        <f t="shared" si="471"/>
        <v>#N/A</v>
      </c>
      <c r="CF148" s="587" t="e">
        <f t="shared" si="471"/>
        <v>#N/A</v>
      </c>
      <c r="CG148" s="587" t="e">
        <f t="shared" si="471"/>
        <v>#N/A</v>
      </c>
      <c r="CH148" s="587" t="e">
        <f t="shared" si="471"/>
        <v>#N/A</v>
      </c>
      <c r="CI148" s="587" t="e">
        <f t="shared" si="471"/>
        <v>#N/A</v>
      </c>
      <c r="CJ148" s="587" t="e">
        <f t="shared" si="471"/>
        <v>#N/A</v>
      </c>
      <c r="CK148" s="587" t="e">
        <f t="shared" si="471"/>
        <v>#N/A</v>
      </c>
      <c r="CL148" s="587" t="e">
        <f t="shared" si="471"/>
        <v>#N/A</v>
      </c>
      <c r="CN148" s="620"/>
      <c r="CO148" s="620"/>
      <c r="CP148" s="620"/>
    </row>
    <row r="149" spans="1:94" outlineLevel="1">
      <c r="A149" s="535" t="s">
        <v>503</v>
      </c>
      <c r="B149" s="535" t="s">
        <v>1</v>
      </c>
      <c r="C149" s="535"/>
      <c r="D149" s="535"/>
      <c r="E149" s="587" t="e">
        <f t="shared" ref="E149:BP149" si="472">IF(E141=S3_target,E148,NA())</f>
        <v>#N/A</v>
      </c>
      <c r="F149" s="587" t="e">
        <f t="shared" si="472"/>
        <v>#N/A</v>
      </c>
      <c r="G149" s="587" t="e">
        <f t="shared" si="472"/>
        <v>#N/A</v>
      </c>
      <c r="H149" s="587" t="e">
        <f t="shared" si="472"/>
        <v>#N/A</v>
      </c>
      <c r="I149" s="632" t="e">
        <f t="shared" si="472"/>
        <v>#N/A</v>
      </c>
      <c r="J149" s="587" t="e">
        <f t="shared" si="472"/>
        <v>#N/A</v>
      </c>
      <c r="K149" s="587" t="e">
        <f t="shared" si="472"/>
        <v>#N/A</v>
      </c>
      <c r="L149" s="587" t="e">
        <f t="shared" si="472"/>
        <v>#N/A</v>
      </c>
      <c r="M149" s="587" t="e">
        <f t="shared" si="472"/>
        <v>#N/A</v>
      </c>
      <c r="N149" s="587" t="e">
        <f t="shared" si="472"/>
        <v>#N/A</v>
      </c>
      <c r="O149" s="587" t="e">
        <f t="shared" si="472"/>
        <v>#N/A</v>
      </c>
      <c r="P149" s="587" t="e">
        <f t="shared" si="472"/>
        <v>#N/A</v>
      </c>
      <c r="Q149" s="587" t="e">
        <f t="shared" si="472"/>
        <v>#N/A</v>
      </c>
      <c r="R149" s="587" t="e">
        <f t="shared" si="472"/>
        <v>#N/A</v>
      </c>
      <c r="S149" s="587" t="e">
        <f t="shared" si="472"/>
        <v>#N/A</v>
      </c>
      <c r="T149" s="587" t="e">
        <f t="shared" si="472"/>
        <v>#N/A</v>
      </c>
      <c r="U149" s="587" t="e">
        <f t="shared" si="472"/>
        <v>#N/A</v>
      </c>
      <c r="V149" s="587" t="e">
        <f t="shared" si="472"/>
        <v>#N/A</v>
      </c>
      <c r="W149" s="587" t="e">
        <f t="shared" si="472"/>
        <v>#N/A</v>
      </c>
      <c r="X149" s="587" t="e">
        <f t="shared" si="472"/>
        <v>#N/A</v>
      </c>
      <c r="Y149" s="587" t="e">
        <f t="shared" si="472"/>
        <v>#N/A</v>
      </c>
      <c r="Z149" s="587" t="e">
        <f t="shared" si="472"/>
        <v>#N/A</v>
      </c>
      <c r="AA149" s="587" t="e">
        <f t="shared" si="472"/>
        <v>#N/A</v>
      </c>
      <c r="AB149" s="587" t="e">
        <f t="shared" si="472"/>
        <v>#N/A</v>
      </c>
      <c r="AC149" s="587" t="e">
        <f t="shared" si="472"/>
        <v>#N/A</v>
      </c>
      <c r="AD149" s="587" t="e">
        <f t="shared" si="472"/>
        <v>#N/A</v>
      </c>
      <c r="AE149" s="587" t="e">
        <f t="shared" si="472"/>
        <v>#N/A</v>
      </c>
      <c r="AF149" s="587" t="e">
        <f t="shared" si="472"/>
        <v>#N/A</v>
      </c>
      <c r="AG149" s="587" t="e">
        <f t="shared" si="472"/>
        <v>#N/A</v>
      </c>
      <c r="AH149" s="587" t="e">
        <f t="shared" si="472"/>
        <v>#N/A</v>
      </c>
      <c r="AI149" s="587" t="e">
        <f t="shared" si="472"/>
        <v>#N/A</v>
      </c>
      <c r="AJ149" s="587" t="e">
        <f t="shared" si="472"/>
        <v>#N/A</v>
      </c>
      <c r="AK149" s="587" t="e">
        <f t="shared" si="472"/>
        <v>#N/A</v>
      </c>
      <c r="AL149" s="587" t="e">
        <f t="shared" si="472"/>
        <v>#N/A</v>
      </c>
      <c r="AM149" s="587" t="e">
        <f t="shared" si="472"/>
        <v>#N/A</v>
      </c>
      <c r="AN149" s="587" t="e">
        <f t="shared" si="472"/>
        <v>#N/A</v>
      </c>
      <c r="AO149" s="587" t="e">
        <f t="shared" si="472"/>
        <v>#N/A</v>
      </c>
      <c r="AP149" s="587" t="e">
        <f t="shared" si="472"/>
        <v>#N/A</v>
      </c>
      <c r="AQ149" s="587" t="e">
        <f t="shared" si="472"/>
        <v>#N/A</v>
      </c>
      <c r="AR149" s="587" t="e">
        <f t="shared" si="472"/>
        <v>#N/A</v>
      </c>
      <c r="AS149" s="587" t="e">
        <f t="shared" si="472"/>
        <v>#N/A</v>
      </c>
      <c r="AT149" s="587" t="e">
        <f t="shared" si="472"/>
        <v>#N/A</v>
      </c>
      <c r="AU149" s="587" t="e">
        <f t="shared" si="472"/>
        <v>#N/A</v>
      </c>
      <c r="AV149" s="587" t="e">
        <f t="shared" si="472"/>
        <v>#N/A</v>
      </c>
      <c r="AW149" s="587" t="e">
        <f t="shared" si="472"/>
        <v>#N/A</v>
      </c>
      <c r="AX149" s="587" t="e">
        <f t="shared" si="472"/>
        <v>#N/A</v>
      </c>
      <c r="AY149" s="587" t="e">
        <f t="shared" si="472"/>
        <v>#N/A</v>
      </c>
      <c r="AZ149" s="587" t="e">
        <f t="shared" si="472"/>
        <v>#N/A</v>
      </c>
      <c r="BA149" s="587" t="e">
        <f t="shared" si="472"/>
        <v>#N/A</v>
      </c>
      <c r="BB149" s="587" t="e">
        <f t="shared" si="472"/>
        <v>#N/A</v>
      </c>
      <c r="BC149" s="587" t="e">
        <f t="shared" si="472"/>
        <v>#N/A</v>
      </c>
      <c r="BD149" s="587" t="e">
        <f t="shared" si="472"/>
        <v>#N/A</v>
      </c>
      <c r="BE149" s="587" t="e">
        <f t="shared" si="472"/>
        <v>#N/A</v>
      </c>
      <c r="BF149" s="587" t="e">
        <f t="shared" si="472"/>
        <v>#N/A</v>
      </c>
      <c r="BG149" s="587" t="e">
        <f t="shared" si="472"/>
        <v>#N/A</v>
      </c>
      <c r="BH149" s="587" t="e">
        <f t="shared" si="472"/>
        <v>#N/A</v>
      </c>
      <c r="BI149" s="587" t="e">
        <f t="shared" si="472"/>
        <v>#N/A</v>
      </c>
      <c r="BJ149" s="587" t="e">
        <f t="shared" si="472"/>
        <v>#N/A</v>
      </c>
      <c r="BK149" s="587" t="e">
        <f t="shared" si="472"/>
        <v>#N/A</v>
      </c>
      <c r="BL149" s="587" t="e">
        <f t="shared" si="472"/>
        <v>#N/A</v>
      </c>
      <c r="BM149" s="587" t="e">
        <f t="shared" si="472"/>
        <v>#N/A</v>
      </c>
      <c r="BN149" s="587" t="e">
        <f t="shared" si="472"/>
        <v>#N/A</v>
      </c>
      <c r="BO149" s="587" t="e">
        <f t="shared" si="472"/>
        <v>#N/A</v>
      </c>
      <c r="BP149" s="587" t="e">
        <f t="shared" si="472"/>
        <v>#N/A</v>
      </c>
      <c r="BQ149" s="587" t="e">
        <f t="shared" ref="BQ149:CL149" si="473">IF(BQ141=S3_target,BQ148,NA())</f>
        <v>#N/A</v>
      </c>
      <c r="BR149" s="587" t="e">
        <f t="shared" si="473"/>
        <v>#N/A</v>
      </c>
      <c r="BS149" s="587" t="e">
        <f t="shared" si="473"/>
        <v>#N/A</v>
      </c>
      <c r="BT149" s="587" t="e">
        <f t="shared" si="473"/>
        <v>#N/A</v>
      </c>
      <c r="BU149" s="587" t="e">
        <f t="shared" si="473"/>
        <v>#N/A</v>
      </c>
      <c r="BV149" s="587" t="e">
        <f t="shared" si="473"/>
        <v>#N/A</v>
      </c>
      <c r="BW149" s="587" t="e">
        <f t="shared" si="473"/>
        <v>#N/A</v>
      </c>
      <c r="BX149" s="587" t="e">
        <f t="shared" si="473"/>
        <v>#N/A</v>
      </c>
      <c r="BY149" s="587" t="e">
        <f t="shared" si="473"/>
        <v>#N/A</v>
      </c>
      <c r="BZ149" s="587" t="e">
        <f t="shared" si="473"/>
        <v>#N/A</v>
      </c>
      <c r="CA149" s="587" t="e">
        <f t="shared" si="473"/>
        <v>#N/A</v>
      </c>
      <c r="CB149" s="587" t="e">
        <f t="shared" si="473"/>
        <v>#N/A</v>
      </c>
      <c r="CC149" s="587" t="e">
        <f t="shared" si="473"/>
        <v>#N/A</v>
      </c>
      <c r="CD149" s="587" t="e">
        <f t="shared" si="473"/>
        <v>#N/A</v>
      </c>
      <c r="CE149" s="587" t="e">
        <f t="shared" si="473"/>
        <v>#N/A</v>
      </c>
      <c r="CF149" s="587" t="e">
        <f t="shared" si="473"/>
        <v>#N/A</v>
      </c>
      <c r="CG149" s="587" t="e">
        <f t="shared" si="473"/>
        <v>#N/A</v>
      </c>
      <c r="CH149" s="587" t="e">
        <f t="shared" si="473"/>
        <v>#N/A</v>
      </c>
      <c r="CI149" s="587" t="e">
        <f t="shared" si="473"/>
        <v>#N/A</v>
      </c>
      <c r="CJ149" s="587" t="e">
        <f t="shared" si="473"/>
        <v>#N/A</v>
      </c>
      <c r="CK149" s="587" t="e">
        <f t="shared" si="473"/>
        <v>#N/A</v>
      </c>
      <c r="CL149" s="587" t="e">
        <f t="shared" si="473"/>
        <v>#N/A</v>
      </c>
      <c r="CN149" s="620"/>
      <c r="CO149" s="620"/>
      <c r="CP149" s="620"/>
    </row>
    <row r="150" spans="1:94" ht="16.5" thickBot="1">
      <c r="A150" s="588" t="s">
        <v>494</v>
      </c>
      <c r="B150" s="588"/>
      <c r="C150" s="588"/>
      <c r="D150" s="588"/>
      <c r="E150" s="589">
        <v>2015</v>
      </c>
      <c r="F150" s="590">
        <f>E150+1</f>
        <v>2016</v>
      </c>
      <c r="G150" s="590">
        <f t="shared" ref="G150:I150" si="474">F150+1</f>
        <v>2017</v>
      </c>
      <c r="H150" s="590">
        <f t="shared" si="474"/>
        <v>2018</v>
      </c>
      <c r="I150" s="590">
        <f t="shared" si="474"/>
        <v>2019</v>
      </c>
      <c r="J150" s="590">
        <f>E150+5</f>
        <v>2020</v>
      </c>
      <c r="K150" s="590">
        <f>J150+1</f>
        <v>2021</v>
      </c>
      <c r="L150" s="590">
        <f t="shared" ref="L150:N150" si="475">K150+1</f>
        <v>2022</v>
      </c>
      <c r="M150" s="590">
        <f t="shared" si="475"/>
        <v>2023</v>
      </c>
      <c r="N150" s="590">
        <f t="shared" si="475"/>
        <v>2024</v>
      </c>
      <c r="O150" s="590">
        <f>J150+5</f>
        <v>2025</v>
      </c>
      <c r="P150" s="590">
        <f>O150+1</f>
        <v>2026</v>
      </c>
      <c r="Q150" s="590">
        <f t="shared" ref="Q150:S150" si="476">P150+1</f>
        <v>2027</v>
      </c>
      <c r="R150" s="590">
        <f t="shared" si="476"/>
        <v>2028</v>
      </c>
      <c r="S150" s="590">
        <f t="shared" si="476"/>
        <v>2029</v>
      </c>
      <c r="T150" s="590">
        <f>O150+5</f>
        <v>2030</v>
      </c>
      <c r="U150" s="590">
        <f>T150+1</f>
        <v>2031</v>
      </c>
      <c r="V150" s="590">
        <f t="shared" ref="V150:X150" si="477">U150+1</f>
        <v>2032</v>
      </c>
      <c r="W150" s="590">
        <f t="shared" si="477"/>
        <v>2033</v>
      </c>
      <c r="X150" s="590">
        <f t="shared" si="477"/>
        <v>2034</v>
      </c>
      <c r="Y150" s="590">
        <f>T150+5</f>
        <v>2035</v>
      </c>
      <c r="Z150" s="590">
        <f>Y150+1</f>
        <v>2036</v>
      </c>
      <c r="AA150" s="590">
        <f t="shared" ref="AA150:AC150" si="478">Z150+1</f>
        <v>2037</v>
      </c>
      <c r="AB150" s="590">
        <f t="shared" si="478"/>
        <v>2038</v>
      </c>
      <c r="AC150" s="590">
        <f t="shared" si="478"/>
        <v>2039</v>
      </c>
      <c r="AD150" s="590">
        <f>Y150+5</f>
        <v>2040</v>
      </c>
      <c r="AE150" s="590">
        <f>AD150+1</f>
        <v>2041</v>
      </c>
      <c r="AF150" s="590">
        <f t="shared" ref="AF150:AH150" si="479">AE150+1</f>
        <v>2042</v>
      </c>
      <c r="AG150" s="590">
        <f t="shared" si="479"/>
        <v>2043</v>
      </c>
      <c r="AH150" s="590">
        <f t="shared" si="479"/>
        <v>2044</v>
      </c>
      <c r="AI150" s="590">
        <f>AD150+5</f>
        <v>2045</v>
      </c>
      <c r="AJ150" s="590">
        <f>AI150+1</f>
        <v>2046</v>
      </c>
      <c r="AK150" s="590">
        <f t="shared" ref="AK150:AM150" si="480">AJ150+1</f>
        <v>2047</v>
      </c>
      <c r="AL150" s="590">
        <f t="shared" si="480"/>
        <v>2048</v>
      </c>
      <c r="AM150" s="590">
        <f t="shared" si="480"/>
        <v>2049</v>
      </c>
      <c r="AN150" s="590">
        <f>AI150+5</f>
        <v>2050</v>
      </c>
      <c r="AO150" s="590">
        <f>AN150+1</f>
        <v>2051</v>
      </c>
      <c r="AP150" s="590">
        <f t="shared" ref="AP150:AR150" si="481">AO150+1</f>
        <v>2052</v>
      </c>
      <c r="AQ150" s="590">
        <f t="shared" si="481"/>
        <v>2053</v>
      </c>
      <c r="AR150" s="590">
        <f t="shared" si="481"/>
        <v>2054</v>
      </c>
      <c r="AS150" s="590">
        <f>AN150+5</f>
        <v>2055</v>
      </c>
      <c r="AT150" s="590">
        <f>AS150+1</f>
        <v>2056</v>
      </c>
      <c r="AU150" s="590">
        <f t="shared" ref="AU150:AW150" si="482">AT150+1</f>
        <v>2057</v>
      </c>
      <c r="AV150" s="590">
        <f t="shared" si="482"/>
        <v>2058</v>
      </c>
      <c r="AW150" s="590">
        <f t="shared" si="482"/>
        <v>2059</v>
      </c>
      <c r="AX150" s="590">
        <f>AS150+5</f>
        <v>2060</v>
      </c>
      <c r="AY150" s="590">
        <f>AX150+1</f>
        <v>2061</v>
      </c>
      <c r="AZ150" s="590">
        <f t="shared" ref="AZ150:BB150" si="483">AY150+1</f>
        <v>2062</v>
      </c>
      <c r="BA150" s="590">
        <f t="shared" si="483"/>
        <v>2063</v>
      </c>
      <c r="BB150" s="590">
        <f t="shared" si="483"/>
        <v>2064</v>
      </c>
      <c r="BC150" s="590">
        <f>AX150+5</f>
        <v>2065</v>
      </c>
      <c r="BD150" s="590">
        <f>BC150+1</f>
        <v>2066</v>
      </c>
      <c r="BE150" s="590">
        <f t="shared" ref="BE150:BG150" si="484">BD150+1</f>
        <v>2067</v>
      </c>
      <c r="BF150" s="590">
        <f t="shared" si="484"/>
        <v>2068</v>
      </c>
      <c r="BG150" s="590">
        <f t="shared" si="484"/>
        <v>2069</v>
      </c>
      <c r="BH150" s="590">
        <f>BC150+5</f>
        <v>2070</v>
      </c>
      <c r="BI150" s="590">
        <f>BH150+1</f>
        <v>2071</v>
      </c>
      <c r="BJ150" s="590">
        <f t="shared" ref="BJ150:BL150" si="485">BI150+1</f>
        <v>2072</v>
      </c>
      <c r="BK150" s="590">
        <f t="shared" si="485"/>
        <v>2073</v>
      </c>
      <c r="BL150" s="590">
        <f t="shared" si="485"/>
        <v>2074</v>
      </c>
      <c r="BM150" s="590">
        <f>BH150+5</f>
        <v>2075</v>
      </c>
      <c r="BN150" s="590">
        <f>BM150+1</f>
        <v>2076</v>
      </c>
      <c r="BO150" s="590">
        <f t="shared" ref="BO150:BQ150" si="486">BN150+1</f>
        <v>2077</v>
      </c>
      <c r="BP150" s="590">
        <f t="shared" si="486"/>
        <v>2078</v>
      </c>
      <c r="BQ150" s="590">
        <f t="shared" si="486"/>
        <v>2079</v>
      </c>
      <c r="BR150" s="590">
        <f>BM150+5</f>
        <v>2080</v>
      </c>
      <c r="BS150" s="590">
        <f>BR150+1</f>
        <v>2081</v>
      </c>
      <c r="BT150" s="590">
        <f t="shared" ref="BT150:BV150" si="487">BS150+1</f>
        <v>2082</v>
      </c>
      <c r="BU150" s="590">
        <f t="shared" si="487"/>
        <v>2083</v>
      </c>
      <c r="BV150" s="590">
        <f t="shared" si="487"/>
        <v>2084</v>
      </c>
      <c r="BW150" s="590">
        <f>BR150+5</f>
        <v>2085</v>
      </c>
      <c r="BX150" s="590">
        <f>BW150+1</f>
        <v>2086</v>
      </c>
      <c r="BY150" s="590">
        <f t="shared" ref="BY150:CA150" si="488">BX150+1</f>
        <v>2087</v>
      </c>
      <c r="BZ150" s="590">
        <f t="shared" si="488"/>
        <v>2088</v>
      </c>
      <c r="CA150" s="590">
        <f t="shared" si="488"/>
        <v>2089</v>
      </c>
      <c r="CB150" s="590">
        <f>BW150+5</f>
        <v>2090</v>
      </c>
      <c r="CC150" s="590">
        <f>CB150+1</f>
        <v>2091</v>
      </c>
      <c r="CD150" s="590">
        <f t="shared" ref="CD150:CF150" si="489">CC150+1</f>
        <v>2092</v>
      </c>
      <c r="CE150" s="590">
        <f t="shared" si="489"/>
        <v>2093</v>
      </c>
      <c r="CF150" s="590">
        <f t="shared" si="489"/>
        <v>2094</v>
      </c>
      <c r="CG150" s="590">
        <f>CB150+5</f>
        <v>2095</v>
      </c>
      <c r="CH150" s="590">
        <f>CG150+1</f>
        <v>2096</v>
      </c>
      <c r="CI150" s="590">
        <f t="shared" ref="CI150:CK150" si="490">CH150+1</f>
        <v>2097</v>
      </c>
      <c r="CJ150" s="590">
        <f t="shared" si="490"/>
        <v>2098</v>
      </c>
      <c r="CK150" s="590">
        <f t="shared" si="490"/>
        <v>2099</v>
      </c>
      <c r="CL150" s="590">
        <f>CG150+5</f>
        <v>2100</v>
      </c>
      <c r="CN150" s="633" t="s">
        <v>409</v>
      </c>
      <c r="CO150" s="633" t="s">
        <v>411</v>
      </c>
      <c r="CP150" s="633" t="s">
        <v>410</v>
      </c>
    </row>
    <row r="151" spans="1:94" ht="16.5" thickTop="1">
      <c r="A151" s="529" t="s">
        <v>152</v>
      </c>
      <c r="B151" s="529" t="str">
        <f>$A$26</f>
        <v>Ded-long</v>
      </c>
      <c r="C151" s="530" t="s">
        <v>310</v>
      </c>
      <c r="D151" s="530"/>
      <c r="E151" s="531">
        <f ca="1">IF($B$6="ON", IF(E150&gt;=covid_start, IF(E150&lt;covid_recovery,NA(),SUMIFS(INDIRECT("Data_main"&amp;"["&amp;E$8&amp;"]"),Data_main[Data],$A151, Data_main[Segment],$B151, Data_main[Scenario],$B$3)),SUMIFS(INDIRECT("Data_main"&amp;"["&amp;E$8&amp;"]"),Data_main[Data],$A151, Data_main[Segment],$B151, Data_main[Scenario],$B$3)),SUMIFS(INDIRECT("Data_main"&amp;"["&amp;E$8&amp;"]"),Data_main[Data],$A151, Data_main[Segment],$B151, Data_main[Scenario],$B$3))</f>
        <v>65.550775358376001</v>
      </c>
      <c r="F151" s="531">
        <f ca="1">IF($B$6="ON", IF(F150&gt;=covid_start, IF(F150&lt;covid_recovery,NA(),SUMIFS(INDIRECT("Data_main"&amp;"["&amp;F$8&amp;"]"),Data_main[Data],$A151, Data_main[Segment],$B151, Data_main[Scenario],$B$3)),SUMIFS(INDIRECT("Data_main"&amp;"["&amp;F$8&amp;"]"),Data_main[Data],$A151, Data_main[Segment],$B151, Data_main[Scenario],$B$3)),SUMIFS(INDIRECT("Data_main"&amp;"["&amp;F$8&amp;"]"),Data_main[Data],$A151, Data_main[Segment],$B151, Data_main[Scenario],$B$3))</f>
        <v>67.283995981103999</v>
      </c>
      <c r="G151" s="531">
        <f ca="1">IF($B$6="ON", IF(G150&gt;=covid_start, IF(G150&lt;covid_recovery,NA(),SUMIFS(INDIRECT("Data_main"&amp;"["&amp;G$8&amp;"]"),Data_main[Data],$A151, Data_main[Segment],$B151, Data_main[Scenario],$B$3)),SUMIFS(INDIRECT("Data_main"&amp;"["&amp;G$8&amp;"]"),Data_main[Data],$A151, Data_main[Segment],$B151, Data_main[Scenario],$B$3)),SUMIFS(INDIRECT("Data_main"&amp;"["&amp;G$8&amp;"]"),Data_main[Data],$A151, Data_main[Segment],$B151, Data_main[Scenario],$B$3))</f>
        <v>69.017216603831997</v>
      </c>
      <c r="H151" s="531">
        <f ca="1">IF($B$6="ON", IF(H150&gt;=covid_start, IF(H150&lt;covid_recovery,NA(),SUMIFS(INDIRECT("Data_main"&amp;"["&amp;H$8&amp;"]"),Data_main[Data],$A151, Data_main[Segment],$B151, Data_main[Scenario],$B$3)),SUMIFS(INDIRECT("Data_main"&amp;"["&amp;H$8&amp;"]"),Data_main[Data],$A151, Data_main[Segment],$B151, Data_main[Scenario],$B$3)),SUMIFS(INDIRECT("Data_main"&amp;"["&amp;H$8&amp;"]"),Data_main[Data],$A151, Data_main[Segment],$B151, Data_main[Scenario],$B$3))</f>
        <v>70.750437226559995</v>
      </c>
      <c r="I151" s="531">
        <f ca="1">IF($B$6="ON", IF(I150&gt;=covid_start, IF(I150&lt;covid_recovery,NA(),SUMIFS(INDIRECT("Data_main"&amp;"["&amp;I$8&amp;"]"),Data_main[Data],$A151, Data_main[Segment],$B151, Data_main[Scenario],$B$3)),SUMIFS(INDIRECT("Data_main"&amp;"["&amp;I$8&amp;"]"),Data_main[Data],$A151, Data_main[Segment],$B151, Data_main[Scenario],$B$3)),SUMIFS(INDIRECT("Data_main"&amp;"["&amp;I$8&amp;"]"),Data_main[Data],$A151, Data_main[Segment],$B151, Data_main[Scenario],$B$3))</f>
        <v>67.135127874275994</v>
      </c>
      <c r="J151" s="531" t="e">
        <f ca="1">IF($B$6="ON", IF(J150&gt;=covid_start, IF(J150&lt;covid_recovery,NA(),SUMIFS(INDIRECT("Data_main"&amp;"["&amp;J$8&amp;"]"),Data_main[Data],$A151, Data_main[Segment],$B151, Data_main[Scenario],$B$3)),SUMIFS(INDIRECT("Data_main"&amp;"["&amp;J$8&amp;"]"),Data_main[Data],$A151, Data_main[Segment],$B151, Data_main[Scenario],$B$3)),SUMIFS(INDIRECT("Data_main"&amp;"["&amp;J$8&amp;"]"),Data_main[Data],$A151, Data_main[Segment],$B151, Data_main[Scenario],$B$3))</f>
        <v>#N/A</v>
      </c>
      <c r="K151" s="531" t="e">
        <f ca="1">IF($B$6="ON", IF(K150&gt;=covid_start, IF(K150&lt;covid_recovery,NA(),SUMIFS(INDIRECT("Data_main"&amp;"["&amp;K$8&amp;"]"),Data_main[Data],$A151, Data_main[Segment],$B151, Data_main[Scenario],$B$3)),SUMIFS(INDIRECT("Data_main"&amp;"["&amp;K$8&amp;"]"),Data_main[Data],$A151, Data_main[Segment],$B151, Data_main[Scenario],$B$3)),SUMIFS(INDIRECT("Data_main"&amp;"["&amp;K$8&amp;"]"),Data_main[Data],$A151, Data_main[Segment],$B151, Data_main[Scenario],$B$3))</f>
        <v>#N/A</v>
      </c>
      <c r="L151" s="531" t="e">
        <f ca="1">IF($B$6="ON", IF(L150&gt;=covid_start, IF(L150&lt;covid_recovery,NA(),SUMIFS(INDIRECT("Data_main"&amp;"["&amp;L$8&amp;"]"),Data_main[Data],$A151, Data_main[Segment],$B151, Data_main[Scenario],$B$3)),SUMIFS(INDIRECT("Data_main"&amp;"["&amp;L$8&amp;"]"),Data_main[Data],$A151, Data_main[Segment],$B151, Data_main[Scenario],$B$3)),SUMIFS(INDIRECT("Data_main"&amp;"["&amp;L$8&amp;"]"),Data_main[Data],$A151, Data_main[Segment],$B151, Data_main[Scenario],$B$3))</f>
        <v>#N/A</v>
      </c>
      <c r="M151" s="531">
        <f ca="1">IF($B$6="ON", IF(M150&gt;=covid_start, IF(M150&lt;covid_recovery,NA(),SUMIFS(INDIRECT("Data_main"&amp;"["&amp;M$8&amp;"]"),Data_main[Data],$A151, Data_main[Segment],$B151, Data_main[Scenario],$B$3)),SUMIFS(INDIRECT("Data_main"&amp;"["&amp;M$8&amp;"]"),Data_main[Data],$A151, Data_main[Segment],$B151, Data_main[Scenario],$B$3)),SUMIFS(INDIRECT("Data_main"&amp;"["&amp;M$8&amp;"]"),Data_main[Data],$A151, Data_main[Segment],$B151, Data_main[Scenario],$B$3))</f>
        <v>66.065314196131467</v>
      </c>
      <c r="N151" s="531">
        <f ca="1">IF($B$6="ON", IF(N150&gt;=covid_start, IF(N150&lt;covid_recovery,NA(),SUMIFS(INDIRECT("Data_main"&amp;"["&amp;N$8&amp;"]"),Data_main[Data],$A151, Data_main[Segment],$B151, Data_main[Scenario],$B$3)),SUMIFS(INDIRECT("Data_main"&amp;"["&amp;N$8&amp;"]"),Data_main[Data],$A151, Data_main[Segment],$B151, Data_main[Scenario],$B$3)),SUMIFS(INDIRECT("Data_main"&amp;"["&amp;N$8&amp;"]"),Data_main[Data],$A151, Data_main[Segment],$B151, Data_main[Scenario],$B$3))</f>
        <v>65.797860776595357</v>
      </c>
      <c r="O151" s="531">
        <f ca="1">IF($B$6="ON", IF(O150&gt;=covid_start, IF(O150&lt;covid_recovery,NA(),SUMIFS(INDIRECT("Data_main"&amp;"["&amp;O$8&amp;"]"),Data_main[Data],$A151, Data_main[Segment],$B151, Data_main[Scenario],$B$3)),SUMIFS(INDIRECT("Data_main"&amp;"["&amp;O$8&amp;"]"),Data_main[Data],$A151, Data_main[Segment],$B151, Data_main[Scenario],$B$3)),SUMIFS(INDIRECT("Data_main"&amp;"["&amp;O$8&amp;"]"),Data_main[Data],$A151, Data_main[Segment],$B151, Data_main[Scenario],$B$3))</f>
        <v>65.530407357059218</v>
      </c>
      <c r="P151" s="531">
        <f ca="1">IF($B$6="ON", IF(P150&gt;=covid_start, IF(P150&lt;covid_recovery,NA(),SUMIFS(INDIRECT("Data_main"&amp;"["&amp;P$8&amp;"]"),Data_main[Data],$A151, Data_main[Segment],$B151, Data_main[Scenario],$B$3)),SUMIFS(INDIRECT("Data_main"&amp;"["&amp;P$8&amp;"]"),Data_main[Data],$A151, Data_main[Segment],$B151, Data_main[Scenario],$B$3)),SUMIFS(INDIRECT("Data_main"&amp;"["&amp;P$8&amp;"]"),Data_main[Data],$A151, Data_main[Segment],$B151, Data_main[Scenario],$B$3))</f>
        <v>65.262953937523093</v>
      </c>
      <c r="Q151" s="531">
        <f ca="1">IF($B$6="ON", IF(Q150&gt;=covid_start, IF(Q150&lt;covid_recovery,NA(),SUMIFS(INDIRECT("Data_main"&amp;"["&amp;Q$8&amp;"]"),Data_main[Data],$A151, Data_main[Segment],$B151, Data_main[Scenario],$B$3)),SUMIFS(INDIRECT("Data_main"&amp;"["&amp;Q$8&amp;"]"),Data_main[Data],$A151, Data_main[Segment],$B151, Data_main[Scenario],$B$3)),SUMIFS(INDIRECT("Data_main"&amp;"["&amp;Q$8&amp;"]"),Data_main[Data],$A151, Data_main[Segment],$B151, Data_main[Scenario],$B$3))</f>
        <v>64.995500517986954</v>
      </c>
      <c r="R151" s="531">
        <f ca="1">IF($B$6="ON", IF(R150&gt;=covid_start, IF(R150&lt;covid_recovery,NA(),SUMIFS(INDIRECT("Data_main"&amp;"["&amp;R$8&amp;"]"),Data_main[Data],$A151, Data_main[Segment],$B151, Data_main[Scenario],$B$3)),SUMIFS(INDIRECT("Data_main"&amp;"["&amp;R$8&amp;"]"),Data_main[Data],$A151, Data_main[Segment],$B151, Data_main[Scenario],$B$3)),SUMIFS(INDIRECT("Data_main"&amp;"["&amp;R$8&amp;"]"),Data_main[Data],$A151, Data_main[Segment],$B151, Data_main[Scenario],$B$3))</f>
        <v>64.728047098450816</v>
      </c>
      <c r="S151" s="531">
        <f ca="1">IF($B$6="ON", IF(S150&gt;=covid_start, IF(S150&lt;covid_recovery,NA(),SUMIFS(INDIRECT("Data_main"&amp;"["&amp;S$8&amp;"]"),Data_main[Data],$A151, Data_main[Segment],$B151, Data_main[Scenario],$B$3)),SUMIFS(INDIRECT("Data_main"&amp;"["&amp;S$8&amp;"]"),Data_main[Data],$A151, Data_main[Segment],$B151, Data_main[Scenario],$B$3)),SUMIFS(INDIRECT("Data_main"&amp;"["&amp;S$8&amp;"]"),Data_main[Data],$A151, Data_main[Segment],$B151, Data_main[Scenario],$B$3))</f>
        <v>64.460593678914677</v>
      </c>
      <c r="T151" s="531">
        <f ca="1">IF($B$6="ON", IF(T150&gt;=covid_start, IF(T150&lt;covid_recovery,NA(),SUMIFS(INDIRECT("Data_main"&amp;"["&amp;T$8&amp;"]"),Data_main[Data],$A151, Data_main[Segment],$B151, Data_main[Scenario],$B$3)),SUMIFS(INDIRECT("Data_main"&amp;"["&amp;T$8&amp;"]"),Data_main[Data],$A151, Data_main[Segment],$B151, Data_main[Scenario],$B$3)),SUMIFS(INDIRECT("Data_main"&amp;"["&amp;T$8&amp;"]"),Data_main[Data],$A151, Data_main[Segment],$B151, Data_main[Scenario],$B$3))</f>
        <v>64.193140259378509</v>
      </c>
      <c r="U151" s="531">
        <f ca="1">IF($B$6="ON", IF(U150&gt;=covid_start, IF(U150&lt;covid_recovery,NA(),SUMIFS(INDIRECT("Data_main"&amp;"["&amp;U$8&amp;"]"),Data_main[Data],$A151, Data_main[Segment],$B151, Data_main[Scenario],$B$3)),SUMIFS(INDIRECT("Data_main"&amp;"["&amp;U$8&amp;"]"),Data_main[Data],$A151, Data_main[Segment],$B151, Data_main[Scenario],$B$3)),SUMIFS(INDIRECT("Data_main"&amp;"["&amp;U$8&amp;"]"),Data_main[Data],$A151, Data_main[Segment],$B151, Data_main[Scenario],$B$3))</f>
        <v>63.518621295451474</v>
      </c>
      <c r="V151" s="531">
        <f ca="1">IF($B$6="ON", IF(V150&gt;=covid_start, IF(V150&lt;covid_recovery,NA(),SUMIFS(INDIRECT("Data_main"&amp;"["&amp;V$8&amp;"]"),Data_main[Data],$A151, Data_main[Segment],$B151, Data_main[Scenario],$B$3)),SUMIFS(INDIRECT("Data_main"&amp;"["&amp;V$8&amp;"]"),Data_main[Data],$A151, Data_main[Segment],$B151, Data_main[Scenario],$B$3)),SUMIFS(INDIRECT("Data_main"&amp;"["&amp;V$8&amp;"]"),Data_main[Data],$A151, Data_main[Segment],$B151, Data_main[Scenario],$B$3))</f>
        <v>62.844102331524432</v>
      </c>
      <c r="W151" s="531">
        <f ca="1">IF($B$6="ON", IF(W150&gt;=covid_start, IF(W150&lt;covid_recovery,NA(),SUMIFS(INDIRECT("Data_main"&amp;"["&amp;W$8&amp;"]"),Data_main[Data],$A151, Data_main[Segment],$B151, Data_main[Scenario],$B$3)),SUMIFS(INDIRECT("Data_main"&amp;"["&amp;W$8&amp;"]"),Data_main[Data],$A151, Data_main[Segment],$B151, Data_main[Scenario],$B$3)),SUMIFS(INDIRECT("Data_main"&amp;"["&amp;W$8&amp;"]"),Data_main[Data],$A151, Data_main[Segment],$B151, Data_main[Scenario],$B$3))</f>
        <v>62.16958336759739</v>
      </c>
      <c r="X151" s="531">
        <f ca="1">IF($B$6="ON", IF(X150&gt;=covid_start, IF(X150&lt;covid_recovery,NA(),SUMIFS(INDIRECT("Data_main"&amp;"["&amp;X$8&amp;"]"),Data_main[Data],$A151, Data_main[Segment],$B151, Data_main[Scenario],$B$3)),SUMIFS(INDIRECT("Data_main"&amp;"["&amp;X$8&amp;"]"),Data_main[Data],$A151, Data_main[Segment],$B151, Data_main[Scenario],$B$3)),SUMIFS(INDIRECT("Data_main"&amp;"["&amp;X$8&amp;"]"),Data_main[Data],$A151, Data_main[Segment],$B151, Data_main[Scenario],$B$3))</f>
        <v>61.495064403670341</v>
      </c>
      <c r="Y151" s="531">
        <f ca="1">IF($B$6="ON", IF(Y150&gt;=covid_start, IF(Y150&lt;covid_recovery,NA(),SUMIFS(INDIRECT("Data_main"&amp;"["&amp;Y$8&amp;"]"),Data_main[Data],$A151, Data_main[Segment],$B151, Data_main[Scenario],$B$3)),SUMIFS(INDIRECT("Data_main"&amp;"["&amp;Y$8&amp;"]"),Data_main[Data],$A151, Data_main[Segment],$B151, Data_main[Scenario],$B$3)),SUMIFS(INDIRECT("Data_main"&amp;"["&amp;Y$8&amp;"]"),Data_main[Data],$A151, Data_main[Segment],$B151, Data_main[Scenario],$B$3))</f>
        <v>60.820545439743313</v>
      </c>
      <c r="Z151" s="531">
        <f ca="1">IF($B$6="ON", IF(Z150&gt;=covid_start, IF(Z150&lt;covid_recovery,NA(),SUMIFS(INDIRECT("Data_main"&amp;"["&amp;Z$8&amp;"]"),Data_main[Data],$A151, Data_main[Segment],$B151, Data_main[Scenario],$B$3)),SUMIFS(INDIRECT("Data_main"&amp;"["&amp;Z$8&amp;"]"),Data_main[Data],$A151, Data_main[Segment],$B151, Data_main[Scenario],$B$3)),SUMIFS(INDIRECT("Data_main"&amp;"["&amp;Z$8&amp;"]"),Data_main[Data],$A151, Data_main[Segment],$B151, Data_main[Scenario],$B$3))</f>
        <v>60.146026475816278</v>
      </c>
      <c r="AA151" s="531">
        <f ca="1">IF($B$6="ON", IF(AA150&gt;=covid_start, IF(AA150&lt;covid_recovery,NA(),SUMIFS(INDIRECT("Data_main"&amp;"["&amp;AA$8&amp;"]"),Data_main[Data],$A151, Data_main[Segment],$B151, Data_main[Scenario],$B$3)),SUMIFS(INDIRECT("Data_main"&amp;"["&amp;AA$8&amp;"]"),Data_main[Data],$A151, Data_main[Segment],$B151, Data_main[Scenario],$B$3)),SUMIFS(INDIRECT("Data_main"&amp;"["&amp;AA$8&amp;"]"),Data_main[Data],$A151, Data_main[Segment],$B151, Data_main[Scenario],$B$3))</f>
        <v>59.471507511889229</v>
      </c>
      <c r="AB151" s="531">
        <f ca="1">IF($B$6="ON", IF(AB150&gt;=covid_start, IF(AB150&lt;covid_recovery,NA(),SUMIFS(INDIRECT("Data_main"&amp;"["&amp;AB$8&amp;"]"),Data_main[Data],$A151, Data_main[Segment],$B151, Data_main[Scenario],$B$3)),SUMIFS(INDIRECT("Data_main"&amp;"["&amp;AB$8&amp;"]"),Data_main[Data],$A151, Data_main[Segment],$B151, Data_main[Scenario],$B$3)),SUMIFS(INDIRECT("Data_main"&amp;"["&amp;AB$8&amp;"]"),Data_main[Data],$A151, Data_main[Segment],$B151, Data_main[Scenario],$B$3))</f>
        <v>58.796988547962208</v>
      </c>
      <c r="AC151" s="531">
        <f ca="1">IF($B$6="ON", IF(AC150&gt;=covid_start, IF(AC150&lt;covid_recovery,NA(),SUMIFS(INDIRECT("Data_main"&amp;"["&amp;AC$8&amp;"]"),Data_main[Data],$A151, Data_main[Segment],$B151, Data_main[Scenario],$B$3)),SUMIFS(INDIRECT("Data_main"&amp;"["&amp;AC$8&amp;"]"),Data_main[Data],$A151, Data_main[Segment],$B151, Data_main[Scenario],$B$3)),SUMIFS(INDIRECT("Data_main"&amp;"["&amp;AC$8&amp;"]"),Data_main[Data],$A151, Data_main[Segment],$B151, Data_main[Scenario],$B$3))</f>
        <v>58.122469584035173</v>
      </c>
      <c r="AD151" s="531">
        <f ca="1">IF($B$6="ON", IF(AD150&gt;=covid_start, IF(AD150&lt;covid_recovery,NA(),SUMIFS(INDIRECT("Data_main"&amp;"["&amp;AD$8&amp;"]"),Data_main[Data],$A151, Data_main[Segment],$B151, Data_main[Scenario],$B$3)),SUMIFS(INDIRECT("Data_main"&amp;"["&amp;AD$8&amp;"]"),Data_main[Data],$A151, Data_main[Segment],$B151, Data_main[Scenario],$B$3)),SUMIFS(INDIRECT("Data_main"&amp;"["&amp;AD$8&amp;"]"),Data_main[Data],$A151, Data_main[Segment],$B151, Data_main[Scenario],$B$3))</f>
        <v>57.447950620108138</v>
      </c>
      <c r="AE151" s="531">
        <f ca="1">IF($B$6="ON", IF(AE150&gt;=covid_start, IF(AE150&lt;covid_recovery,NA(),SUMIFS(INDIRECT("Data_main"&amp;"["&amp;AE$8&amp;"]"),Data_main[Data],$A151, Data_main[Segment],$B151, Data_main[Scenario],$B$3)),SUMIFS(INDIRECT("Data_main"&amp;"["&amp;AE$8&amp;"]"),Data_main[Data],$A151, Data_main[Segment],$B151, Data_main[Scenario],$B$3)),SUMIFS(INDIRECT("Data_main"&amp;"["&amp;AE$8&amp;"]"),Data_main[Data],$A151, Data_main[Segment],$B151, Data_main[Scenario],$B$3))</f>
        <v>57.177014546690415</v>
      </c>
      <c r="AF151" s="531">
        <f ca="1">IF($B$6="ON", IF(AF150&gt;=covid_start, IF(AF150&lt;covid_recovery,NA(),SUMIFS(INDIRECT("Data_main"&amp;"["&amp;AF$8&amp;"]"),Data_main[Data],$A151, Data_main[Segment],$B151, Data_main[Scenario],$B$3)),SUMIFS(INDIRECT("Data_main"&amp;"["&amp;AF$8&amp;"]"),Data_main[Data],$A151, Data_main[Segment],$B151, Data_main[Scenario],$B$3)),SUMIFS(INDIRECT("Data_main"&amp;"["&amp;AF$8&amp;"]"),Data_main[Data],$A151, Data_main[Segment],$B151, Data_main[Scenario],$B$3))</f>
        <v>56.906078473272693</v>
      </c>
      <c r="AG151" s="531">
        <f ca="1">IF($B$6="ON", IF(AG150&gt;=covid_start, IF(AG150&lt;covid_recovery,NA(),SUMIFS(INDIRECT("Data_main"&amp;"["&amp;AG$8&amp;"]"),Data_main[Data],$A151, Data_main[Segment],$B151, Data_main[Scenario],$B$3)),SUMIFS(INDIRECT("Data_main"&amp;"["&amp;AG$8&amp;"]"),Data_main[Data],$A151, Data_main[Segment],$B151, Data_main[Scenario],$B$3)),SUMIFS(INDIRECT("Data_main"&amp;"["&amp;AG$8&amp;"]"),Data_main[Data],$A151, Data_main[Segment],$B151, Data_main[Scenario],$B$3))</f>
        <v>56.635142399854985</v>
      </c>
      <c r="AH151" s="531">
        <f ca="1">IF($B$6="ON", IF(AH150&gt;=covid_start, IF(AH150&lt;covid_recovery,NA(),SUMIFS(INDIRECT("Data_main"&amp;"["&amp;AH$8&amp;"]"),Data_main[Data],$A151, Data_main[Segment],$B151, Data_main[Scenario],$B$3)),SUMIFS(INDIRECT("Data_main"&amp;"["&amp;AH$8&amp;"]"),Data_main[Data],$A151, Data_main[Segment],$B151, Data_main[Scenario],$B$3)),SUMIFS(INDIRECT("Data_main"&amp;"["&amp;AH$8&amp;"]"),Data_main[Data],$A151, Data_main[Segment],$B151, Data_main[Scenario],$B$3))</f>
        <v>56.364206326437262</v>
      </c>
      <c r="AI151" s="531">
        <f ca="1">IF($B$6="ON", IF(AI150&gt;=covid_start, IF(AI150&lt;covid_recovery,NA(),SUMIFS(INDIRECT("Data_main"&amp;"["&amp;AI$8&amp;"]"),Data_main[Data],$A151, Data_main[Segment],$B151, Data_main[Scenario],$B$3)),SUMIFS(INDIRECT("Data_main"&amp;"["&amp;AI$8&amp;"]"),Data_main[Data],$A151, Data_main[Segment],$B151, Data_main[Scenario],$B$3)),SUMIFS(INDIRECT("Data_main"&amp;"["&amp;AI$8&amp;"]"),Data_main[Data],$A151, Data_main[Segment],$B151, Data_main[Scenario],$B$3))</f>
        <v>56.093270253019554</v>
      </c>
      <c r="AJ151" s="531">
        <f ca="1">IF($B$6="ON", IF(AJ150&gt;=covid_start, IF(AJ150&lt;covid_recovery,NA(),SUMIFS(INDIRECT("Data_main"&amp;"["&amp;AJ$8&amp;"]"),Data_main[Data],$A151, Data_main[Segment],$B151, Data_main[Scenario],$B$3)),SUMIFS(INDIRECT("Data_main"&amp;"["&amp;AJ$8&amp;"]"),Data_main[Data],$A151, Data_main[Segment],$B151, Data_main[Scenario],$B$3)),SUMIFS(INDIRECT("Data_main"&amp;"["&amp;AJ$8&amp;"]"),Data_main[Data],$A151, Data_main[Segment],$B151, Data_main[Scenario],$B$3))</f>
        <v>55.822334179601832</v>
      </c>
      <c r="AK151" s="531">
        <f ca="1">IF($B$6="ON", IF(AK150&gt;=covid_start, IF(AK150&lt;covid_recovery,NA(),SUMIFS(INDIRECT("Data_main"&amp;"["&amp;AK$8&amp;"]"),Data_main[Data],$A151, Data_main[Segment],$B151, Data_main[Scenario],$B$3)),SUMIFS(INDIRECT("Data_main"&amp;"["&amp;AK$8&amp;"]"),Data_main[Data],$A151, Data_main[Segment],$B151, Data_main[Scenario],$B$3)),SUMIFS(INDIRECT("Data_main"&amp;"["&amp;AK$8&amp;"]"),Data_main[Data],$A151, Data_main[Segment],$B151, Data_main[Scenario],$B$3))</f>
        <v>55.551398106184109</v>
      </c>
      <c r="AL151" s="531">
        <f ca="1">IF($B$6="ON", IF(AL150&gt;=covid_start, IF(AL150&lt;covid_recovery,NA(),SUMIFS(INDIRECT("Data_main"&amp;"["&amp;AL$8&amp;"]"),Data_main[Data],$A151, Data_main[Segment],$B151, Data_main[Scenario],$B$3)),SUMIFS(INDIRECT("Data_main"&amp;"["&amp;AL$8&amp;"]"),Data_main[Data],$A151, Data_main[Segment],$B151, Data_main[Scenario],$B$3)),SUMIFS(INDIRECT("Data_main"&amp;"["&amp;AL$8&amp;"]"),Data_main[Data],$A151, Data_main[Segment],$B151, Data_main[Scenario],$B$3))</f>
        <v>55.280462032766415</v>
      </c>
      <c r="AM151" s="531">
        <f ca="1">IF($B$6="ON", IF(AM150&gt;=covid_start, IF(AM150&lt;covid_recovery,NA(),SUMIFS(INDIRECT("Data_main"&amp;"["&amp;AM$8&amp;"]"),Data_main[Data],$A151, Data_main[Segment],$B151, Data_main[Scenario],$B$3)),SUMIFS(INDIRECT("Data_main"&amp;"["&amp;AM$8&amp;"]"),Data_main[Data],$A151, Data_main[Segment],$B151, Data_main[Scenario],$B$3)),SUMIFS(INDIRECT("Data_main"&amp;"["&amp;AM$8&amp;"]"),Data_main[Data],$A151, Data_main[Segment],$B151, Data_main[Scenario],$B$3))</f>
        <v>55.009525959348693</v>
      </c>
      <c r="AN151" s="531">
        <f ca="1">IF($B$6="ON", IF(AN150&gt;=covid_start, IF(AN150&lt;covid_recovery,NA(),SUMIFS(INDIRECT("Data_main"&amp;"["&amp;AN$8&amp;"]"),Data_main[Data],$A151, Data_main[Segment],$B151, Data_main[Scenario],$B$3)),SUMIFS(INDIRECT("Data_main"&amp;"["&amp;AN$8&amp;"]"),Data_main[Data],$A151, Data_main[Segment],$B151, Data_main[Scenario],$B$3)),SUMIFS(INDIRECT("Data_main"&amp;"["&amp;AN$8&amp;"]"),Data_main[Data],$A151, Data_main[Segment],$B151, Data_main[Scenario],$B$3))</f>
        <v>54.738589885930978</v>
      </c>
      <c r="AO151" s="531">
        <f ca="1">IF($B$6="ON", IF(AO150&gt;=covid_start, IF(AO150&lt;covid_recovery,NA(),SUMIFS(INDIRECT("Data_main"&amp;"["&amp;AO$8&amp;"]"),Data_main[Data],$A151, Data_main[Segment],$B151, Data_main[Scenario],$B$3)),SUMIFS(INDIRECT("Data_main"&amp;"["&amp;AO$8&amp;"]"),Data_main[Data],$A151, Data_main[Segment],$B151, Data_main[Scenario],$B$3)),SUMIFS(INDIRECT("Data_main"&amp;"["&amp;AO$8&amp;"]"),Data_main[Data],$A151, Data_main[Segment],$B151, Data_main[Scenario],$B$3))</f>
        <v>0</v>
      </c>
      <c r="AP151" s="531">
        <f ca="1">IF($B$6="ON", IF(AP150&gt;=covid_start, IF(AP150&lt;covid_recovery,NA(),SUMIFS(INDIRECT("Data_main"&amp;"["&amp;AP$8&amp;"]"),Data_main[Data],$A151, Data_main[Segment],$B151, Data_main[Scenario],$B$3)),SUMIFS(INDIRECT("Data_main"&amp;"["&amp;AP$8&amp;"]"),Data_main[Data],$A151, Data_main[Segment],$B151, Data_main[Scenario],$B$3)),SUMIFS(INDIRECT("Data_main"&amp;"["&amp;AP$8&amp;"]"),Data_main[Data],$A151, Data_main[Segment],$B151, Data_main[Scenario],$B$3))</f>
        <v>0</v>
      </c>
      <c r="AQ151" s="531">
        <f ca="1">IF($B$6="ON", IF(AQ150&gt;=covid_start, IF(AQ150&lt;covid_recovery,NA(),SUMIFS(INDIRECT("Data_main"&amp;"["&amp;AQ$8&amp;"]"),Data_main[Data],$A151, Data_main[Segment],$B151, Data_main[Scenario],$B$3)),SUMIFS(INDIRECT("Data_main"&amp;"["&amp;AQ$8&amp;"]"),Data_main[Data],$A151, Data_main[Segment],$B151, Data_main[Scenario],$B$3)),SUMIFS(INDIRECT("Data_main"&amp;"["&amp;AQ$8&amp;"]"),Data_main[Data],$A151, Data_main[Segment],$B151, Data_main[Scenario],$B$3))</f>
        <v>0</v>
      </c>
      <c r="AR151" s="531">
        <f ca="1">IF($B$6="ON", IF(AR150&gt;=covid_start, IF(AR150&lt;covid_recovery,NA(),SUMIFS(INDIRECT("Data_main"&amp;"["&amp;AR$8&amp;"]"),Data_main[Data],$A151, Data_main[Segment],$B151, Data_main[Scenario],$B$3)),SUMIFS(INDIRECT("Data_main"&amp;"["&amp;AR$8&amp;"]"),Data_main[Data],$A151, Data_main[Segment],$B151, Data_main[Scenario],$B$3)),SUMIFS(INDIRECT("Data_main"&amp;"["&amp;AR$8&amp;"]"),Data_main[Data],$A151, Data_main[Segment],$B151, Data_main[Scenario],$B$3))</f>
        <v>0</v>
      </c>
      <c r="AS151" s="531">
        <f ca="1">IF($B$6="ON", IF(AS150&gt;=covid_start, IF(AS150&lt;covid_recovery,NA(),SUMIFS(INDIRECT("Data_main"&amp;"["&amp;AS$8&amp;"]"),Data_main[Data],$A151, Data_main[Segment],$B151, Data_main[Scenario],$B$3)),SUMIFS(INDIRECT("Data_main"&amp;"["&amp;AS$8&amp;"]"),Data_main[Data],$A151, Data_main[Segment],$B151, Data_main[Scenario],$B$3)),SUMIFS(INDIRECT("Data_main"&amp;"["&amp;AS$8&amp;"]"),Data_main[Data],$A151, Data_main[Segment],$B151, Data_main[Scenario],$B$3))</f>
        <v>0</v>
      </c>
      <c r="AT151" s="531">
        <f ca="1">IF($B$6="ON", IF(AT150&gt;=covid_start, IF(AT150&lt;covid_recovery,NA(),SUMIFS(INDIRECT("Data_main"&amp;"["&amp;AT$8&amp;"]"),Data_main[Data],$A151, Data_main[Segment],$B151, Data_main[Scenario],$B$3)),SUMIFS(INDIRECT("Data_main"&amp;"["&amp;AT$8&amp;"]"),Data_main[Data],$A151, Data_main[Segment],$B151, Data_main[Scenario],$B$3)),SUMIFS(INDIRECT("Data_main"&amp;"["&amp;AT$8&amp;"]"),Data_main[Data],$A151, Data_main[Segment],$B151, Data_main[Scenario],$B$3))</f>
        <v>0</v>
      </c>
      <c r="AU151" s="531">
        <f ca="1">IF($B$6="ON", IF(AU150&gt;=covid_start, IF(AU150&lt;covid_recovery,NA(),SUMIFS(INDIRECT("Data_main"&amp;"["&amp;AU$8&amp;"]"),Data_main[Data],$A151, Data_main[Segment],$B151, Data_main[Scenario],$B$3)),SUMIFS(INDIRECT("Data_main"&amp;"["&amp;AU$8&amp;"]"),Data_main[Data],$A151, Data_main[Segment],$B151, Data_main[Scenario],$B$3)),SUMIFS(INDIRECT("Data_main"&amp;"["&amp;AU$8&amp;"]"),Data_main[Data],$A151, Data_main[Segment],$B151, Data_main[Scenario],$B$3))</f>
        <v>0</v>
      </c>
      <c r="AV151" s="531">
        <f ca="1">IF($B$6="ON", IF(AV150&gt;=covid_start, IF(AV150&lt;covid_recovery,NA(),SUMIFS(INDIRECT("Data_main"&amp;"["&amp;AV$8&amp;"]"),Data_main[Data],$A151, Data_main[Segment],$B151, Data_main[Scenario],$B$3)),SUMIFS(INDIRECT("Data_main"&amp;"["&amp;AV$8&amp;"]"),Data_main[Data],$A151, Data_main[Segment],$B151, Data_main[Scenario],$B$3)),SUMIFS(INDIRECT("Data_main"&amp;"["&amp;AV$8&amp;"]"),Data_main[Data],$A151, Data_main[Segment],$B151, Data_main[Scenario],$B$3))</f>
        <v>0</v>
      </c>
      <c r="AW151" s="531">
        <f ca="1">IF($B$6="ON", IF(AW150&gt;=covid_start, IF(AW150&lt;covid_recovery,NA(),SUMIFS(INDIRECT("Data_main"&amp;"["&amp;AW$8&amp;"]"),Data_main[Data],$A151, Data_main[Segment],$B151, Data_main[Scenario],$B$3)),SUMIFS(INDIRECT("Data_main"&amp;"["&amp;AW$8&amp;"]"),Data_main[Data],$A151, Data_main[Segment],$B151, Data_main[Scenario],$B$3)),SUMIFS(INDIRECT("Data_main"&amp;"["&amp;AW$8&amp;"]"),Data_main[Data],$A151, Data_main[Segment],$B151, Data_main[Scenario],$B$3))</f>
        <v>0</v>
      </c>
      <c r="AX151" s="531">
        <f ca="1">IF($B$6="ON", IF(AX150&gt;=covid_start, IF(AX150&lt;covid_recovery,NA(),SUMIFS(INDIRECT("Data_main"&amp;"["&amp;AX$8&amp;"]"),Data_main[Data],$A151, Data_main[Segment],$B151, Data_main[Scenario],$B$3)),SUMIFS(INDIRECT("Data_main"&amp;"["&amp;AX$8&amp;"]"),Data_main[Data],$A151, Data_main[Segment],$B151, Data_main[Scenario],$B$3)),SUMIFS(INDIRECT("Data_main"&amp;"["&amp;AX$8&amp;"]"),Data_main[Data],$A151, Data_main[Segment],$B151, Data_main[Scenario],$B$3))</f>
        <v>0</v>
      </c>
      <c r="AY151" s="531">
        <f ca="1">IF($B$6="ON", IF(AY150&gt;=covid_start, IF(AY150&lt;covid_recovery,NA(),SUMIFS(INDIRECT("Data_main"&amp;"["&amp;AY$8&amp;"]"),Data_main[Data],$A151, Data_main[Segment],$B151, Data_main[Scenario],$B$3)),SUMIFS(INDIRECT("Data_main"&amp;"["&amp;AY$8&amp;"]"),Data_main[Data],$A151, Data_main[Segment],$B151, Data_main[Scenario],$B$3)),SUMIFS(INDIRECT("Data_main"&amp;"["&amp;AY$8&amp;"]"),Data_main[Data],$A151, Data_main[Segment],$B151, Data_main[Scenario],$B$3))</f>
        <v>0</v>
      </c>
      <c r="AZ151" s="531">
        <f ca="1">IF($B$6="ON", IF(AZ150&gt;=covid_start, IF(AZ150&lt;covid_recovery,NA(),SUMIFS(INDIRECT("Data_main"&amp;"["&amp;AZ$8&amp;"]"),Data_main[Data],$A151, Data_main[Segment],$B151, Data_main[Scenario],$B$3)),SUMIFS(INDIRECT("Data_main"&amp;"["&amp;AZ$8&amp;"]"),Data_main[Data],$A151, Data_main[Segment],$B151, Data_main[Scenario],$B$3)),SUMIFS(INDIRECT("Data_main"&amp;"["&amp;AZ$8&amp;"]"),Data_main[Data],$A151, Data_main[Segment],$B151, Data_main[Scenario],$B$3))</f>
        <v>0</v>
      </c>
      <c r="BA151" s="531">
        <f ca="1">IF($B$6="ON", IF(BA150&gt;=covid_start, IF(BA150&lt;covid_recovery,NA(),SUMIFS(INDIRECT("Data_main"&amp;"["&amp;BA$8&amp;"]"),Data_main[Data],$A151, Data_main[Segment],$B151, Data_main[Scenario],$B$3)),SUMIFS(INDIRECT("Data_main"&amp;"["&amp;BA$8&amp;"]"),Data_main[Data],$A151, Data_main[Segment],$B151, Data_main[Scenario],$B$3)),SUMIFS(INDIRECT("Data_main"&amp;"["&amp;BA$8&amp;"]"),Data_main[Data],$A151, Data_main[Segment],$B151, Data_main[Scenario],$B$3))</f>
        <v>0</v>
      </c>
      <c r="BB151" s="531">
        <f ca="1">IF($B$6="ON", IF(BB150&gt;=covid_start, IF(BB150&lt;covid_recovery,NA(),SUMIFS(INDIRECT("Data_main"&amp;"["&amp;BB$8&amp;"]"),Data_main[Data],$A151, Data_main[Segment],$B151, Data_main[Scenario],$B$3)),SUMIFS(INDIRECT("Data_main"&amp;"["&amp;BB$8&amp;"]"),Data_main[Data],$A151, Data_main[Segment],$B151, Data_main[Scenario],$B$3)),SUMIFS(INDIRECT("Data_main"&amp;"["&amp;BB$8&amp;"]"),Data_main[Data],$A151, Data_main[Segment],$B151, Data_main[Scenario],$B$3))</f>
        <v>0</v>
      </c>
      <c r="BC151" s="531">
        <f ca="1">IF($B$6="ON", IF(BC150&gt;=covid_start, IF(BC150&lt;covid_recovery,NA(),SUMIFS(INDIRECT("Data_main"&amp;"["&amp;BC$8&amp;"]"),Data_main[Data],$A151, Data_main[Segment],$B151, Data_main[Scenario],$B$3)),SUMIFS(INDIRECT("Data_main"&amp;"["&amp;BC$8&amp;"]"),Data_main[Data],$A151, Data_main[Segment],$B151, Data_main[Scenario],$B$3)),SUMIFS(INDIRECT("Data_main"&amp;"["&amp;BC$8&amp;"]"),Data_main[Data],$A151, Data_main[Segment],$B151, Data_main[Scenario],$B$3))</f>
        <v>0</v>
      </c>
      <c r="BD151" s="531">
        <f ca="1">IF($B$6="ON", IF(BD150&gt;=covid_start, IF(BD150&lt;covid_recovery,NA(),SUMIFS(INDIRECT("Data_main"&amp;"["&amp;BD$8&amp;"]"),Data_main[Data],$A151, Data_main[Segment],$B151, Data_main[Scenario],$B$3)),SUMIFS(INDIRECT("Data_main"&amp;"["&amp;BD$8&amp;"]"),Data_main[Data],$A151, Data_main[Segment],$B151, Data_main[Scenario],$B$3)),SUMIFS(INDIRECT("Data_main"&amp;"["&amp;BD$8&amp;"]"),Data_main[Data],$A151, Data_main[Segment],$B151, Data_main[Scenario],$B$3))</f>
        <v>0</v>
      </c>
      <c r="BE151" s="531">
        <f ca="1">IF($B$6="ON", IF(BE150&gt;=covid_start, IF(BE150&lt;covid_recovery,NA(),SUMIFS(INDIRECT("Data_main"&amp;"["&amp;BE$8&amp;"]"),Data_main[Data],$A151, Data_main[Segment],$B151, Data_main[Scenario],$B$3)),SUMIFS(INDIRECT("Data_main"&amp;"["&amp;BE$8&amp;"]"),Data_main[Data],$A151, Data_main[Segment],$B151, Data_main[Scenario],$B$3)),SUMIFS(INDIRECT("Data_main"&amp;"["&amp;BE$8&amp;"]"),Data_main[Data],$A151, Data_main[Segment],$B151, Data_main[Scenario],$B$3))</f>
        <v>0</v>
      </c>
      <c r="BF151" s="531">
        <f ca="1">IF($B$6="ON", IF(BF150&gt;=covid_start, IF(BF150&lt;covid_recovery,NA(),SUMIFS(INDIRECT("Data_main"&amp;"["&amp;BF$8&amp;"]"),Data_main[Data],$A151, Data_main[Segment],$B151, Data_main[Scenario],$B$3)),SUMIFS(INDIRECT("Data_main"&amp;"["&amp;BF$8&amp;"]"),Data_main[Data],$A151, Data_main[Segment],$B151, Data_main[Scenario],$B$3)),SUMIFS(INDIRECT("Data_main"&amp;"["&amp;BF$8&amp;"]"),Data_main[Data],$A151, Data_main[Segment],$B151, Data_main[Scenario],$B$3))</f>
        <v>0</v>
      </c>
      <c r="BG151" s="531">
        <f ca="1">IF($B$6="ON", IF(BG150&gt;=covid_start, IF(BG150&lt;covid_recovery,NA(),SUMIFS(INDIRECT("Data_main"&amp;"["&amp;BG$8&amp;"]"),Data_main[Data],$A151, Data_main[Segment],$B151, Data_main[Scenario],$B$3)),SUMIFS(INDIRECT("Data_main"&amp;"["&amp;BG$8&amp;"]"),Data_main[Data],$A151, Data_main[Segment],$B151, Data_main[Scenario],$B$3)),SUMIFS(INDIRECT("Data_main"&amp;"["&amp;BG$8&amp;"]"),Data_main[Data],$A151, Data_main[Segment],$B151, Data_main[Scenario],$B$3))</f>
        <v>0</v>
      </c>
      <c r="BH151" s="531">
        <f ca="1">IF($B$6="ON", IF(BH150&gt;=covid_start, IF(BH150&lt;covid_recovery,NA(),SUMIFS(INDIRECT("Data_main"&amp;"["&amp;BH$8&amp;"]"),Data_main[Data],$A151, Data_main[Segment],$B151, Data_main[Scenario],$B$3)),SUMIFS(INDIRECT("Data_main"&amp;"["&amp;BH$8&amp;"]"),Data_main[Data],$A151, Data_main[Segment],$B151, Data_main[Scenario],$B$3)),SUMIFS(INDIRECT("Data_main"&amp;"["&amp;BH$8&amp;"]"),Data_main[Data],$A151, Data_main[Segment],$B151, Data_main[Scenario],$B$3))</f>
        <v>0</v>
      </c>
      <c r="BI151" s="531">
        <f ca="1">IF($B$6="ON", IF(BI150&gt;=covid_start, IF(BI150&lt;covid_recovery,NA(),SUMIFS(INDIRECT("Data_main"&amp;"["&amp;BI$8&amp;"]"),Data_main[Data],$A151, Data_main[Segment],$B151, Data_main[Scenario],$B$3)),SUMIFS(INDIRECT("Data_main"&amp;"["&amp;BI$8&amp;"]"),Data_main[Data],$A151, Data_main[Segment],$B151, Data_main[Scenario],$B$3)),SUMIFS(INDIRECT("Data_main"&amp;"["&amp;BI$8&amp;"]"),Data_main[Data],$A151, Data_main[Segment],$B151, Data_main[Scenario],$B$3))</f>
        <v>0</v>
      </c>
      <c r="BJ151" s="531">
        <f ca="1">IF($B$6="ON", IF(BJ150&gt;=covid_start, IF(BJ150&lt;covid_recovery,NA(),SUMIFS(INDIRECT("Data_main"&amp;"["&amp;BJ$8&amp;"]"),Data_main[Data],$A151, Data_main[Segment],$B151, Data_main[Scenario],$B$3)),SUMIFS(INDIRECT("Data_main"&amp;"["&amp;BJ$8&amp;"]"),Data_main[Data],$A151, Data_main[Segment],$B151, Data_main[Scenario],$B$3)),SUMIFS(INDIRECT("Data_main"&amp;"["&amp;BJ$8&amp;"]"),Data_main[Data],$A151, Data_main[Segment],$B151, Data_main[Scenario],$B$3))</f>
        <v>0</v>
      </c>
      <c r="BK151" s="531">
        <f ca="1">IF($B$6="ON", IF(BK150&gt;=covid_start, IF(BK150&lt;covid_recovery,NA(),SUMIFS(INDIRECT("Data_main"&amp;"["&amp;BK$8&amp;"]"),Data_main[Data],$A151, Data_main[Segment],$B151, Data_main[Scenario],$B$3)),SUMIFS(INDIRECT("Data_main"&amp;"["&amp;BK$8&amp;"]"),Data_main[Data],$A151, Data_main[Segment],$B151, Data_main[Scenario],$B$3)),SUMIFS(INDIRECT("Data_main"&amp;"["&amp;BK$8&amp;"]"),Data_main[Data],$A151, Data_main[Segment],$B151, Data_main[Scenario],$B$3))</f>
        <v>0</v>
      </c>
      <c r="BL151" s="531">
        <f ca="1">IF($B$6="ON", IF(BL150&gt;=covid_start, IF(BL150&lt;covid_recovery,NA(),SUMIFS(INDIRECT("Data_main"&amp;"["&amp;BL$8&amp;"]"),Data_main[Data],$A151, Data_main[Segment],$B151, Data_main[Scenario],$B$3)),SUMIFS(INDIRECT("Data_main"&amp;"["&amp;BL$8&amp;"]"),Data_main[Data],$A151, Data_main[Segment],$B151, Data_main[Scenario],$B$3)),SUMIFS(INDIRECT("Data_main"&amp;"["&amp;BL$8&amp;"]"),Data_main[Data],$A151, Data_main[Segment],$B151, Data_main[Scenario],$B$3))</f>
        <v>0</v>
      </c>
      <c r="BM151" s="531">
        <f ca="1">IF($B$6="ON", IF(BM150&gt;=covid_start, IF(BM150&lt;covid_recovery,NA(),SUMIFS(INDIRECT("Data_main"&amp;"["&amp;BM$8&amp;"]"),Data_main[Data],$A151, Data_main[Segment],$B151, Data_main[Scenario],$B$3)),SUMIFS(INDIRECT("Data_main"&amp;"["&amp;BM$8&amp;"]"),Data_main[Data],$A151, Data_main[Segment],$B151, Data_main[Scenario],$B$3)),SUMIFS(INDIRECT("Data_main"&amp;"["&amp;BM$8&amp;"]"),Data_main[Data],$A151, Data_main[Segment],$B151, Data_main[Scenario],$B$3))</f>
        <v>0</v>
      </c>
      <c r="BN151" s="531">
        <f ca="1">IF($B$6="ON", IF(BN150&gt;=covid_start, IF(BN150&lt;covid_recovery,NA(),SUMIFS(INDIRECT("Data_main"&amp;"["&amp;BN$8&amp;"]"),Data_main[Data],$A151, Data_main[Segment],$B151, Data_main[Scenario],$B$3)),SUMIFS(INDIRECT("Data_main"&amp;"["&amp;BN$8&amp;"]"),Data_main[Data],$A151, Data_main[Segment],$B151, Data_main[Scenario],$B$3)),SUMIFS(INDIRECT("Data_main"&amp;"["&amp;BN$8&amp;"]"),Data_main[Data],$A151, Data_main[Segment],$B151, Data_main[Scenario],$B$3))</f>
        <v>0</v>
      </c>
      <c r="BO151" s="531">
        <f ca="1">IF($B$6="ON", IF(BO150&gt;=covid_start, IF(BO150&lt;covid_recovery,NA(),SUMIFS(INDIRECT("Data_main"&amp;"["&amp;BO$8&amp;"]"),Data_main[Data],$A151, Data_main[Segment],$B151, Data_main[Scenario],$B$3)),SUMIFS(INDIRECT("Data_main"&amp;"["&amp;BO$8&amp;"]"),Data_main[Data],$A151, Data_main[Segment],$B151, Data_main[Scenario],$B$3)),SUMIFS(INDIRECT("Data_main"&amp;"["&amp;BO$8&amp;"]"),Data_main[Data],$A151, Data_main[Segment],$B151, Data_main[Scenario],$B$3))</f>
        <v>0</v>
      </c>
      <c r="BP151" s="531">
        <f ca="1">IF($B$6="ON", IF(BP150&gt;=covid_start, IF(BP150&lt;covid_recovery,NA(),SUMIFS(INDIRECT("Data_main"&amp;"["&amp;BP$8&amp;"]"),Data_main[Data],$A151, Data_main[Segment],$B151, Data_main[Scenario],$B$3)),SUMIFS(INDIRECT("Data_main"&amp;"["&amp;BP$8&amp;"]"),Data_main[Data],$A151, Data_main[Segment],$B151, Data_main[Scenario],$B$3)),SUMIFS(INDIRECT("Data_main"&amp;"["&amp;BP$8&amp;"]"),Data_main[Data],$A151, Data_main[Segment],$B151, Data_main[Scenario],$B$3))</f>
        <v>0</v>
      </c>
      <c r="BQ151" s="531">
        <f ca="1">IF($B$6="ON", IF(BQ150&gt;=covid_start, IF(BQ150&lt;covid_recovery,NA(),SUMIFS(INDIRECT("Data_main"&amp;"["&amp;BQ$8&amp;"]"),Data_main[Data],$A151, Data_main[Segment],$B151, Data_main[Scenario],$B$3)),SUMIFS(INDIRECT("Data_main"&amp;"["&amp;BQ$8&amp;"]"),Data_main[Data],$A151, Data_main[Segment],$B151, Data_main[Scenario],$B$3)),SUMIFS(INDIRECT("Data_main"&amp;"["&amp;BQ$8&amp;"]"),Data_main[Data],$A151, Data_main[Segment],$B151, Data_main[Scenario],$B$3))</f>
        <v>0</v>
      </c>
      <c r="BR151" s="531">
        <f ca="1">IF($B$6="ON", IF(BR150&gt;=covid_start, IF(BR150&lt;covid_recovery,NA(),SUMIFS(INDIRECT("Data_main"&amp;"["&amp;BR$8&amp;"]"),Data_main[Data],$A151, Data_main[Segment],$B151, Data_main[Scenario],$B$3)),SUMIFS(INDIRECT("Data_main"&amp;"["&amp;BR$8&amp;"]"),Data_main[Data],$A151, Data_main[Segment],$B151, Data_main[Scenario],$B$3)),SUMIFS(INDIRECT("Data_main"&amp;"["&amp;BR$8&amp;"]"),Data_main[Data],$A151, Data_main[Segment],$B151, Data_main[Scenario],$B$3))</f>
        <v>0</v>
      </c>
      <c r="BS151" s="531">
        <f ca="1">IF($B$6="ON", IF(BS150&gt;=covid_start, IF(BS150&lt;covid_recovery,NA(),SUMIFS(INDIRECT("Data_main"&amp;"["&amp;BS$8&amp;"]"),Data_main[Data],$A151, Data_main[Segment],$B151, Data_main[Scenario],$B$3)),SUMIFS(INDIRECT("Data_main"&amp;"["&amp;BS$8&amp;"]"),Data_main[Data],$A151, Data_main[Segment],$B151, Data_main[Scenario],$B$3)),SUMIFS(INDIRECT("Data_main"&amp;"["&amp;BS$8&amp;"]"),Data_main[Data],$A151, Data_main[Segment],$B151, Data_main[Scenario],$B$3))</f>
        <v>0</v>
      </c>
      <c r="BT151" s="531">
        <f ca="1">IF($B$6="ON", IF(BT150&gt;=covid_start, IF(BT150&lt;covid_recovery,NA(),SUMIFS(INDIRECT("Data_main"&amp;"["&amp;BT$8&amp;"]"),Data_main[Data],$A151, Data_main[Segment],$B151, Data_main[Scenario],$B$3)),SUMIFS(INDIRECT("Data_main"&amp;"["&amp;BT$8&amp;"]"),Data_main[Data],$A151, Data_main[Segment],$B151, Data_main[Scenario],$B$3)),SUMIFS(INDIRECT("Data_main"&amp;"["&amp;BT$8&amp;"]"),Data_main[Data],$A151, Data_main[Segment],$B151, Data_main[Scenario],$B$3))</f>
        <v>0</v>
      </c>
      <c r="BU151" s="531">
        <f ca="1">IF($B$6="ON", IF(BU150&gt;=covid_start, IF(BU150&lt;covid_recovery,NA(),SUMIFS(INDIRECT("Data_main"&amp;"["&amp;BU$8&amp;"]"),Data_main[Data],$A151, Data_main[Segment],$B151, Data_main[Scenario],$B$3)),SUMIFS(INDIRECT("Data_main"&amp;"["&amp;BU$8&amp;"]"),Data_main[Data],$A151, Data_main[Segment],$B151, Data_main[Scenario],$B$3)),SUMIFS(INDIRECT("Data_main"&amp;"["&amp;BU$8&amp;"]"),Data_main[Data],$A151, Data_main[Segment],$B151, Data_main[Scenario],$B$3))</f>
        <v>0</v>
      </c>
      <c r="BV151" s="531">
        <f ca="1">IF($B$6="ON", IF(BV150&gt;=covid_start, IF(BV150&lt;covid_recovery,NA(),SUMIFS(INDIRECT("Data_main"&amp;"["&amp;BV$8&amp;"]"),Data_main[Data],$A151, Data_main[Segment],$B151, Data_main[Scenario],$B$3)),SUMIFS(INDIRECT("Data_main"&amp;"["&amp;BV$8&amp;"]"),Data_main[Data],$A151, Data_main[Segment],$B151, Data_main[Scenario],$B$3)),SUMIFS(INDIRECT("Data_main"&amp;"["&amp;BV$8&amp;"]"),Data_main[Data],$A151, Data_main[Segment],$B151, Data_main[Scenario],$B$3))</f>
        <v>0</v>
      </c>
      <c r="BW151" s="531">
        <f ca="1">IF($B$6="ON", IF(BW150&gt;=covid_start, IF(BW150&lt;covid_recovery,NA(),SUMIFS(INDIRECT("Data_main"&amp;"["&amp;BW$8&amp;"]"),Data_main[Data],$A151, Data_main[Segment],$B151, Data_main[Scenario],$B$3)),SUMIFS(INDIRECT("Data_main"&amp;"["&amp;BW$8&amp;"]"),Data_main[Data],$A151, Data_main[Segment],$B151, Data_main[Scenario],$B$3)),SUMIFS(INDIRECT("Data_main"&amp;"["&amp;BW$8&amp;"]"),Data_main[Data],$A151, Data_main[Segment],$B151, Data_main[Scenario],$B$3))</f>
        <v>0</v>
      </c>
      <c r="BX151" s="531">
        <f ca="1">IF($B$6="ON", IF(BX150&gt;=covid_start, IF(BX150&lt;covid_recovery,NA(),SUMIFS(INDIRECT("Data_main"&amp;"["&amp;BX$8&amp;"]"),Data_main[Data],$A151, Data_main[Segment],$B151, Data_main[Scenario],$B$3)),SUMIFS(INDIRECT("Data_main"&amp;"["&amp;BX$8&amp;"]"),Data_main[Data],$A151, Data_main[Segment],$B151, Data_main[Scenario],$B$3)),SUMIFS(INDIRECT("Data_main"&amp;"["&amp;BX$8&amp;"]"),Data_main[Data],$A151, Data_main[Segment],$B151, Data_main[Scenario],$B$3))</f>
        <v>0</v>
      </c>
      <c r="BY151" s="531">
        <f ca="1">IF($B$6="ON", IF(BY150&gt;=covid_start, IF(BY150&lt;covid_recovery,NA(),SUMIFS(INDIRECT("Data_main"&amp;"["&amp;BY$8&amp;"]"),Data_main[Data],$A151, Data_main[Segment],$B151, Data_main[Scenario],$B$3)),SUMIFS(INDIRECT("Data_main"&amp;"["&amp;BY$8&amp;"]"),Data_main[Data],$A151, Data_main[Segment],$B151, Data_main[Scenario],$B$3)),SUMIFS(INDIRECT("Data_main"&amp;"["&amp;BY$8&amp;"]"),Data_main[Data],$A151, Data_main[Segment],$B151, Data_main[Scenario],$B$3))</f>
        <v>0</v>
      </c>
      <c r="BZ151" s="531">
        <f ca="1">IF($B$6="ON", IF(BZ150&gt;=covid_start, IF(BZ150&lt;covid_recovery,NA(),SUMIFS(INDIRECT("Data_main"&amp;"["&amp;BZ$8&amp;"]"),Data_main[Data],$A151, Data_main[Segment],$B151, Data_main[Scenario],$B$3)),SUMIFS(INDIRECT("Data_main"&amp;"["&amp;BZ$8&amp;"]"),Data_main[Data],$A151, Data_main[Segment],$B151, Data_main[Scenario],$B$3)),SUMIFS(INDIRECT("Data_main"&amp;"["&amp;BZ$8&amp;"]"),Data_main[Data],$A151, Data_main[Segment],$B151, Data_main[Scenario],$B$3))</f>
        <v>0</v>
      </c>
      <c r="CA151" s="531">
        <f ca="1">IF($B$6="ON", IF(CA150&gt;=covid_start, IF(CA150&lt;covid_recovery,NA(),SUMIFS(INDIRECT("Data_main"&amp;"["&amp;CA$8&amp;"]"),Data_main[Data],$A151, Data_main[Segment],$B151, Data_main[Scenario],$B$3)),SUMIFS(INDIRECT("Data_main"&amp;"["&amp;CA$8&amp;"]"),Data_main[Data],$A151, Data_main[Segment],$B151, Data_main[Scenario],$B$3)),SUMIFS(INDIRECT("Data_main"&amp;"["&amp;CA$8&amp;"]"),Data_main[Data],$A151, Data_main[Segment],$B151, Data_main[Scenario],$B$3))</f>
        <v>0</v>
      </c>
      <c r="CB151" s="531">
        <f ca="1">IF($B$6="ON", IF(CB150&gt;=covid_start, IF(CB150&lt;covid_recovery,NA(),SUMIFS(INDIRECT("Data_main"&amp;"["&amp;CB$8&amp;"]"),Data_main[Data],$A151, Data_main[Segment],$B151, Data_main[Scenario],$B$3)),SUMIFS(INDIRECT("Data_main"&amp;"["&amp;CB$8&amp;"]"),Data_main[Data],$A151, Data_main[Segment],$B151, Data_main[Scenario],$B$3)),SUMIFS(INDIRECT("Data_main"&amp;"["&amp;CB$8&amp;"]"),Data_main[Data],$A151, Data_main[Segment],$B151, Data_main[Scenario],$B$3))</f>
        <v>0</v>
      </c>
      <c r="CC151" s="531">
        <f ca="1">IF($B$6="ON", IF(CC150&gt;=covid_start, IF(CC150&lt;covid_recovery,NA(),SUMIFS(INDIRECT("Data_main"&amp;"["&amp;CC$8&amp;"]"),Data_main[Data],$A151, Data_main[Segment],$B151, Data_main[Scenario],$B$3)),SUMIFS(INDIRECT("Data_main"&amp;"["&amp;CC$8&amp;"]"),Data_main[Data],$A151, Data_main[Segment],$B151, Data_main[Scenario],$B$3)),SUMIFS(INDIRECT("Data_main"&amp;"["&amp;CC$8&amp;"]"),Data_main[Data],$A151, Data_main[Segment],$B151, Data_main[Scenario],$B$3))</f>
        <v>0</v>
      </c>
      <c r="CD151" s="531">
        <f ca="1">IF($B$6="ON", IF(CD150&gt;=covid_start, IF(CD150&lt;covid_recovery,NA(),SUMIFS(INDIRECT("Data_main"&amp;"["&amp;CD$8&amp;"]"),Data_main[Data],$A151, Data_main[Segment],$B151, Data_main[Scenario],$B$3)),SUMIFS(INDIRECT("Data_main"&amp;"["&amp;CD$8&amp;"]"),Data_main[Data],$A151, Data_main[Segment],$B151, Data_main[Scenario],$B$3)),SUMIFS(INDIRECT("Data_main"&amp;"["&amp;CD$8&amp;"]"),Data_main[Data],$A151, Data_main[Segment],$B151, Data_main[Scenario],$B$3))</f>
        <v>0</v>
      </c>
      <c r="CE151" s="531">
        <f ca="1">IF($B$6="ON", IF(CE150&gt;=covid_start, IF(CE150&lt;covid_recovery,NA(),SUMIFS(INDIRECT("Data_main"&amp;"["&amp;CE$8&amp;"]"),Data_main[Data],$A151, Data_main[Segment],$B151, Data_main[Scenario],$B$3)),SUMIFS(INDIRECT("Data_main"&amp;"["&amp;CE$8&amp;"]"),Data_main[Data],$A151, Data_main[Segment],$B151, Data_main[Scenario],$B$3)),SUMIFS(INDIRECT("Data_main"&amp;"["&amp;CE$8&amp;"]"),Data_main[Data],$A151, Data_main[Segment],$B151, Data_main[Scenario],$B$3))</f>
        <v>0</v>
      </c>
      <c r="CF151" s="531">
        <f ca="1">IF($B$6="ON", IF(CF150&gt;=covid_start, IF(CF150&lt;covid_recovery,NA(),SUMIFS(INDIRECT("Data_main"&amp;"["&amp;CF$8&amp;"]"),Data_main[Data],$A151, Data_main[Segment],$B151, Data_main[Scenario],$B$3)),SUMIFS(INDIRECT("Data_main"&amp;"["&amp;CF$8&amp;"]"),Data_main[Data],$A151, Data_main[Segment],$B151, Data_main[Scenario],$B$3)),SUMIFS(INDIRECT("Data_main"&amp;"["&amp;CF$8&amp;"]"),Data_main[Data],$A151, Data_main[Segment],$B151, Data_main[Scenario],$B$3))</f>
        <v>0</v>
      </c>
      <c r="CG151" s="531">
        <f ca="1">IF($B$6="ON", IF(CG150&gt;=covid_start, IF(CG150&lt;covid_recovery,NA(),SUMIFS(INDIRECT("Data_main"&amp;"["&amp;CG$8&amp;"]"),Data_main[Data],$A151, Data_main[Segment],$B151, Data_main[Scenario],$B$3)),SUMIFS(INDIRECT("Data_main"&amp;"["&amp;CG$8&amp;"]"),Data_main[Data],$A151, Data_main[Segment],$B151, Data_main[Scenario],$B$3)),SUMIFS(INDIRECT("Data_main"&amp;"["&amp;CG$8&amp;"]"),Data_main[Data],$A151, Data_main[Segment],$B151, Data_main[Scenario],$B$3))</f>
        <v>0</v>
      </c>
      <c r="CH151" s="531">
        <f ca="1">IF($B$6="ON", IF(CH150&gt;=covid_start, IF(CH150&lt;covid_recovery,NA(),SUMIFS(INDIRECT("Data_main"&amp;"["&amp;CH$8&amp;"]"),Data_main[Data],$A151, Data_main[Segment],$B151, Data_main[Scenario],$B$3)),SUMIFS(INDIRECT("Data_main"&amp;"["&amp;CH$8&amp;"]"),Data_main[Data],$A151, Data_main[Segment],$B151, Data_main[Scenario],$B$3)),SUMIFS(INDIRECT("Data_main"&amp;"["&amp;CH$8&amp;"]"),Data_main[Data],$A151, Data_main[Segment],$B151, Data_main[Scenario],$B$3))</f>
        <v>0</v>
      </c>
      <c r="CI151" s="531">
        <f ca="1">IF($B$6="ON", IF(CI150&gt;=covid_start, IF(CI150&lt;covid_recovery,NA(),SUMIFS(INDIRECT("Data_main"&amp;"["&amp;CI$8&amp;"]"),Data_main[Data],$A151, Data_main[Segment],$B151, Data_main[Scenario],$B$3)),SUMIFS(INDIRECT("Data_main"&amp;"["&amp;CI$8&amp;"]"),Data_main[Data],$A151, Data_main[Segment],$B151, Data_main[Scenario],$B$3)),SUMIFS(INDIRECT("Data_main"&amp;"["&amp;CI$8&amp;"]"),Data_main[Data],$A151, Data_main[Segment],$B151, Data_main[Scenario],$B$3))</f>
        <v>0</v>
      </c>
      <c r="CJ151" s="531">
        <f ca="1">IF($B$6="ON", IF(CJ150&gt;=covid_start, IF(CJ150&lt;covid_recovery,NA(),SUMIFS(INDIRECT("Data_main"&amp;"["&amp;CJ$8&amp;"]"),Data_main[Data],$A151, Data_main[Segment],$B151, Data_main[Scenario],$B$3)),SUMIFS(INDIRECT("Data_main"&amp;"["&amp;CJ$8&amp;"]"),Data_main[Data],$A151, Data_main[Segment],$B151, Data_main[Scenario],$B$3)),SUMIFS(INDIRECT("Data_main"&amp;"["&amp;CJ$8&amp;"]"),Data_main[Data],$A151, Data_main[Segment],$B151, Data_main[Scenario],$B$3))</f>
        <v>0</v>
      </c>
      <c r="CK151" s="531">
        <f ca="1">IF($B$6="ON", IF(CK150&gt;=covid_start, IF(CK150&lt;covid_recovery,NA(),SUMIFS(INDIRECT("Data_main"&amp;"["&amp;CK$8&amp;"]"),Data_main[Data],$A151, Data_main[Segment],$B151, Data_main[Scenario],$B$3)),SUMIFS(INDIRECT("Data_main"&amp;"["&amp;CK$8&amp;"]"),Data_main[Data],$A151, Data_main[Segment],$B151, Data_main[Scenario],$B$3)),SUMIFS(INDIRECT("Data_main"&amp;"["&amp;CK$8&amp;"]"),Data_main[Data],$A151, Data_main[Segment],$B151, Data_main[Scenario],$B$3))</f>
        <v>0</v>
      </c>
      <c r="CL151" s="531">
        <f ca="1">IF($B$6="ON", IF(CL150&gt;=covid_start, IF(CL150&lt;covid_recovery,NA(),SUMIFS(INDIRECT("Data_main"&amp;"["&amp;CL$8&amp;"]"),Data_main[Data],$A151, Data_main[Segment],$B151, Data_main[Scenario],$B$3)),SUMIFS(INDIRECT("Data_main"&amp;"["&amp;CL$8&amp;"]"),Data_main[Data],$A151, Data_main[Segment],$B151, Data_main[Scenario],$B$3)),SUMIFS(INDIRECT("Data_main"&amp;"["&amp;CL$8&amp;"]"),Data_main[Data],$A151, Data_main[Segment],$B151, Data_main[Scenario],$B$3))</f>
        <v>0</v>
      </c>
      <c r="CN151" s="613">
        <f ca="1">IFERROR((Y151/H151)^(1/17)-1,"")</f>
        <v>-8.8564932179258093E-3</v>
      </c>
      <c r="CO151" s="613">
        <f ca="1">IFERROR((AN151/Y151)^(1/15)-1,"")</f>
        <v>-6.9993037866263874E-3</v>
      </c>
      <c r="CP151" s="613">
        <f ca="1">IFERROR((AN151/H151)^(1/32)-1,"")</f>
        <v>-7.9863685554966146E-3</v>
      </c>
    </row>
    <row r="152" spans="1:94">
      <c r="A152" s="532" t="s">
        <v>157</v>
      </c>
      <c r="B152" s="532" t="str">
        <f t="shared" ref="B152:B153" si="491">$A$26</f>
        <v>Ded-long</v>
      </c>
      <c r="C152" s="533" t="s">
        <v>311</v>
      </c>
      <c r="D152" s="530"/>
      <c r="E152" s="531">
        <f ca="1">IF($B$6="ON", IF(E150&gt;=covid_start, IF(E150&lt;covid_recovery,NA(),SUMIFS(INDIRECT("Data_main"&amp;"["&amp;E$8&amp;"]"),Data_main[Data],$A152, Data_main[Segment],$B152, Data_main[Scenario],$B$3)),SUMIFS(INDIRECT("Data_main"&amp;"["&amp;E$8&amp;"]"),Data_main[Data],$A152, Data_main[Segment],$B152, Data_main[Scenario],$B$3)),SUMIFS(INDIRECT("Data_main"&amp;"["&amp;E$8&amp;"]"),Data_main[Data],$A152, Data_main[Segment],$B152, Data_main[Scenario],$B$3))</f>
        <v>106.11366620800401</v>
      </c>
      <c r="F152" s="531">
        <f ca="1">IF($B$6="ON", IF(F150&gt;=covid_start, IF(F150&lt;covid_recovery,NA(),SUMIFS(INDIRECT("Data_main"&amp;"["&amp;F$8&amp;"]"),Data_main[Data],$A152, Data_main[Segment],$B152, Data_main[Scenario],$B$3)),SUMIFS(INDIRECT("Data_main"&amp;"["&amp;F$8&amp;"]"),Data_main[Data],$A152, Data_main[Segment],$B152, Data_main[Scenario],$B$3)),SUMIFS(INDIRECT("Data_main"&amp;"["&amp;F$8&amp;"]"),Data_main[Data],$A152, Data_main[Segment],$B152, Data_main[Scenario],$B$3))</f>
        <v>112.90224450195599</v>
      </c>
      <c r="G152" s="531">
        <f ca="1">IF($B$6="ON", IF(G150&gt;=covid_start, IF(G150&lt;covid_recovery,NA(),SUMIFS(INDIRECT("Data_main"&amp;"["&amp;G$8&amp;"]"),Data_main[Data],$A152, Data_main[Segment],$B152, Data_main[Scenario],$B$3)),SUMIFS(INDIRECT("Data_main"&amp;"["&amp;G$8&amp;"]"),Data_main[Data],$A152, Data_main[Segment],$B152, Data_main[Scenario],$B$3)),SUMIFS(INDIRECT("Data_main"&amp;"["&amp;G$8&amp;"]"),Data_main[Data],$A152, Data_main[Segment],$B152, Data_main[Scenario],$B$3))</f>
        <v>119.69082279590801</v>
      </c>
      <c r="H152" s="531">
        <f ca="1">IF($B$6="ON", IF(H150&gt;=covid_start, IF(H150&lt;covid_recovery,NA(),SUMIFS(INDIRECT("Data_main"&amp;"["&amp;H$8&amp;"]"),Data_main[Data],$A152, Data_main[Segment],$B152, Data_main[Scenario],$B$3)),SUMIFS(INDIRECT("Data_main"&amp;"["&amp;H$8&amp;"]"),Data_main[Data],$A152, Data_main[Segment],$B152, Data_main[Scenario],$B$3)),SUMIFS(INDIRECT("Data_main"&amp;"["&amp;H$8&amp;"]"),Data_main[Data],$A152, Data_main[Segment],$B152, Data_main[Scenario],$B$3))</f>
        <v>126.47940108986</v>
      </c>
      <c r="I152" s="531">
        <f ca="1">IF($B$6="ON", IF(I150&gt;=covid_start, IF(I150&lt;covid_recovery,NA(),SUMIFS(INDIRECT("Data_main"&amp;"["&amp;I$8&amp;"]"),Data_main[Data],$A152, Data_main[Segment],$B152, Data_main[Scenario],$B$3)),SUMIFS(INDIRECT("Data_main"&amp;"["&amp;I$8&amp;"]"),Data_main[Data],$A152, Data_main[Segment],$B152, Data_main[Scenario],$B$3)),SUMIFS(INDIRECT("Data_main"&amp;"["&amp;I$8&amp;"]"),Data_main[Data],$A152, Data_main[Segment],$B152, Data_main[Scenario],$B$3))</f>
        <v>114.76953638423001</v>
      </c>
      <c r="J152" s="531" t="e">
        <f ca="1">IF($B$6="ON", IF(J150&gt;=covid_start, IF(J150&lt;covid_recovery,NA(),SUMIFS(INDIRECT("Data_main"&amp;"["&amp;J$8&amp;"]"),Data_main[Data],$A152, Data_main[Segment],$B152, Data_main[Scenario],$B$3)),SUMIFS(INDIRECT("Data_main"&amp;"["&amp;J$8&amp;"]"),Data_main[Data],$A152, Data_main[Segment],$B152, Data_main[Scenario],$B$3)),SUMIFS(INDIRECT("Data_main"&amp;"["&amp;J$8&amp;"]"),Data_main[Data],$A152, Data_main[Segment],$B152, Data_main[Scenario],$B$3))</f>
        <v>#N/A</v>
      </c>
      <c r="K152" s="531" t="e">
        <f ca="1">IF($B$6="ON", IF(K150&gt;=covid_start, IF(K150&lt;covid_recovery,NA(),SUMIFS(INDIRECT("Data_main"&amp;"["&amp;K$8&amp;"]"),Data_main[Data],$A152, Data_main[Segment],$B152, Data_main[Scenario],$B$3)),SUMIFS(INDIRECT("Data_main"&amp;"["&amp;K$8&amp;"]"),Data_main[Data],$A152, Data_main[Segment],$B152, Data_main[Scenario],$B$3)),SUMIFS(INDIRECT("Data_main"&amp;"["&amp;K$8&amp;"]"),Data_main[Data],$A152, Data_main[Segment],$B152, Data_main[Scenario],$B$3))</f>
        <v>#N/A</v>
      </c>
      <c r="L152" s="531" t="e">
        <f ca="1">IF($B$6="ON", IF(L150&gt;=covid_start, IF(L150&lt;covid_recovery,NA(),SUMIFS(INDIRECT("Data_main"&amp;"["&amp;L$8&amp;"]"),Data_main[Data],$A152, Data_main[Segment],$B152, Data_main[Scenario],$B$3)),SUMIFS(INDIRECT("Data_main"&amp;"["&amp;L$8&amp;"]"),Data_main[Data],$A152, Data_main[Segment],$B152, Data_main[Scenario],$B$3)),SUMIFS(INDIRECT("Data_main"&amp;"["&amp;L$8&amp;"]"),Data_main[Data],$A152, Data_main[Segment],$B152, Data_main[Scenario],$B$3))</f>
        <v>#N/A</v>
      </c>
      <c r="M152" s="531">
        <f ca="1">IF($B$6="ON", IF(M150&gt;=covid_start, IF(M150&lt;covid_recovery,NA(),SUMIFS(INDIRECT("Data_main"&amp;"["&amp;M$8&amp;"]"),Data_main[Data],$A152, Data_main[Segment],$B152, Data_main[Scenario],$B$3)),SUMIFS(INDIRECT("Data_main"&amp;"["&amp;M$8&amp;"]"),Data_main[Data],$A152, Data_main[Segment],$B152, Data_main[Scenario],$B$3)),SUMIFS(INDIRECT("Data_main"&amp;"["&amp;M$8&amp;"]"),Data_main[Data],$A152, Data_main[Segment],$B152, Data_main[Scenario],$B$3))</f>
        <v>129.6890767599657</v>
      </c>
      <c r="N152" s="531">
        <f ca="1">IF($B$6="ON", IF(N150&gt;=covid_start, IF(N150&lt;covid_recovery,NA(),SUMIFS(INDIRECT("Data_main"&amp;"["&amp;N$8&amp;"]"),Data_main[Data],$A152, Data_main[Segment],$B152, Data_main[Scenario],$B$3)),SUMIFS(INDIRECT("Data_main"&amp;"["&amp;N$8&amp;"]"),Data_main[Data],$A152, Data_main[Segment],$B152, Data_main[Scenario],$B$3)),SUMIFS(INDIRECT("Data_main"&amp;"["&amp;N$8&amp;"]"),Data_main[Data],$A152, Data_main[Segment],$B152, Data_main[Scenario],$B$3))</f>
        <v>133.41896185389967</v>
      </c>
      <c r="O152" s="531">
        <f ca="1">IF($B$6="ON", IF(O150&gt;=covid_start, IF(O150&lt;covid_recovery,NA(),SUMIFS(INDIRECT("Data_main"&amp;"["&amp;O$8&amp;"]"),Data_main[Data],$A152, Data_main[Segment],$B152, Data_main[Scenario],$B$3)),SUMIFS(INDIRECT("Data_main"&amp;"["&amp;O$8&amp;"]"),Data_main[Data],$A152, Data_main[Segment],$B152, Data_main[Scenario],$B$3)),SUMIFS(INDIRECT("Data_main"&amp;"["&amp;O$8&amp;"]"),Data_main[Data],$A152, Data_main[Segment],$B152, Data_main[Scenario],$B$3))</f>
        <v>137.14884694783362</v>
      </c>
      <c r="P152" s="531">
        <f ca="1">IF($B$6="ON", IF(P150&gt;=covid_start, IF(P150&lt;covid_recovery,NA(),SUMIFS(INDIRECT("Data_main"&amp;"["&amp;P$8&amp;"]"),Data_main[Data],$A152, Data_main[Segment],$B152, Data_main[Scenario],$B$3)),SUMIFS(INDIRECT("Data_main"&amp;"["&amp;P$8&amp;"]"),Data_main[Data],$A152, Data_main[Segment],$B152, Data_main[Scenario],$B$3)),SUMIFS(INDIRECT("Data_main"&amp;"["&amp;P$8&amp;"]"),Data_main[Data],$A152, Data_main[Segment],$B152, Data_main[Scenario],$B$3))</f>
        <v>140.87873204176742</v>
      </c>
      <c r="Q152" s="531">
        <f ca="1">IF($B$6="ON", IF(Q150&gt;=covid_start, IF(Q150&lt;covid_recovery,NA(),SUMIFS(INDIRECT("Data_main"&amp;"["&amp;Q$8&amp;"]"),Data_main[Data],$A152, Data_main[Segment],$B152, Data_main[Scenario],$B$3)),SUMIFS(INDIRECT("Data_main"&amp;"["&amp;Q$8&amp;"]"),Data_main[Data],$A152, Data_main[Segment],$B152, Data_main[Scenario],$B$3)),SUMIFS(INDIRECT("Data_main"&amp;"["&amp;Q$8&amp;"]"),Data_main[Data],$A152, Data_main[Segment],$B152, Data_main[Scenario],$B$3))</f>
        <v>144.60861713570139</v>
      </c>
      <c r="R152" s="531">
        <f ca="1">IF($B$6="ON", IF(R150&gt;=covid_start, IF(R150&lt;covid_recovery,NA(),SUMIFS(INDIRECT("Data_main"&amp;"["&amp;R$8&amp;"]"),Data_main[Data],$A152, Data_main[Segment],$B152, Data_main[Scenario],$B$3)),SUMIFS(INDIRECT("Data_main"&amp;"["&amp;R$8&amp;"]"),Data_main[Data],$A152, Data_main[Segment],$B152, Data_main[Scenario],$B$3)),SUMIFS(INDIRECT("Data_main"&amp;"["&amp;R$8&amp;"]"),Data_main[Data],$A152, Data_main[Segment],$B152, Data_main[Scenario],$B$3))</f>
        <v>148.33850222963534</v>
      </c>
      <c r="S152" s="531">
        <f ca="1">IF($B$6="ON", IF(S150&gt;=covid_start, IF(S150&lt;covid_recovery,NA(),SUMIFS(INDIRECT("Data_main"&amp;"["&amp;S$8&amp;"]"),Data_main[Data],$A152, Data_main[Segment],$B152, Data_main[Scenario],$B$3)),SUMIFS(INDIRECT("Data_main"&amp;"["&amp;S$8&amp;"]"),Data_main[Data],$A152, Data_main[Segment],$B152, Data_main[Scenario],$B$3)),SUMIFS(INDIRECT("Data_main"&amp;"["&amp;S$8&amp;"]"),Data_main[Data],$A152, Data_main[Segment],$B152, Data_main[Scenario],$B$3))</f>
        <v>152.06838732356928</v>
      </c>
      <c r="T152" s="531">
        <f ca="1">IF($B$6="ON", IF(T150&gt;=covid_start, IF(T150&lt;covid_recovery,NA(),SUMIFS(INDIRECT("Data_main"&amp;"["&amp;T$8&amp;"]"),Data_main[Data],$A152, Data_main[Segment],$B152, Data_main[Scenario],$B$3)),SUMIFS(INDIRECT("Data_main"&amp;"["&amp;T$8&amp;"]"),Data_main[Data],$A152, Data_main[Segment],$B152, Data_main[Scenario],$B$3)),SUMIFS(INDIRECT("Data_main"&amp;"["&amp;T$8&amp;"]"),Data_main[Data],$A152, Data_main[Segment],$B152, Data_main[Scenario],$B$3))</f>
        <v>155.79827241750326</v>
      </c>
      <c r="U152" s="531">
        <f ca="1">IF($B$6="ON", IF(U150&gt;=covid_start, IF(U150&lt;covid_recovery,NA(),SUMIFS(INDIRECT("Data_main"&amp;"["&amp;U$8&amp;"]"),Data_main[Data],$A152, Data_main[Segment],$B152, Data_main[Scenario],$B$3)),SUMIFS(INDIRECT("Data_main"&amp;"["&amp;U$8&amp;"]"),Data_main[Data],$A152, Data_main[Segment],$B152, Data_main[Scenario],$B$3)),SUMIFS(INDIRECT("Data_main"&amp;"["&amp;U$8&amp;"]"),Data_main[Data],$A152, Data_main[Segment],$B152, Data_main[Scenario],$B$3))</f>
        <v>160.52802948358629</v>
      </c>
      <c r="V152" s="531">
        <f ca="1">IF($B$6="ON", IF(V150&gt;=covid_start, IF(V150&lt;covid_recovery,NA(),SUMIFS(INDIRECT("Data_main"&amp;"["&amp;V$8&amp;"]"),Data_main[Data],$A152, Data_main[Segment],$B152, Data_main[Scenario],$B$3)),SUMIFS(INDIRECT("Data_main"&amp;"["&amp;V$8&amp;"]"),Data_main[Data],$A152, Data_main[Segment],$B152, Data_main[Scenario],$B$3)),SUMIFS(INDIRECT("Data_main"&amp;"["&amp;V$8&amp;"]"),Data_main[Data],$A152, Data_main[Segment],$B152, Data_main[Scenario],$B$3))</f>
        <v>165.25778654966948</v>
      </c>
      <c r="W152" s="531">
        <f ca="1">IF($B$6="ON", IF(W150&gt;=covid_start, IF(W150&lt;covid_recovery,NA(),SUMIFS(INDIRECT("Data_main"&amp;"["&amp;W$8&amp;"]"),Data_main[Data],$A152, Data_main[Segment],$B152, Data_main[Scenario],$B$3)),SUMIFS(INDIRECT("Data_main"&amp;"["&amp;W$8&amp;"]"),Data_main[Data],$A152, Data_main[Segment],$B152, Data_main[Scenario],$B$3)),SUMIFS(INDIRECT("Data_main"&amp;"["&amp;W$8&amp;"]"),Data_main[Data],$A152, Data_main[Segment],$B152, Data_main[Scenario],$B$3))</f>
        <v>169.98754361575251</v>
      </c>
      <c r="X152" s="531">
        <f ca="1">IF($B$6="ON", IF(X150&gt;=covid_start, IF(X150&lt;covid_recovery,NA(),SUMIFS(INDIRECT("Data_main"&amp;"["&amp;X$8&amp;"]"),Data_main[Data],$A152, Data_main[Segment],$B152, Data_main[Scenario],$B$3)),SUMIFS(INDIRECT("Data_main"&amp;"["&amp;X$8&amp;"]"),Data_main[Data],$A152, Data_main[Segment],$B152, Data_main[Scenario],$B$3)),SUMIFS(INDIRECT("Data_main"&amp;"["&amp;X$8&amp;"]"),Data_main[Data],$A152, Data_main[Segment],$B152, Data_main[Scenario],$B$3))</f>
        <v>174.71730068183552</v>
      </c>
      <c r="Y152" s="531">
        <f ca="1">IF($B$6="ON", IF(Y150&gt;=covid_start, IF(Y150&lt;covid_recovery,NA(),SUMIFS(INDIRECT("Data_main"&amp;"["&amp;Y$8&amp;"]"),Data_main[Data],$A152, Data_main[Segment],$B152, Data_main[Scenario],$B$3)),SUMIFS(INDIRECT("Data_main"&amp;"["&amp;Y$8&amp;"]"),Data_main[Data],$A152, Data_main[Segment],$B152, Data_main[Scenario],$B$3)),SUMIFS(INDIRECT("Data_main"&amp;"["&amp;Y$8&amp;"]"),Data_main[Data],$A152, Data_main[Segment],$B152, Data_main[Scenario],$B$3))</f>
        <v>179.44705774791856</v>
      </c>
      <c r="Z152" s="531">
        <f ca="1">IF($B$6="ON", IF(Z150&gt;=covid_start, IF(Z150&lt;covid_recovery,NA(),SUMIFS(INDIRECT("Data_main"&amp;"["&amp;Z$8&amp;"]"),Data_main[Data],$A152, Data_main[Segment],$B152, Data_main[Scenario],$B$3)),SUMIFS(INDIRECT("Data_main"&amp;"["&amp;Z$8&amp;"]"),Data_main[Data],$A152, Data_main[Segment],$B152, Data_main[Scenario],$B$3)),SUMIFS(INDIRECT("Data_main"&amp;"["&amp;Z$8&amp;"]"),Data_main[Data],$A152, Data_main[Segment],$B152, Data_main[Scenario],$B$3))</f>
        <v>184.1768148140016</v>
      </c>
      <c r="AA152" s="531">
        <f ca="1">IF($B$6="ON", IF(AA150&gt;=covid_start, IF(AA150&lt;covid_recovery,NA(),SUMIFS(INDIRECT("Data_main"&amp;"["&amp;AA$8&amp;"]"),Data_main[Data],$A152, Data_main[Segment],$B152, Data_main[Scenario],$B$3)),SUMIFS(INDIRECT("Data_main"&amp;"["&amp;AA$8&amp;"]"),Data_main[Data],$A152, Data_main[Segment],$B152, Data_main[Scenario],$B$3)),SUMIFS(INDIRECT("Data_main"&amp;"["&amp;AA$8&amp;"]"),Data_main[Data],$A152, Data_main[Segment],$B152, Data_main[Scenario],$B$3))</f>
        <v>188.90657188008478</v>
      </c>
      <c r="AB152" s="531">
        <f ca="1">IF($B$6="ON", IF(AB150&gt;=covid_start, IF(AB150&lt;covid_recovery,NA(),SUMIFS(INDIRECT("Data_main"&amp;"["&amp;AB$8&amp;"]"),Data_main[Data],$A152, Data_main[Segment],$B152, Data_main[Scenario],$B$3)),SUMIFS(INDIRECT("Data_main"&amp;"["&amp;AB$8&amp;"]"),Data_main[Data],$A152, Data_main[Segment],$B152, Data_main[Scenario],$B$3)),SUMIFS(INDIRECT("Data_main"&amp;"["&amp;AB$8&amp;"]"),Data_main[Data],$A152, Data_main[Segment],$B152, Data_main[Scenario],$B$3))</f>
        <v>193.63632894616779</v>
      </c>
      <c r="AC152" s="531">
        <f ca="1">IF($B$6="ON", IF(AC150&gt;=covid_start, IF(AC150&lt;covid_recovery,NA(),SUMIFS(INDIRECT("Data_main"&amp;"["&amp;AC$8&amp;"]"),Data_main[Data],$A152, Data_main[Segment],$B152, Data_main[Scenario],$B$3)),SUMIFS(INDIRECT("Data_main"&amp;"["&amp;AC$8&amp;"]"),Data_main[Data],$A152, Data_main[Segment],$B152, Data_main[Scenario],$B$3)),SUMIFS(INDIRECT("Data_main"&amp;"["&amp;AC$8&amp;"]"),Data_main[Data],$A152, Data_main[Segment],$B152, Data_main[Scenario],$B$3))</f>
        <v>198.36608601225086</v>
      </c>
      <c r="AD152" s="531">
        <f ca="1">IF($B$6="ON", IF(AD150&gt;=covid_start, IF(AD150&lt;covid_recovery,NA(),SUMIFS(INDIRECT("Data_main"&amp;"["&amp;AD$8&amp;"]"),Data_main[Data],$A152, Data_main[Segment],$B152, Data_main[Scenario],$B$3)),SUMIFS(INDIRECT("Data_main"&amp;"["&amp;AD$8&amp;"]"),Data_main[Data],$A152, Data_main[Segment],$B152, Data_main[Scenario],$B$3)),SUMIFS(INDIRECT("Data_main"&amp;"["&amp;AD$8&amp;"]"),Data_main[Data],$A152, Data_main[Segment],$B152, Data_main[Scenario],$B$3))</f>
        <v>203.0958430783339</v>
      </c>
      <c r="AE152" s="531">
        <f ca="1">IF($B$6="ON", IF(AE150&gt;=covid_start, IF(AE150&lt;covid_recovery,NA(),SUMIFS(INDIRECT("Data_main"&amp;"["&amp;AE$8&amp;"]"),Data_main[Data],$A152, Data_main[Segment],$B152, Data_main[Scenario],$B$3)),SUMIFS(INDIRECT("Data_main"&amp;"["&amp;AE$8&amp;"]"),Data_main[Data],$A152, Data_main[Segment],$B152, Data_main[Scenario],$B$3)),SUMIFS(INDIRECT("Data_main"&amp;"["&amp;AE$8&amp;"]"),Data_main[Data],$A152, Data_main[Segment],$B152, Data_main[Scenario],$B$3))</f>
        <v>209.6642538736524</v>
      </c>
      <c r="AF152" s="531">
        <f ca="1">IF($B$6="ON", IF(AF150&gt;=covid_start, IF(AF150&lt;covid_recovery,NA(),SUMIFS(INDIRECT("Data_main"&amp;"["&amp;AF$8&amp;"]"),Data_main[Data],$A152, Data_main[Segment],$B152, Data_main[Scenario],$B$3)),SUMIFS(INDIRECT("Data_main"&amp;"["&amp;AF$8&amp;"]"),Data_main[Data],$A152, Data_main[Segment],$B152, Data_main[Scenario],$B$3)),SUMIFS(INDIRECT("Data_main"&amp;"["&amp;AF$8&amp;"]"),Data_main[Data],$A152, Data_main[Segment],$B152, Data_main[Scenario],$B$3))</f>
        <v>216.23266466897073</v>
      </c>
      <c r="AG152" s="531">
        <f ca="1">IF($B$6="ON", IF(AG150&gt;=covid_start, IF(AG150&lt;covid_recovery,NA(),SUMIFS(INDIRECT("Data_main"&amp;"["&amp;AG$8&amp;"]"),Data_main[Data],$A152, Data_main[Segment],$B152, Data_main[Scenario],$B$3)),SUMIFS(INDIRECT("Data_main"&amp;"["&amp;AG$8&amp;"]"),Data_main[Data],$A152, Data_main[Segment],$B152, Data_main[Scenario],$B$3)),SUMIFS(INDIRECT("Data_main"&amp;"["&amp;AG$8&amp;"]"),Data_main[Data],$A152, Data_main[Segment],$B152, Data_main[Scenario],$B$3))</f>
        <v>222.80107546428894</v>
      </c>
      <c r="AH152" s="531">
        <f ca="1">IF($B$6="ON", IF(AH150&gt;=covid_start, IF(AH150&lt;covid_recovery,NA(),SUMIFS(INDIRECT("Data_main"&amp;"["&amp;AH$8&amp;"]"),Data_main[Data],$A152, Data_main[Segment],$B152, Data_main[Scenario],$B$3)),SUMIFS(INDIRECT("Data_main"&amp;"["&amp;AH$8&amp;"]"),Data_main[Data],$A152, Data_main[Segment],$B152, Data_main[Scenario],$B$3)),SUMIFS(INDIRECT("Data_main"&amp;"["&amp;AH$8&amp;"]"),Data_main[Data],$A152, Data_main[Segment],$B152, Data_main[Scenario],$B$3))</f>
        <v>229.36948625960727</v>
      </c>
      <c r="AI152" s="531">
        <f ca="1">IF($B$6="ON", IF(AI150&gt;=covid_start, IF(AI150&lt;covid_recovery,NA(),SUMIFS(INDIRECT("Data_main"&amp;"["&amp;AI$8&amp;"]"),Data_main[Data],$A152, Data_main[Segment],$B152, Data_main[Scenario],$B$3)),SUMIFS(INDIRECT("Data_main"&amp;"["&amp;AI$8&amp;"]"),Data_main[Data],$A152, Data_main[Segment],$B152, Data_main[Scenario],$B$3)),SUMIFS(INDIRECT("Data_main"&amp;"["&amp;AI$8&amp;"]"),Data_main[Data],$A152, Data_main[Segment],$B152, Data_main[Scenario],$B$3))</f>
        <v>235.93789705492549</v>
      </c>
      <c r="AJ152" s="531">
        <f ca="1">IF($B$6="ON", IF(AJ150&gt;=covid_start, IF(AJ150&lt;covid_recovery,NA(),SUMIFS(INDIRECT("Data_main"&amp;"["&amp;AJ$8&amp;"]"),Data_main[Data],$A152, Data_main[Segment],$B152, Data_main[Scenario],$B$3)),SUMIFS(INDIRECT("Data_main"&amp;"["&amp;AJ$8&amp;"]"),Data_main[Data],$A152, Data_main[Segment],$B152, Data_main[Scenario],$B$3)),SUMIFS(INDIRECT("Data_main"&amp;"["&amp;AJ$8&amp;"]"),Data_main[Data],$A152, Data_main[Segment],$B152, Data_main[Scenario],$B$3))</f>
        <v>242.50630785024401</v>
      </c>
      <c r="AK152" s="531">
        <f ca="1">IF($B$6="ON", IF(AK150&gt;=covid_start, IF(AK150&lt;covid_recovery,NA(),SUMIFS(INDIRECT("Data_main"&amp;"["&amp;AK$8&amp;"]"),Data_main[Data],$A152, Data_main[Segment],$B152, Data_main[Scenario],$B$3)),SUMIFS(INDIRECT("Data_main"&amp;"["&amp;AK$8&amp;"]"),Data_main[Data],$A152, Data_main[Segment],$B152, Data_main[Scenario],$B$3)),SUMIFS(INDIRECT("Data_main"&amp;"["&amp;AK$8&amp;"]"),Data_main[Data],$A152, Data_main[Segment],$B152, Data_main[Scenario],$B$3))</f>
        <v>249.07471864556251</v>
      </c>
      <c r="AL152" s="531">
        <f ca="1">IF($B$6="ON", IF(AL150&gt;=covid_start, IF(AL150&lt;covid_recovery,NA(),SUMIFS(INDIRECT("Data_main"&amp;"["&amp;AL$8&amp;"]"),Data_main[Data],$A152, Data_main[Segment],$B152, Data_main[Scenario],$B$3)),SUMIFS(INDIRECT("Data_main"&amp;"["&amp;AL$8&amp;"]"),Data_main[Data],$A152, Data_main[Segment],$B152, Data_main[Scenario],$B$3)),SUMIFS(INDIRECT("Data_main"&amp;"["&amp;AL$8&amp;"]"),Data_main[Data],$A152, Data_main[Segment],$B152, Data_main[Scenario],$B$3))</f>
        <v>255.6431294408807</v>
      </c>
      <c r="AM152" s="531">
        <f ca="1">IF($B$6="ON", IF(AM150&gt;=covid_start, IF(AM150&lt;covid_recovery,NA(),SUMIFS(INDIRECT("Data_main"&amp;"["&amp;AM$8&amp;"]"),Data_main[Data],$A152, Data_main[Segment],$B152, Data_main[Scenario],$B$3)),SUMIFS(INDIRECT("Data_main"&amp;"["&amp;AM$8&amp;"]"),Data_main[Data],$A152, Data_main[Segment],$B152, Data_main[Scenario],$B$3)),SUMIFS(INDIRECT("Data_main"&amp;"["&amp;AM$8&amp;"]"),Data_main[Data],$A152, Data_main[Segment],$B152, Data_main[Scenario],$B$3))</f>
        <v>262.21154023619891</v>
      </c>
      <c r="AN152" s="531">
        <f ca="1">IF($B$6="ON", IF(AN150&gt;=covid_start, IF(AN150&lt;covid_recovery,NA(),SUMIFS(INDIRECT("Data_main"&amp;"["&amp;AN$8&amp;"]"),Data_main[Data],$A152, Data_main[Segment],$B152, Data_main[Scenario],$B$3)),SUMIFS(INDIRECT("Data_main"&amp;"["&amp;AN$8&amp;"]"),Data_main[Data],$A152, Data_main[Segment],$B152, Data_main[Scenario],$B$3)),SUMIFS(INDIRECT("Data_main"&amp;"["&amp;AN$8&amp;"]"),Data_main[Data],$A152, Data_main[Segment],$B152, Data_main[Scenario],$B$3))</f>
        <v>268.77995103151738</v>
      </c>
      <c r="AO152" s="531">
        <f ca="1">IF($B$6="ON", IF(AO150&gt;=covid_start, IF(AO150&lt;covid_recovery,NA(),SUMIFS(INDIRECT("Data_main"&amp;"["&amp;AO$8&amp;"]"),Data_main[Data],$A152, Data_main[Segment],$B152, Data_main[Scenario],$B$3)),SUMIFS(INDIRECT("Data_main"&amp;"["&amp;AO$8&amp;"]"),Data_main[Data],$A152, Data_main[Segment],$B152, Data_main[Scenario],$B$3)),SUMIFS(INDIRECT("Data_main"&amp;"["&amp;AO$8&amp;"]"),Data_main[Data],$A152, Data_main[Segment],$B152, Data_main[Scenario],$B$3))</f>
        <v>0</v>
      </c>
      <c r="AP152" s="531">
        <f ca="1">IF($B$6="ON", IF(AP150&gt;=covid_start, IF(AP150&lt;covid_recovery,NA(),SUMIFS(INDIRECT("Data_main"&amp;"["&amp;AP$8&amp;"]"),Data_main[Data],$A152, Data_main[Segment],$B152, Data_main[Scenario],$B$3)),SUMIFS(INDIRECT("Data_main"&amp;"["&amp;AP$8&amp;"]"),Data_main[Data],$A152, Data_main[Segment],$B152, Data_main[Scenario],$B$3)),SUMIFS(INDIRECT("Data_main"&amp;"["&amp;AP$8&amp;"]"),Data_main[Data],$A152, Data_main[Segment],$B152, Data_main[Scenario],$B$3))</f>
        <v>0</v>
      </c>
      <c r="AQ152" s="531">
        <f ca="1">IF($B$6="ON", IF(AQ150&gt;=covid_start, IF(AQ150&lt;covid_recovery,NA(),SUMIFS(INDIRECT("Data_main"&amp;"["&amp;AQ$8&amp;"]"),Data_main[Data],$A152, Data_main[Segment],$B152, Data_main[Scenario],$B$3)),SUMIFS(INDIRECT("Data_main"&amp;"["&amp;AQ$8&amp;"]"),Data_main[Data],$A152, Data_main[Segment],$B152, Data_main[Scenario],$B$3)),SUMIFS(INDIRECT("Data_main"&amp;"["&amp;AQ$8&amp;"]"),Data_main[Data],$A152, Data_main[Segment],$B152, Data_main[Scenario],$B$3))</f>
        <v>0</v>
      </c>
      <c r="AR152" s="531">
        <f ca="1">IF($B$6="ON", IF(AR150&gt;=covid_start, IF(AR150&lt;covid_recovery,NA(),SUMIFS(INDIRECT("Data_main"&amp;"["&amp;AR$8&amp;"]"),Data_main[Data],$A152, Data_main[Segment],$B152, Data_main[Scenario],$B$3)),SUMIFS(INDIRECT("Data_main"&amp;"["&amp;AR$8&amp;"]"),Data_main[Data],$A152, Data_main[Segment],$B152, Data_main[Scenario],$B$3)),SUMIFS(INDIRECT("Data_main"&amp;"["&amp;AR$8&amp;"]"),Data_main[Data],$A152, Data_main[Segment],$B152, Data_main[Scenario],$B$3))</f>
        <v>0</v>
      </c>
      <c r="AS152" s="531">
        <f ca="1">IF($B$6="ON", IF(AS150&gt;=covid_start, IF(AS150&lt;covid_recovery,NA(),SUMIFS(INDIRECT("Data_main"&amp;"["&amp;AS$8&amp;"]"),Data_main[Data],$A152, Data_main[Segment],$B152, Data_main[Scenario],$B$3)),SUMIFS(INDIRECT("Data_main"&amp;"["&amp;AS$8&amp;"]"),Data_main[Data],$A152, Data_main[Segment],$B152, Data_main[Scenario],$B$3)),SUMIFS(INDIRECT("Data_main"&amp;"["&amp;AS$8&amp;"]"),Data_main[Data],$A152, Data_main[Segment],$B152, Data_main[Scenario],$B$3))</f>
        <v>0</v>
      </c>
      <c r="AT152" s="531">
        <f ca="1">IF($B$6="ON", IF(AT150&gt;=covid_start, IF(AT150&lt;covid_recovery,NA(),SUMIFS(INDIRECT("Data_main"&amp;"["&amp;AT$8&amp;"]"),Data_main[Data],$A152, Data_main[Segment],$B152, Data_main[Scenario],$B$3)),SUMIFS(INDIRECT("Data_main"&amp;"["&amp;AT$8&amp;"]"),Data_main[Data],$A152, Data_main[Segment],$B152, Data_main[Scenario],$B$3)),SUMIFS(INDIRECT("Data_main"&amp;"["&amp;AT$8&amp;"]"),Data_main[Data],$A152, Data_main[Segment],$B152, Data_main[Scenario],$B$3))</f>
        <v>0</v>
      </c>
      <c r="AU152" s="531">
        <f ca="1">IF($B$6="ON", IF(AU150&gt;=covid_start, IF(AU150&lt;covid_recovery,NA(),SUMIFS(INDIRECT("Data_main"&amp;"["&amp;AU$8&amp;"]"),Data_main[Data],$A152, Data_main[Segment],$B152, Data_main[Scenario],$B$3)),SUMIFS(INDIRECT("Data_main"&amp;"["&amp;AU$8&amp;"]"),Data_main[Data],$A152, Data_main[Segment],$B152, Data_main[Scenario],$B$3)),SUMIFS(INDIRECT("Data_main"&amp;"["&amp;AU$8&amp;"]"),Data_main[Data],$A152, Data_main[Segment],$B152, Data_main[Scenario],$B$3))</f>
        <v>0</v>
      </c>
      <c r="AV152" s="531">
        <f ca="1">IF($B$6="ON", IF(AV150&gt;=covid_start, IF(AV150&lt;covid_recovery,NA(),SUMIFS(INDIRECT("Data_main"&amp;"["&amp;AV$8&amp;"]"),Data_main[Data],$A152, Data_main[Segment],$B152, Data_main[Scenario],$B$3)),SUMIFS(INDIRECT("Data_main"&amp;"["&amp;AV$8&amp;"]"),Data_main[Data],$A152, Data_main[Segment],$B152, Data_main[Scenario],$B$3)),SUMIFS(INDIRECT("Data_main"&amp;"["&amp;AV$8&amp;"]"),Data_main[Data],$A152, Data_main[Segment],$B152, Data_main[Scenario],$B$3))</f>
        <v>0</v>
      </c>
      <c r="AW152" s="531">
        <f ca="1">IF($B$6="ON", IF(AW150&gt;=covid_start, IF(AW150&lt;covid_recovery,NA(),SUMIFS(INDIRECT("Data_main"&amp;"["&amp;AW$8&amp;"]"),Data_main[Data],$A152, Data_main[Segment],$B152, Data_main[Scenario],$B$3)),SUMIFS(INDIRECT("Data_main"&amp;"["&amp;AW$8&amp;"]"),Data_main[Data],$A152, Data_main[Segment],$B152, Data_main[Scenario],$B$3)),SUMIFS(INDIRECT("Data_main"&amp;"["&amp;AW$8&amp;"]"),Data_main[Data],$A152, Data_main[Segment],$B152, Data_main[Scenario],$B$3))</f>
        <v>0</v>
      </c>
      <c r="AX152" s="531">
        <f ca="1">IF($B$6="ON", IF(AX150&gt;=covid_start, IF(AX150&lt;covid_recovery,NA(),SUMIFS(INDIRECT("Data_main"&amp;"["&amp;AX$8&amp;"]"),Data_main[Data],$A152, Data_main[Segment],$B152, Data_main[Scenario],$B$3)),SUMIFS(INDIRECT("Data_main"&amp;"["&amp;AX$8&amp;"]"),Data_main[Data],$A152, Data_main[Segment],$B152, Data_main[Scenario],$B$3)),SUMIFS(INDIRECT("Data_main"&amp;"["&amp;AX$8&amp;"]"),Data_main[Data],$A152, Data_main[Segment],$B152, Data_main[Scenario],$B$3))</f>
        <v>0</v>
      </c>
      <c r="AY152" s="531">
        <f ca="1">IF($B$6="ON", IF(AY150&gt;=covid_start, IF(AY150&lt;covid_recovery,NA(),SUMIFS(INDIRECT("Data_main"&amp;"["&amp;AY$8&amp;"]"),Data_main[Data],$A152, Data_main[Segment],$B152, Data_main[Scenario],$B$3)),SUMIFS(INDIRECT("Data_main"&amp;"["&amp;AY$8&amp;"]"),Data_main[Data],$A152, Data_main[Segment],$B152, Data_main[Scenario],$B$3)),SUMIFS(INDIRECT("Data_main"&amp;"["&amp;AY$8&amp;"]"),Data_main[Data],$A152, Data_main[Segment],$B152, Data_main[Scenario],$B$3))</f>
        <v>0</v>
      </c>
      <c r="AZ152" s="531">
        <f ca="1">IF($B$6="ON", IF(AZ150&gt;=covid_start, IF(AZ150&lt;covid_recovery,NA(),SUMIFS(INDIRECT("Data_main"&amp;"["&amp;AZ$8&amp;"]"),Data_main[Data],$A152, Data_main[Segment],$B152, Data_main[Scenario],$B$3)),SUMIFS(INDIRECT("Data_main"&amp;"["&amp;AZ$8&amp;"]"),Data_main[Data],$A152, Data_main[Segment],$B152, Data_main[Scenario],$B$3)),SUMIFS(INDIRECT("Data_main"&amp;"["&amp;AZ$8&amp;"]"),Data_main[Data],$A152, Data_main[Segment],$B152, Data_main[Scenario],$B$3))</f>
        <v>0</v>
      </c>
      <c r="BA152" s="531">
        <f ca="1">IF($B$6="ON", IF(BA150&gt;=covid_start, IF(BA150&lt;covid_recovery,NA(),SUMIFS(INDIRECT("Data_main"&amp;"["&amp;BA$8&amp;"]"),Data_main[Data],$A152, Data_main[Segment],$B152, Data_main[Scenario],$B$3)),SUMIFS(INDIRECT("Data_main"&amp;"["&amp;BA$8&amp;"]"),Data_main[Data],$A152, Data_main[Segment],$B152, Data_main[Scenario],$B$3)),SUMIFS(INDIRECT("Data_main"&amp;"["&amp;BA$8&amp;"]"),Data_main[Data],$A152, Data_main[Segment],$B152, Data_main[Scenario],$B$3))</f>
        <v>0</v>
      </c>
      <c r="BB152" s="531">
        <f ca="1">IF($B$6="ON", IF(BB150&gt;=covid_start, IF(BB150&lt;covid_recovery,NA(),SUMIFS(INDIRECT("Data_main"&amp;"["&amp;BB$8&amp;"]"),Data_main[Data],$A152, Data_main[Segment],$B152, Data_main[Scenario],$B$3)),SUMIFS(INDIRECT("Data_main"&amp;"["&amp;BB$8&amp;"]"),Data_main[Data],$A152, Data_main[Segment],$B152, Data_main[Scenario],$B$3)),SUMIFS(INDIRECT("Data_main"&amp;"["&amp;BB$8&amp;"]"),Data_main[Data],$A152, Data_main[Segment],$B152, Data_main[Scenario],$B$3))</f>
        <v>0</v>
      </c>
      <c r="BC152" s="531">
        <f ca="1">IF($B$6="ON", IF(BC150&gt;=covid_start, IF(BC150&lt;covid_recovery,NA(),SUMIFS(INDIRECT("Data_main"&amp;"["&amp;BC$8&amp;"]"),Data_main[Data],$A152, Data_main[Segment],$B152, Data_main[Scenario],$B$3)),SUMIFS(INDIRECT("Data_main"&amp;"["&amp;BC$8&amp;"]"),Data_main[Data],$A152, Data_main[Segment],$B152, Data_main[Scenario],$B$3)),SUMIFS(INDIRECT("Data_main"&amp;"["&amp;BC$8&amp;"]"),Data_main[Data],$A152, Data_main[Segment],$B152, Data_main[Scenario],$B$3))</f>
        <v>0</v>
      </c>
      <c r="BD152" s="531">
        <f ca="1">IF($B$6="ON", IF(BD150&gt;=covid_start, IF(BD150&lt;covid_recovery,NA(),SUMIFS(INDIRECT("Data_main"&amp;"["&amp;BD$8&amp;"]"),Data_main[Data],$A152, Data_main[Segment],$B152, Data_main[Scenario],$B$3)),SUMIFS(INDIRECT("Data_main"&amp;"["&amp;BD$8&amp;"]"),Data_main[Data],$A152, Data_main[Segment],$B152, Data_main[Scenario],$B$3)),SUMIFS(INDIRECT("Data_main"&amp;"["&amp;BD$8&amp;"]"),Data_main[Data],$A152, Data_main[Segment],$B152, Data_main[Scenario],$B$3))</f>
        <v>0</v>
      </c>
      <c r="BE152" s="531">
        <f ca="1">IF($B$6="ON", IF(BE150&gt;=covid_start, IF(BE150&lt;covid_recovery,NA(),SUMIFS(INDIRECT("Data_main"&amp;"["&amp;BE$8&amp;"]"),Data_main[Data],$A152, Data_main[Segment],$B152, Data_main[Scenario],$B$3)),SUMIFS(INDIRECT("Data_main"&amp;"["&amp;BE$8&amp;"]"),Data_main[Data],$A152, Data_main[Segment],$B152, Data_main[Scenario],$B$3)),SUMIFS(INDIRECT("Data_main"&amp;"["&amp;BE$8&amp;"]"),Data_main[Data],$A152, Data_main[Segment],$B152, Data_main[Scenario],$B$3))</f>
        <v>0</v>
      </c>
      <c r="BF152" s="531">
        <f ca="1">IF($B$6="ON", IF(BF150&gt;=covid_start, IF(BF150&lt;covid_recovery,NA(),SUMIFS(INDIRECT("Data_main"&amp;"["&amp;BF$8&amp;"]"),Data_main[Data],$A152, Data_main[Segment],$B152, Data_main[Scenario],$B$3)),SUMIFS(INDIRECT("Data_main"&amp;"["&amp;BF$8&amp;"]"),Data_main[Data],$A152, Data_main[Segment],$B152, Data_main[Scenario],$B$3)),SUMIFS(INDIRECT("Data_main"&amp;"["&amp;BF$8&amp;"]"),Data_main[Data],$A152, Data_main[Segment],$B152, Data_main[Scenario],$B$3))</f>
        <v>0</v>
      </c>
      <c r="BG152" s="531">
        <f ca="1">IF($B$6="ON", IF(BG150&gt;=covid_start, IF(BG150&lt;covid_recovery,NA(),SUMIFS(INDIRECT("Data_main"&amp;"["&amp;BG$8&amp;"]"),Data_main[Data],$A152, Data_main[Segment],$B152, Data_main[Scenario],$B$3)),SUMIFS(INDIRECT("Data_main"&amp;"["&amp;BG$8&amp;"]"),Data_main[Data],$A152, Data_main[Segment],$B152, Data_main[Scenario],$B$3)),SUMIFS(INDIRECT("Data_main"&amp;"["&amp;BG$8&amp;"]"),Data_main[Data],$A152, Data_main[Segment],$B152, Data_main[Scenario],$B$3))</f>
        <v>0</v>
      </c>
      <c r="BH152" s="531">
        <f ca="1">IF($B$6="ON", IF(BH150&gt;=covid_start, IF(BH150&lt;covid_recovery,NA(),SUMIFS(INDIRECT("Data_main"&amp;"["&amp;BH$8&amp;"]"),Data_main[Data],$A152, Data_main[Segment],$B152, Data_main[Scenario],$B$3)),SUMIFS(INDIRECT("Data_main"&amp;"["&amp;BH$8&amp;"]"),Data_main[Data],$A152, Data_main[Segment],$B152, Data_main[Scenario],$B$3)),SUMIFS(INDIRECT("Data_main"&amp;"["&amp;BH$8&amp;"]"),Data_main[Data],$A152, Data_main[Segment],$B152, Data_main[Scenario],$B$3))</f>
        <v>0</v>
      </c>
      <c r="BI152" s="531">
        <f ca="1">IF($B$6="ON", IF(BI150&gt;=covid_start, IF(BI150&lt;covid_recovery,NA(),SUMIFS(INDIRECT("Data_main"&amp;"["&amp;BI$8&amp;"]"),Data_main[Data],$A152, Data_main[Segment],$B152, Data_main[Scenario],$B$3)),SUMIFS(INDIRECT("Data_main"&amp;"["&amp;BI$8&amp;"]"),Data_main[Data],$A152, Data_main[Segment],$B152, Data_main[Scenario],$B$3)),SUMIFS(INDIRECT("Data_main"&amp;"["&amp;BI$8&amp;"]"),Data_main[Data],$A152, Data_main[Segment],$B152, Data_main[Scenario],$B$3))</f>
        <v>0</v>
      </c>
      <c r="BJ152" s="531">
        <f ca="1">IF($B$6="ON", IF(BJ150&gt;=covid_start, IF(BJ150&lt;covid_recovery,NA(),SUMIFS(INDIRECT("Data_main"&amp;"["&amp;BJ$8&amp;"]"),Data_main[Data],$A152, Data_main[Segment],$B152, Data_main[Scenario],$B$3)),SUMIFS(INDIRECT("Data_main"&amp;"["&amp;BJ$8&amp;"]"),Data_main[Data],$A152, Data_main[Segment],$B152, Data_main[Scenario],$B$3)),SUMIFS(INDIRECT("Data_main"&amp;"["&amp;BJ$8&amp;"]"),Data_main[Data],$A152, Data_main[Segment],$B152, Data_main[Scenario],$B$3))</f>
        <v>0</v>
      </c>
      <c r="BK152" s="531">
        <f ca="1">IF($B$6="ON", IF(BK150&gt;=covid_start, IF(BK150&lt;covid_recovery,NA(),SUMIFS(INDIRECT("Data_main"&amp;"["&amp;BK$8&amp;"]"),Data_main[Data],$A152, Data_main[Segment],$B152, Data_main[Scenario],$B$3)),SUMIFS(INDIRECT("Data_main"&amp;"["&amp;BK$8&amp;"]"),Data_main[Data],$A152, Data_main[Segment],$B152, Data_main[Scenario],$B$3)),SUMIFS(INDIRECT("Data_main"&amp;"["&amp;BK$8&amp;"]"),Data_main[Data],$A152, Data_main[Segment],$B152, Data_main[Scenario],$B$3))</f>
        <v>0</v>
      </c>
      <c r="BL152" s="531">
        <f ca="1">IF($B$6="ON", IF(BL150&gt;=covid_start, IF(BL150&lt;covid_recovery,NA(),SUMIFS(INDIRECT("Data_main"&amp;"["&amp;BL$8&amp;"]"),Data_main[Data],$A152, Data_main[Segment],$B152, Data_main[Scenario],$B$3)),SUMIFS(INDIRECT("Data_main"&amp;"["&amp;BL$8&amp;"]"),Data_main[Data],$A152, Data_main[Segment],$B152, Data_main[Scenario],$B$3)),SUMIFS(INDIRECT("Data_main"&amp;"["&amp;BL$8&amp;"]"),Data_main[Data],$A152, Data_main[Segment],$B152, Data_main[Scenario],$B$3))</f>
        <v>0</v>
      </c>
      <c r="BM152" s="531">
        <f ca="1">IF($B$6="ON", IF(BM150&gt;=covid_start, IF(BM150&lt;covid_recovery,NA(),SUMIFS(INDIRECT("Data_main"&amp;"["&amp;BM$8&amp;"]"),Data_main[Data],$A152, Data_main[Segment],$B152, Data_main[Scenario],$B$3)),SUMIFS(INDIRECT("Data_main"&amp;"["&amp;BM$8&amp;"]"),Data_main[Data],$A152, Data_main[Segment],$B152, Data_main[Scenario],$B$3)),SUMIFS(INDIRECT("Data_main"&amp;"["&amp;BM$8&amp;"]"),Data_main[Data],$A152, Data_main[Segment],$B152, Data_main[Scenario],$B$3))</f>
        <v>0</v>
      </c>
      <c r="BN152" s="531">
        <f ca="1">IF($B$6="ON", IF(BN150&gt;=covid_start, IF(BN150&lt;covid_recovery,NA(),SUMIFS(INDIRECT("Data_main"&amp;"["&amp;BN$8&amp;"]"),Data_main[Data],$A152, Data_main[Segment],$B152, Data_main[Scenario],$B$3)),SUMIFS(INDIRECT("Data_main"&amp;"["&amp;BN$8&amp;"]"),Data_main[Data],$A152, Data_main[Segment],$B152, Data_main[Scenario],$B$3)),SUMIFS(INDIRECT("Data_main"&amp;"["&amp;BN$8&amp;"]"),Data_main[Data],$A152, Data_main[Segment],$B152, Data_main[Scenario],$B$3))</f>
        <v>0</v>
      </c>
      <c r="BO152" s="531">
        <f ca="1">IF($B$6="ON", IF(BO150&gt;=covid_start, IF(BO150&lt;covid_recovery,NA(),SUMIFS(INDIRECT("Data_main"&amp;"["&amp;BO$8&amp;"]"),Data_main[Data],$A152, Data_main[Segment],$B152, Data_main[Scenario],$B$3)),SUMIFS(INDIRECT("Data_main"&amp;"["&amp;BO$8&amp;"]"),Data_main[Data],$A152, Data_main[Segment],$B152, Data_main[Scenario],$B$3)),SUMIFS(INDIRECT("Data_main"&amp;"["&amp;BO$8&amp;"]"),Data_main[Data],$A152, Data_main[Segment],$B152, Data_main[Scenario],$B$3))</f>
        <v>0</v>
      </c>
      <c r="BP152" s="531">
        <f ca="1">IF($B$6="ON", IF(BP150&gt;=covid_start, IF(BP150&lt;covid_recovery,NA(),SUMIFS(INDIRECT("Data_main"&amp;"["&amp;BP$8&amp;"]"),Data_main[Data],$A152, Data_main[Segment],$B152, Data_main[Scenario],$B$3)),SUMIFS(INDIRECT("Data_main"&amp;"["&amp;BP$8&amp;"]"),Data_main[Data],$A152, Data_main[Segment],$B152, Data_main[Scenario],$B$3)),SUMIFS(INDIRECT("Data_main"&amp;"["&amp;BP$8&amp;"]"),Data_main[Data],$A152, Data_main[Segment],$B152, Data_main[Scenario],$B$3))</f>
        <v>0</v>
      </c>
      <c r="BQ152" s="531">
        <f ca="1">IF($B$6="ON", IF(BQ150&gt;=covid_start, IF(BQ150&lt;covid_recovery,NA(),SUMIFS(INDIRECT("Data_main"&amp;"["&amp;BQ$8&amp;"]"),Data_main[Data],$A152, Data_main[Segment],$B152, Data_main[Scenario],$B$3)),SUMIFS(INDIRECT("Data_main"&amp;"["&amp;BQ$8&amp;"]"),Data_main[Data],$A152, Data_main[Segment],$B152, Data_main[Scenario],$B$3)),SUMIFS(INDIRECT("Data_main"&amp;"["&amp;BQ$8&amp;"]"),Data_main[Data],$A152, Data_main[Segment],$B152, Data_main[Scenario],$B$3))</f>
        <v>0</v>
      </c>
      <c r="BR152" s="531">
        <f ca="1">IF($B$6="ON", IF(BR150&gt;=covid_start, IF(BR150&lt;covid_recovery,NA(),SUMIFS(INDIRECT("Data_main"&amp;"["&amp;BR$8&amp;"]"),Data_main[Data],$A152, Data_main[Segment],$B152, Data_main[Scenario],$B$3)),SUMIFS(INDIRECT("Data_main"&amp;"["&amp;BR$8&amp;"]"),Data_main[Data],$A152, Data_main[Segment],$B152, Data_main[Scenario],$B$3)),SUMIFS(INDIRECT("Data_main"&amp;"["&amp;BR$8&amp;"]"),Data_main[Data],$A152, Data_main[Segment],$B152, Data_main[Scenario],$B$3))</f>
        <v>0</v>
      </c>
      <c r="BS152" s="531">
        <f ca="1">IF($B$6="ON", IF(BS150&gt;=covid_start, IF(BS150&lt;covid_recovery,NA(),SUMIFS(INDIRECT("Data_main"&amp;"["&amp;BS$8&amp;"]"),Data_main[Data],$A152, Data_main[Segment],$B152, Data_main[Scenario],$B$3)),SUMIFS(INDIRECT("Data_main"&amp;"["&amp;BS$8&amp;"]"),Data_main[Data],$A152, Data_main[Segment],$B152, Data_main[Scenario],$B$3)),SUMIFS(INDIRECT("Data_main"&amp;"["&amp;BS$8&amp;"]"),Data_main[Data],$A152, Data_main[Segment],$B152, Data_main[Scenario],$B$3))</f>
        <v>0</v>
      </c>
      <c r="BT152" s="531">
        <f ca="1">IF($B$6="ON", IF(BT150&gt;=covid_start, IF(BT150&lt;covid_recovery,NA(),SUMIFS(INDIRECT("Data_main"&amp;"["&amp;BT$8&amp;"]"),Data_main[Data],$A152, Data_main[Segment],$B152, Data_main[Scenario],$B$3)),SUMIFS(INDIRECT("Data_main"&amp;"["&amp;BT$8&amp;"]"),Data_main[Data],$A152, Data_main[Segment],$B152, Data_main[Scenario],$B$3)),SUMIFS(INDIRECT("Data_main"&amp;"["&amp;BT$8&amp;"]"),Data_main[Data],$A152, Data_main[Segment],$B152, Data_main[Scenario],$B$3))</f>
        <v>0</v>
      </c>
      <c r="BU152" s="531">
        <f ca="1">IF($B$6="ON", IF(BU150&gt;=covid_start, IF(BU150&lt;covid_recovery,NA(),SUMIFS(INDIRECT("Data_main"&amp;"["&amp;BU$8&amp;"]"),Data_main[Data],$A152, Data_main[Segment],$B152, Data_main[Scenario],$B$3)),SUMIFS(INDIRECT("Data_main"&amp;"["&amp;BU$8&amp;"]"),Data_main[Data],$A152, Data_main[Segment],$B152, Data_main[Scenario],$B$3)),SUMIFS(INDIRECT("Data_main"&amp;"["&amp;BU$8&amp;"]"),Data_main[Data],$A152, Data_main[Segment],$B152, Data_main[Scenario],$B$3))</f>
        <v>0</v>
      </c>
      <c r="BV152" s="531">
        <f ca="1">IF($B$6="ON", IF(BV150&gt;=covid_start, IF(BV150&lt;covid_recovery,NA(),SUMIFS(INDIRECT("Data_main"&amp;"["&amp;BV$8&amp;"]"),Data_main[Data],$A152, Data_main[Segment],$B152, Data_main[Scenario],$B$3)),SUMIFS(INDIRECT("Data_main"&amp;"["&amp;BV$8&amp;"]"),Data_main[Data],$A152, Data_main[Segment],$B152, Data_main[Scenario],$B$3)),SUMIFS(INDIRECT("Data_main"&amp;"["&amp;BV$8&amp;"]"),Data_main[Data],$A152, Data_main[Segment],$B152, Data_main[Scenario],$B$3))</f>
        <v>0</v>
      </c>
      <c r="BW152" s="531">
        <f ca="1">IF($B$6="ON", IF(BW150&gt;=covid_start, IF(BW150&lt;covid_recovery,NA(),SUMIFS(INDIRECT("Data_main"&amp;"["&amp;BW$8&amp;"]"),Data_main[Data],$A152, Data_main[Segment],$B152, Data_main[Scenario],$B$3)),SUMIFS(INDIRECT("Data_main"&amp;"["&amp;BW$8&amp;"]"),Data_main[Data],$A152, Data_main[Segment],$B152, Data_main[Scenario],$B$3)),SUMIFS(INDIRECT("Data_main"&amp;"["&amp;BW$8&amp;"]"),Data_main[Data],$A152, Data_main[Segment],$B152, Data_main[Scenario],$B$3))</f>
        <v>0</v>
      </c>
      <c r="BX152" s="531">
        <f ca="1">IF($B$6="ON", IF(BX150&gt;=covid_start, IF(BX150&lt;covid_recovery,NA(),SUMIFS(INDIRECT("Data_main"&amp;"["&amp;BX$8&amp;"]"),Data_main[Data],$A152, Data_main[Segment],$B152, Data_main[Scenario],$B$3)),SUMIFS(INDIRECT("Data_main"&amp;"["&amp;BX$8&amp;"]"),Data_main[Data],$A152, Data_main[Segment],$B152, Data_main[Scenario],$B$3)),SUMIFS(INDIRECT("Data_main"&amp;"["&amp;BX$8&amp;"]"),Data_main[Data],$A152, Data_main[Segment],$B152, Data_main[Scenario],$B$3))</f>
        <v>0</v>
      </c>
      <c r="BY152" s="531">
        <f ca="1">IF($B$6="ON", IF(BY150&gt;=covid_start, IF(BY150&lt;covid_recovery,NA(),SUMIFS(INDIRECT("Data_main"&amp;"["&amp;BY$8&amp;"]"),Data_main[Data],$A152, Data_main[Segment],$B152, Data_main[Scenario],$B$3)),SUMIFS(INDIRECT("Data_main"&amp;"["&amp;BY$8&amp;"]"),Data_main[Data],$A152, Data_main[Segment],$B152, Data_main[Scenario],$B$3)),SUMIFS(INDIRECT("Data_main"&amp;"["&amp;BY$8&amp;"]"),Data_main[Data],$A152, Data_main[Segment],$B152, Data_main[Scenario],$B$3))</f>
        <v>0</v>
      </c>
      <c r="BZ152" s="531">
        <f ca="1">IF($B$6="ON", IF(BZ150&gt;=covid_start, IF(BZ150&lt;covid_recovery,NA(),SUMIFS(INDIRECT("Data_main"&amp;"["&amp;BZ$8&amp;"]"),Data_main[Data],$A152, Data_main[Segment],$B152, Data_main[Scenario],$B$3)),SUMIFS(INDIRECT("Data_main"&amp;"["&amp;BZ$8&amp;"]"),Data_main[Data],$A152, Data_main[Segment],$B152, Data_main[Scenario],$B$3)),SUMIFS(INDIRECT("Data_main"&amp;"["&amp;BZ$8&amp;"]"),Data_main[Data],$A152, Data_main[Segment],$B152, Data_main[Scenario],$B$3))</f>
        <v>0</v>
      </c>
      <c r="CA152" s="531">
        <f ca="1">IF($B$6="ON", IF(CA150&gt;=covid_start, IF(CA150&lt;covid_recovery,NA(),SUMIFS(INDIRECT("Data_main"&amp;"["&amp;CA$8&amp;"]"),Data_main[Data],$A152, Data_main[Segment],$B152, Data_main[Scenario],$B$3)),SUMIFS(INDIRECT("Data_main"&amp;"["&amp;CA$8&amp;"]"),Data_main[Data],$A152, Data_main[Segment],$B152, Data_main[Scenario],$B$3)),SUMIFS(INDIRECT("Data_main"&amp;"["&amp;CA$8&amp;"]"),Data_main[Data],$A152, Data_main[Segment],$B152, Data_main[Scenario],$B$3))</f>
        <v>0</v>
      </c>
      <c r="CB152" s="531">
        <f ca="1">IF($B$6="ON", IF(CB150&gt;=covid_start, IF(CB150&lt;covid_recovery,NA(),SUMIFS(INDIRECT("Data_main"&amp;"["&amp;CB$8&amp;"]"),Data_main[Data],$A152, Data_main[Segment],$B152, Data_main[Scenario],$B$3)),SUMIFS(INDIRECT("Data_main"&amp;"["&amp;CB$8&amp;"]"),Data_main[Data],$A152, Data_main[Segment],$B152, Data_main[Scenario],$B$3)),SUMIFS(INDIRECT("Data_main"&amp;"["&amp;CB$8&amp;"]"),Data_main[Data],$A152, Data_main[Segment],$B152, Data_main[Scenario],$B$3))</f>
        <v>0</v>
      </c>
      <c r="CC152" s="531">
        <f ca="1">IF($B$6="ON", IF(CC150&gt;=covid_start, IF(CC150&lt;covid_recovery,NA(),SUMIFS(INDIRECT("Data_main"&amp;"["&amp;CC$8&amp;"]"),Data_main[Data],$A152, Data_main[Segment],$B152, Data_main[Scenario],$B$3)),SUMIFS(INDIRECT("Data_main"&amp;"["&amp;CC$8&amp;"]"),Data_main[Data],$A152, Data_main[Segment],$B152, Data_main[Scenario],$B$3)),SUMIFS(INDIRECT("Data_main"&amp;"["&amp;CC$8&amp;"]"),Data_main[Data],$A152, Data_main[Segment],$B152, Data_main[Scenario],$B$3))</f>
        <v>0</v>
      </c>
      <c r="CD152" s="531">
        <f ca="1">IF($B$6="ON", IF(CD150&gt;=covid_start, IF(CD150&lt;covid_recovery,NA(),SUMIFS(INDIRECT("Data_main"&amp;"["&amp;CD$8&amp;"]"),Data_main[Data],$A152, Data_main[Segment],$B152, Data_main[Scenario],$B$3)),SUMIFS(INDIRECT("Data_main"&amp;"["&amp;CD$8&amp;"]"),Data_main[Data],$A152, Data_main[Segment],$B152, Data_main[Scenario],$B$3)),SUMIFS(INDIRECT("Data_main"&amp;"["&amp;CD$8&amp;"]"),Data_main[Data],$A152, Data_main[Segment],$B152, Data_main[Scenario],$B$3))</f>
        <v>0</v>
      </c>
      <c r="CE152" s="531">
        <f ca="1">IF($B$6="ON", IF(CE150&gt;=covid_start, IF(CE150&lt;covid_recovery,NA(),SUMIFS(INDIRECT("Data_main"&amp;"["&amp;CE$8&amp;"]"),Data_main[Data],$A152, Data_main[Segment],$B152, Data_main[Scenario],$B$3)),SUMIFS(INDIRECT("Data_main"&amp;"["&amp;CE$8&amp;"]"),Data_main[Data],$A152, Data_main[Segment],$B152, Data_main[Scenario],$B$3)),SUMIFS(INDIRECT("Data_main"&amp;"["&amp;CE$8&amp;"]"),Data_main[Data],$A152, Data_main[Segment],$B152, Data_main[Scenario],$B$3))</f>
        <v>0</v>
      </c>
      <c r="CF152" s="531">
        <f ca="1">IF($B$6="ON", IF(CF150&gt;=covid_start, IF(CF150&lt;covid_recovery,NA(),SUMIFS(INDIRECT("Data_main"&amp;"["&amp;CF$8&amp;"]"),Data_main[Data],$A152, Data_main[Segment],$B152, Data_main[Scenario],$B$3)),SUMIFS(INDIRECT("Data_main"&amp;"["&amp;CF$8&amp;"]"),Data_main[Data],$A152, Data_main[Segment],$B152, Data_main[Scenario],$B$3)),SUMIFS(INDIRECT("Data_main"&amp;"["&amp;CF$8&amp;"]"),Data_main[Data],$A152, Data_main[Segment],$B152, Data_main[Scenario],$B$3))</f>
        <v>0</v>
      </c>
      <c r="CG152" s="531">
        <f ca="1">IF($B$6="ON", IF(CG150&gt;=covid_start, IF(CG150&lt;covid_recovery,NA(),SUMIFS(INDIRECT("Data_main"&amp;"["&amp;CG$8&amp;"]"),Data_main[Data],$A152, Data_main[Segment],$B152, Data_main[Scenario],$B$3)),SUMIFS(INDIRECT("Data_main"&amp;"["&amp;CG$8&amp;"]"),Data_main[Data],$A152, Data_main[Segment],$B152, Data_main[Scenario],$B$3)),SUMIFS(INDIRECT("Data_main"&amp;"["&amp;CG$8&amp;"]"),Data_main[Data],$A152, Data_main[Segment],$B152, Data_main[Scenario],$B$3))</f>
        <v>0</v>
      </c>
      <c r="CH152" s="531">
        <f ca="1">IF($B$6="ON", IF(CH150&gt;=covid_start, IF(CH150&lt;covid_recovery,NA(),SUMIFS(INDIRECT("Data_main"&amp;"["&amp;CH$8&amp;"]"),Data_main[Data],$A152, Data_main[Segment],$B152, Data_main[Scenario],$B$3)),SUMIFS(INDIRECT("Data_main"&amp;"["&amp;CH$8&amp;"]"),Data_main[Data],$A152, Data_main[Segment],$B152, Data_main[Scenario],$B$3)),SUMIFS(INDIRECT("Data_main"&amp;"["&amp;CH$8&amp;"]"),Data_main[Data],$A152, Data_main[Segment],$B152, Data_main[Scenario],$B$3))</f>
        <v>0</v>
      </c>
      <c r="CI152" s="531">
        <f ca="1">IF($B$6="ON", IF(CI150&gt;=covid_start, IF(CI150&lt;covid_recovery,NA(),SUMIFS(INDIRECT("Data_main"&amp;"["&amp;CI$8&amp;"]"),Data_main[Data],$A152, Data_main[Segment],$B152, Data_main[Scenario],$B$3)),SUMIFS(INDIRECT("Data_main"&amp;"["&amp;CI$8&amp;"]"),Data_main[Data],$A152, Data_main[Segment],$B152, Data_main[Scenario],$B$3)),SUMIFS(INDIRECT("Data_main"&amp;"["&amp;CI$8&amp;"]"),Data_main[Data],$A152, Data_main[Segment],$B152, Data_main[Scenario],$B$3))</f>
        <v>0</v>
      </c>
      <c r="CJ152" s="531">
        <f ca="1">IF($B$6="ON", IF(CJ150&gt;=covid_start, IF(CJ150&lt;covid_recovery,NA(),SUMIFS(INDIRECT("Data_main"&amp;"["&amp;CJ$8&amp;"]"),Data_main[Data],$A152, Data_main[Segment],$B152, Data_main[Scenario],$B$3)),SUMIFS(INDIRECT("Data_main"&amp;"["&amp;CJ$8&amp;"]"),Data_main[Data],$A152, Data_main[Segment],$B152, Data_main[Scenario],$B$3)),SUMIFS(INDIRECT("Data_main"&amp;"["&amp;CJ$8&amp;"]"),Data_main[Data],$A152, Data_main[Segment],$B152, Data_main[Scenario],$B$3))</f>
        <v>0</v>
      </c>
      <c r="CK152" s="531">
        <f ca="1">IF($B$6="ON", IF(CK150&gt;=covid_start, IF(CK150&lt;covid_recovery,NA(),SUMIFS(INDIRECT("Data_main"&amp;"["&amp;CK$8&amp;"]"),Data_main[Data],$A152, Data_main[Segment],$B152, Data_main[Scenario],$B$3)),SUMIFS(INDIRECT("Data_main"&amp;"["&amp;CK$8&amp;"]"),Data_main[Data],$A152, Data_main[Segment],$B152, Data_main[Scenario],$B$3)),SUMIFS(INDIRECT("Data_main"&amp;"["&amp;CK$8&amp;"]"),Data_main[Data],$A152, Data_main[Segment],$B152, Data_main[Scenario],$B$3))</f>
        <v>0</v>
      </c>
      <c r="CL152" s="531">
        <f ca="1">IF($B$6="ON", IF(CL150&gt;=covid_start, IF(CL150&lt;covid_recovery,NA(),SUMIFS(INDIRECT("Data_main"&amp;"["&amp;CL$8&amp;"]"),Data_main[Data],$A152, Data_main[Segment],$B152, Data_main[Scenario],$B$3)),SUMIFS(INDIRECT("Data_main"&amp;"["&amp;CL$8&amp;"]"),Data_main[Data],$A152, Data_main[Segment],$B152, Data_main[Scenario],$B$3)),SUMIFS(INDIRECT("Data_main"&amp;"["&amp;CL$8&amp;"]"),Data_main[Data],$A152, Data_main[Segment],$B152, Data_main[Scenario],$B$3))</f>
        <v>0</v>
      </c>
      <c r="CN152" s="613">
        <f ca="1">IFERROR((Y152/H152)^(1/17)-1,"")</f>
        <v>2.0789671507730256E-2</v>
      </c>
      <c r="CO152" s="613">
        <f ca="1">IFERROR((AN152/Y152)^(1/15)-1,"")</f>
        <v>2.7300190311734696E-2</v>
      </c>
      <c r="CP152" s="613">
        <f ca="1">IFERROR((AN152/H152)^(1/32)-1,"")</f>
        <v>2.3836323786496472E-2</v>
      </c>
    </row>
    <row r="153" spans="1:94">
      <c r="A153" s="532" t="s">
        <v>158</v>
      </c>
      <c r="B153" s="532" t="str">
        <f t="shared" si="491"/>
        <v>Ded-long</v>
      </c>
      <c r="C153" s="533" t="s">
        <v>312</v>
      </c>
      <c r="D153" s="530" t="s">
        <v>313</v>
      </c>
      <c r="E153" s="531">
        <f ca="1">IF($B$6="ON", IF(E150&gt;=covid_start, IF(E150&lt;covid_recovery,NA(),SUMIFS(INDIRECT("Data_main"&amp;"["&amp;E$8&amp;"]"),Data_main[Data],$A153, Data_main[Segment],$B153, Data_main[Scenario],$B$3)),SUMIFS(INDIRECT("Data_main"&amp;"["&amp;E$8&amp;"]"),Data_main[Data],$A153, Data_main[Segment],$B153, Data_main[Scenario],$B$3)),SUMIFS(INDIRECT("Data_main"&amp;"["&amp;E$8&amp;"]"),Data_main[Data],$A153, Data_main[Segment],$B153, Data_main[Scenario],$B$3))</f>
        <v>617.74112327702801</v>
      </c>
      <c r="F153" s="531">
        <f ca="1">IF($B$6="ON", IF(F150&gt;=covid_start, IF(F150&lt;covid_recovery,NA(),SUMIFS(INDIRECT("Data_main"&amp;"["&amp;F$8&amp;"]"),Data_main[Data],$A153, Data_main[Segment],$B153, Data_main[Scenario],$B$3)),SUMIFS(INDIRECT("Data_main"&amp;"["&amp;F$8&amp;"]"),Data_main[Data],$A153, Data_main[Segment],$B153, Data_main[Scenario],$B$3)),SUMIFS(INDIRECT("Data_main"&amp;"["&amp;F$8&amp;"]"),Data_main[Data],$A153, Data_main[Segment],$B153, Data_main[Scenario],$B$3))</f>
        <v>595.94914412829348</v>
      </c>
      <c r="G153" s="531">
        <f ca="1">IF($B$6="ON", IF(G150&gt;=covid_start, IF(G150&lt;covid_recovery,NA(),SUMIFS(INDIRECT("Data_main"&amp;"["&amp;G$8&amp;"]"),Data_main[Data],$A153, Data_main[Segment],$B153, Data_main[Scenario],$B$3)),SUMIFS(INDIRECT("Data_main"&amp;"["&amp;G$8&amp;"]"),Data_main[Data],$A153, Data_main[Segment],$B153, Data_main[Scenario],$B$3)),SUMIFS(INDIRECT("Data_main"&amp;"["&amp;G$8&amp;"]"),Data_main[Data],$A153, Data_main[Segment],$B153, Data_main[Scenario],$B$3))</f>
        <v>576.62914325116969</v>
      </c>
      <c r="H153" s="531">
        <f ca="1">IF($B$6="ON", IF(H150&gt;=covid_start, IF(H150&lt;covid_recovery,NA(),SUMIFS(INDIRECT("Data_main"&amp;"["&amp;H$8&amp;"]"),Data_main[Data],$A153, Data_main[Segment],$B153, Data_main[Scenario],$B$3)),SUMIFS(INDIRECT("Data_main"&amp;"["&amp;H$8&amp;"]"),Data_main[Data],$A153, Data_main[Segment],$B153, Data_main[Scenario],$B$3)),SUMIFS(INDIRECT("Data_main"&amp;"["&amp;H$8&amp;"]"),Data_main[Data],$A153, Data_main[Segment],$B153, Data_main[Scenario],$B$3))</f>
        <v>559.38308227988705</v>
      </c>
      <c r="I153" s="531">
        <f ca="1">IF($B$6="ON", IF(I150&gt;=covid_start, IF(I150&lt;covid_recovery,NA(),SUMIFS(INDIRECT("Data_main"&amp;"["&amp;I$8&amp;"]"),Data_main[Data],$A153, Data_main[Segment],$B153, Data_main[Scenario],$B$3)),SUMIFS(INDIRECT("Data_main"&amp;"["&amp;I$8&amp;"]"),Data_main[Data],$A153, Data_main[Segment],$B153, Data_main[Scenario],$B$3)),SUMIFS(INDIRECT("Data_main"&amp;"["&amp;I$8&amp;"]"),Data_main[Data],$A153, Data_main[Segment],$B153, Data_main[Scenario],$B$3))</f>
        <v>584.95599084340938</v>
      </c>
      <c r="J153" s="531" t="e">
        <f ca="1">IF($B$6="ON", IF(J150&gt;=covid_start, IF(J150&lt;covid_recovery,NA(),SUMIFS(INDIRECT("Data_main"&amp;"["&amp;J$8&amp;"]"),Data_main[Data],$A153, Data_main[Segment],$B153, Data_main[Scenario],$B$3)),SUMIFS(INDIRECT("Data_main"&amp;"["&amp;J$8&amp;"]"),Data_main[Data],$A153, Data_main[Segment],$B153, Data_main[Scenario],$B$3)),SUMIFS(INDIRECT("Data_main"&amp;"["&amp;J$8&amp;"]"),Data_main[Data],$A153, Data_main[Segment],$B153, Data_main[Scenario],$B$3))</f>
        <v>#N/A</v>
      </c>
      <c r="K153" s="531" t="e">
        <f ca="1">IF($B$6="ON", IF(K150&gt;=covid_start, IF(K150&lt;covid_recovery,NA(),SUMIFS(INDIRECT("Data_main"&amp;"["&amp;K$8&amp;"]"),Data_main[Data],$A153, Data_main[Segment],$B153, Data_main[Scenario],$B$3)),SUMIFS(INDIRECT("Data_main"&amp;"["&amp;K$8&amp;"]"),Data_main[Data],$A153, Data_main[Segment],$B153, Data_main[Scenario],$B$3)),SUMIFS(INDIRECT("Data_main"&amp;"["&amp;K$8&amp;"]"),Data_main[Data],$A153, Data_main[Segment],$B153, Data_main[Scenario],$B$3))</f>
        <v>#N/A</v>
      </c>
      <c r="L153" s="531" t="e">
        <f ca="1">IF($B$6="ON", IF(L150&gt;=covid_start, IF(L150&lt;covid_recovery,NA(),SUMIFS(INDIRECT("Data_main"&amp;"["&amp;L$8&amp;"]"),Data_main[Data],$A153, Data_main[Segment],$B153, Data_main[Scenario],$B$3)),SUMIFS(INDIRECT("Data_main"&amp;"["&amp;L$8&amp;"]"),Data_main[Data],$A153, Data_main[Segment],$B153, Data_main[Scenario],$B$3)),SUMIFS(INDIRECT("Data_main"&amp;"["&amp;L$8&amp;"]"),Data_main[Data],$A153, Data_main[Segment],$B153, Data_main[Scenario],$B$3))</f>
        <v>#N/A</v>
      </c>
      <c r="M153" s="531">
        <f ca="1">IF($B$6="ON", IF(M150&gt;=covid_start, IF(M150&lt;covid_recovery,NA(),SUMIFS(INDIRECT("Data_main"&amp;"["&amp;M$8&amp;"]"),Data_main[Data],$A153, Data_main[Segment],$B153, Data_main[Scenario],$B$3)),SUMIFS(INDIRECT("Data_main"&amp;"["&amp;M$8&amp;"]"),Data_main[Data],$A153, Data_main[Segment],$B153, Data_main[Scenario],$B$3)),SUMIFS(INDIRECT("Data_main"&amp;"["&amp;M$8&amp;"]"),Data_main[Data],$A153, Data_main[Segment],$B153, Data_main[Scenario],$B$3))</f>
        <v>509.41309666663813</v>
      </c>
      <c r="N153" s="531">
        <f ca="1">IF($B$6="ON", IF(N150&gt;=covid_start, IF(N150&lt;covid_recovery,NA(),SUMIFS(INDIRECT("Data_main"&amp;"["&amp;N$8&amp;"]"),Data_main[Data],$A153, Data_main[Segment],$B153, Data_main[Scenario],$B$3)),SUMIFS(INDIRECT("Data_main"&amp;"["&amp;N$8&amp;"]"),Data_main[Data],$A153, Data_main[Segment],$B153, Data_main[Scenario],$B$3)),SUMIFS(INDIRECT("Data_main"&amp;"["&amp;N$8&amp;"]"),Data_main[Data],$A153, Data_main[Segment],$B153, Data_main[Scenario],$B$3))</f>
        <v>493.16723696776518</v>
      </c>
      <c r="O153" s="531">
        <f ca="1">IF($B$6="ON", IF(O150&gt;=covid_start, IF(O150&lt;covid_recovery,NA(),SUMIFS(INDIRECT("Data_main"&amp;"["&amp;O$8&amp;"]"),Data_main[Data],$A153, Data_main[Segment],$B153, Data_main[Scenario],$B$3)),SUMIFS(INDIRECT("Data_main"&amp;"["&amp;O$8&amp;"]"),Data_main[Data],$A153, Data_main[Segment],$B153, Data_main[Scenario],$B$3)),SUMIFS(INDIRECT("Data_main"&amp;"["&amp;O$8&amp;"]"),Data_main[Data],$A153, Data_main[Segment],$B153, Data_main[Scenario],$B$3))</f>
        <v>477.80501852840638</v>
      </c>
      <c r="P153" s="531">
        <f ca="1">IF($B$6="ON", IF(P150&gt;=covid_start, IF(P150&lt;covid_recovery,NA(),SUMIFS(INDIRECT("Data_main"&amp;"["&amp;P$8&amp;"]"),Data_main[Data],$A153, Data_main[Segment],$B153, Data_main[Scenario],$B$3)),SUMIFS(INDIRECT("Data_main"&amp;"["&amp;P$8&amp;"]"),Data_main[Data],$A153, Data_main[Segment],$B153, Data_main[Scenario],$B$3)),SUMIFS(INDIRECT("Data_main"&amp;"["&amp;P$8&amp;"]"),Data_main[Data],$A153, Data_main[Segment],$B153, Data_main[Scenario],$B$3))</f>
        <v>463.25625587100029</v>
      </c>
      <c r="Q153" s="531">
        <f ca="1">IF($B$6="ON", IF(Q150&gt;=covid_start, IF(Q150&lt;covid_recovery,NA(),SUMIFS(INDIRECT("Data_main"&amp;"["&amp;Q$8&amp;"]"),Data_main[Data],$A153, Data_main[Segment],$B153, Data_main[Scenario],$B$3)),SUMIFS(INDIRECT("Data_main"&amp;"["&amp;Q$8&amp;"]"),Data_main[Data],$A153, Data_main[Segment],$B153, Data_main[Scenario],$B$3)),SUMIFS(INDIRECT("Data_main"&amp;"["&amp;Q$8&amp;"]"),Data_main[Data],$A153, Data_main[Segment],$B153, Data_main[Scenario],$B$3))</f>
        <v>449.45800468442951</v>
      </c>
      <c r="R153" s="531">
        <f ca="1">IF($B$6="ON", IF(R150&gt;=covid_start, IF(R150&lt;covid_recovery,NA(),SUMIFS(INDIRECT("Data_main"&amp;"["&amp;R$8&amp;"]"),Data_main[Data],$A153, Data_main[Segment],$B153, Data_main[Scenario],$B$3)),SUMIFS(INDIRECT("Data_main"&amp;"["&amp;R$8&amp;"]"),Data_main[Data],$A153, Data_main[Segment],$B153, Data_main[Scenario],$B$3)),SUMIFS(INDIRECT("Data_main"&amp;"["&amp;R$8&amp;"]"),Data_main[Data],$A153, Data_main[Segment],$B153, Data_main[Scenario],$B$3))</f>
        <v>436.35365144949753</v>
      </c>
      <c r="S153" s="531">
        <f ca="1">IF($B$6="ON", IF(S150&gt;=covid_start, IF(S150&lt;covid_recovery,NA(),SUMIFS(INDIRECT("Data_main"&amp;"["&amp;S$8&amp;"]"),Data_main[Data],$A153, Data_main[Segment],$B153, Data_main[Scenario],$B$3)),SUMIFS(INDIRECT("Data_main"&amp;"["&amp;S$8&amp;"]"),Data_main[Data],$A153, Data_main[Segment],$B153, Data_main[Scenario],$B$3)),SUMIFS(INDIRECT("Data_main"&amp;"["&amp;S$8&amp;"]"),Data_main[Data],$A153, Data_main[Segment],$B153, Data_main[Scenario],$B$3))</f>
        <v>423.89213704066054</v>
      </c>
      <c r="T153" s="531">
        <f ca="1">IF($B$6="ON", IF(T150&gt;=covid_start, IF(T150&lt;covid_recovery,NA(),SUMIFS(INDIRECT("Data_main"&amp;"["&amp;T$8&amp;"]"),Data_main[Data],$A153, Data_main[Segment],$B153, Data_main[Scenario],$B$3)),SUMIFS(INDIRECT("Data_main"&amp;"["&amp;T$8&amp;"]"),Data_main[Data],$A153, Data_main[Segment],$B153, Data_main[Scenario],$B$3)),SUMIFS(INDIRECT("Data_main"&amp;"["&amp;T$8&amp;"]"),Data_main[Data],$A153, Data_main[Segment],$B153, Data_main[Scenario],$B$3))</f>
        <v>412.02729185183631</v>
      </c>
      <c r="U153" s="531">
        <f ca="1">IF($B$6="ON", IF(U150&gt;=covid_start, IF(U150&lt;covid_recovery,NA(),SUMIFS(INDIRECT("Data_main"&amp;"["&amp;U$8&amp;"]"),Data_main[Data],$A153, Data_main[Segment],$B153, Data_main[Scenario],$B$3)),SUMIFS(INDIRECT("Data_main"&amp;"["&amp;U$8&amp;"]"),Data_main[Data],$A153, Data_main[Segment],$B153, Data_main[Scenario],$B$3)),SUMIFS(INDIRECT("Data_main"&amp;"["&amp;U$8&amp;"]"),Data_main[Data],$A153, Data_main[Segment],$B153, Data_main[Scenario],$B$3))</f>
        <v>395.68554787465416</v>
      </c>
      <c r="V153" s="531">
        <f ca="1">IF($B$6="ON", IF(V150&gt;=covid_start, IF(V150&lt;covid_recovery,NA(),SUMIFS(INDIRECT("Data_main"&amp;"["&amp;V$8&amp;"]"),Data_main[Data],$A153, Data_main[Segment],$B153, Data_main[Scenario],$B$3)),SUMIFS(INDIRECT("Data_main"&amp;"["&amp;V$8&amp;"]"),Data_main[Data],$A153, Data_main[Segment],$B153, Data_main[Scenario],$B$3)),SUMIFS(INDIRECT("Data_main"&amp;"["&amp;V$8&amp;"]"),Data_main[Data],$A153, Data_main[Segment],$B153, Data_main[Scenario],$B$3))</f>
        <v>380.2792209893006</v>
      </c>
      <c r="W153" s="531">
        <f ca="1">IF($B$6="ON", IF(W150&gt;=covid_start, IF(W150&lt;covid_recovery,NA(),SUMIFS(INDIRECT("Data_main"&amp;"["&amp;W$8&amp;"]"),Data_main[Data],$A153, Data_main[Segment],$B153, Data_main[Scenario],$B$3)),SUMIFS(INDIRECT("Data_main"&amp;"["&amp;W$8&amp;"]"),Data_main[Data],$A153, Data_main[Segment],$B153, Data_main[Scenario],$B$3)),SUMIFS(INDIRECT("Data_main"&amp;"["&amp;W$8&amp;"]"),Data_main[Data],$A153, Data_main[Segment],$B153, Data_main[Scenario],$B$3))</f>
        <v>365.73022966981813</v>
      </c>
      <c r="X153" s="531">
        <f ca="1">IF($B$6="ON", IF(X150&gt;=covid_start, IF(X150&lt;covid_recovery,NA(),SUMIFS(INDIRECT("Data_main"&amp;"["&amp;X$8&amp;"]"),Data_main[Data],$A153, Data_main[Segment],$B153, Data_main[Scenario],$B$3)),SUMIFS(INDIRECT("Data_main"&amp;"["&amp;X$8&amp;"]"),Data_main[Data],$A153, Data_main[Segment],$B153, Data_main[Scenario],$B$3)),SUMIFS(INDIRECT("Data_main"&amp;"["&amp;X$8&amp;"]"),Data_main[Data],$A153, Data_main[Segment],$B153, Data_main[Scenario],$B$3))</f>
        <v>351.9689473434251</v>
      </c>
      <c r="Y153" s="531">
        <f ca="1">IF($B$6="ON", IF(Y150&gt;=covid_start, IF(Y150&lt;covid_recovery,NA(),SUMIFS(INDIRECT("Data_main"&amp;"["&amp;Y$8&amp;"]"),Data_main[Data],$A153, Data_main[Segment],$B153, Data_main[Scenario],$B$3)),SUMIFS(INDIRECT("Data_main"&amp;"["&amp;Y$8&amp;"]"),Data_main[Data],$A153, Data_main[Segment],$B153, Data_main[Scenario],$B$3)),SUMIFS(INDIRECT("Data_main"&amp;"["&amp;Y$8&amp;"]"),Data_main[Data],$A153, Data_main[Segment],$B153, Data_main[Scenario],$B$3))</f>
        <v>338.93308813779521</v>
      </c>
      <c r="Z153" s="531">
        <f ca="1">IF($B$6="ON", IF(Z150&gt;=covid_start, IF(Z150&lt;covid_recovery,NA(),SUMIFS(INDIRECT("Data_main"&amp;"["&amp;Z$8&amp;"]"),Data_main[Data],$A153, Data_main[Segment],$B153, Data_main[Scenario],$B$3)),SUMIFS(INDIRECT("Data_main"&amp;"["&amp;Z$8&amp;"]"),Data_main[Data],$A153, Data_main[Segment],$B153, Data_main[Scenario],$B$3)),SUMIFS(INDIRECT("Data_main"&amp;"["&amp;Z$8&amp;"]"),Data_main[Data],$A153, Data_main[Segment],$B153, Data_main[Scenario],$B$3))</f>
        <v>326.56676431589489</v>
      </c>
      <c r="AA153" s="531">
        <f ca="1">IF($B$6="ON", IF(AA150&gt;=covid_start, IF(AA150&lt;covid_recovery,NA(),SUMIFS(INDIRECT("Data_main"&amp;"["&amp;AA$8&amp;"]"),Data_main[Data],$A153, Data_main[Segment],$B153, Data_main[Scenario],$B$3)),SUMIFS(INDIRECT("Data_main"&amp;"["&amp;AA$8&amp;"]"),Data_main[Data],$A153, Data_main[Segment],$B153, Data_main[Scenario],$B$3)),SUMIFS(INDIRECT("Data_main"&amp;"["&amp;AA$8&amp;"]"),Data_main[Data],$A153, Data_main[Segment],$B153, Data_main[Scenario],$B$3))</f>
        <v>314.81968530793569</v>
      </c>
      <c r="AB153" s="531">
        <f ca="1">IF($B$6="ON", IF(AB150&gt;=covid_start, IF(AB150&lt;covid_recovery,NA(),SUMIFS(INDIRECT("Data_main"&amp;"["&amp;AB$8&amp;"]"),Data_main[Data],$A153, Data_main[Segment],$B153, Data_main[Scenario],$B$3)),SUMIFS(INDIRECT("Data_main"&amp;"["&amp;AB$8&amp;"]"),Data_main[Data],$A153, Data_main[Segment],$B153, Data_main[Scenario],$B$3)),SUMIFS(INDIRECT("Data_main"&amp;"["&amp;AB$8&amp;"]"),Data_main[Data],$A153, Data_main[Segment],$B153, Data_main[Scenario],$B$3))</f>
        <v>303.64647412990445</v>
      </c>
      <c r="AC153" s="531">
        <f ca="1">IF($B$6="ON", IF(AC150&gt;=covid_start, IF(AC150&lt;covid_recovery,NA(),SUMIFS(INDIRECT("Data_main"&amp;"["&amp;AC$8&amp;"]"),Data_main[Data],$A153, Data_main[Segment],$B153, Data_main[Scenario],$B$3)),SUMIFS(INDIRECT("Data_main"&amp;"["&amp;AC$8&amp;"]"),Data_main[Data],$A153, Data_main[Segment],$B153, Data_main[Scenario],$B$3)),SUMIFS(INDIRECT("Data_main"&amp;"["&amp;AC$8&amp;"]"),Data_main[Data],$A153, Data_main[Segment],$B153, Data_main[Scenario],$B$3))</f>
        <v>293.00608159625432</v>
      </c>
      <c r="AD153" s="531">
        <f ca="1">IF($B$6="ON", IF(AD150&gt;=covid_start, IF(AD150&lt;covid_recovery,NA(),SUMIFS(INDIRECT("Data_main"&amp;"["&amp;AD$8&amp;"]"),Data_main[Data],$A153, Data_main[Segment],$B153, Data_main[Scenario],$B$3)),SUMIFS(INDIRECT("Data_main"&amp;"["&amp;AD$8&amp;"]"),Data_main[Data],$A153, Data_main[Segment],$B153, Data_main[Scenario],$B$3)),SUMIFS(INDIRECT("Data_main"&amp;"["&amp;AD$8&amp;"]"),Data_main[Data],$A153, Data_main[Segment],$B153, Data_main[Scenario],$B$3))</f>
        <v>282.86128238454643</v>
      </c>
      <c r="AE153" s="531">
        <f ca="1">IF($B$6="ON", IF(AE150&gt;=covid_start, IF(AE150&lt;covid_recovery,NA(),SUMIFS(INDIRECT("Data_main"&amp;"["&amp;AE$8&amp;"]"),Data_main[Data],$A153, Data_main[Segment],$B153, Data_main[Scenario],$B$3)),SUMIFS(INDIRECT("Data_main"&amp;"["&amp;AE$8&amp;"]"),Data_main[Data],$A153, Data_main[Segment],$B153, Data_main[Scenario],$B$3)),SUMIFS(INDIRECT("Data_main"&amp;"["&amp;AE$8&amp;"]"),Data_main[Data],$A153, Data_main[Segment],$B153, Data_main[Scenario],$B$3))</f>
        <v>272.70750015949955</v>
      </c>
      <c r="AF153" s="531">
        <f ca="1">IF($B$6="ON", IF(AF150&gt;=covid_start, IF(AF150&lt;covid_recovery,NA(),SUMIFS(INDIRECT("Data_main"&amp;"["&amp;AF$8&amp;"]"),Data_main[Data],$A153, Data_main[Segment],$B153, Data_main[Scenario],$B$3)),SUMIFS(INDIRECT("Data_main"&amp;"["&amp;AF$8&amp;"]"),Data_main[Data],$A153, Data_main[Segment],$B153, Data_main[Scenario],$B$3)),SUMIFS(INDIRECT("Data_main"&amp;"["&amp;AF$8&amp;"]"),Data_main[Data],$A153, Data_main[Segment],$B153, Data_main[Scenario],$B$3))</f>
        <v>263.17059247449896</v>
      </c>
      <c r="AG153" s="531">
        <f ca="1">IF($B$6="ON", IF(AG150&gt;=covid_start, IF(AG150&lt;covid_recovery,NA(),SUMIFS(INDIRECT("Data_main"&amp;"["&amp;AG$8&amp;"]"),Data_main[Data],$A153, Data_main[Segment],$B153, Data_main[Scenario],$B$3)),SUMIFS(INDIRECT("Data_main"&amp;"["&amp;AG$8&amp;"]"),Data_main[Data],$A153, Data_main[Segment],$B153, Data_main[Scenario],$B$3)),SUMIFS(INDIRECT("Data_main"&amp;"["&amp;AG$8&amp;"]"),Data_main[Data],$A153, Data_main[Segment],$B153, Data_main[Scenario],$B$3))</f>
        <v>254.19600099252031</v>
      </c>
      <c r="AH153" s="531">
        <f ca="1">IF($B$6="ON", IF(AH150&gt;=covid_start, IF(AH150&lt;covid_recovery,NA(),SUMIFS(INDIRECT("Data_main"&amp;"["&amp;AH$8&amp;"]"),Data_main[Data],$A153, Data_main[Segment],$B153, Data_main[Scenario],$B$3)),SUMIFS(INDIRECT("Data_main"&amp;"["&amp;AH$8&amp;"]"),Data_main[Data],$A153, Data_main[Segment],$B153, Data_main[Scenario],$B$3)),SUMIFS(INDIRECT("Data_main"&amp;"["&amp;AH$8&amp;"]"),Data_main[Data],$A153, Data_main[Segment],$B153, Data_main[Scenario],$B$3))</f>
        <v>245.73541688384202</v>
      </c>
      <c r="AI153" s="531">
        <f ca="1">IF($B$6="ON", IF(AI150&gt;=covid_start, IF(AI150&lt;covid_recovery,NA(),SUMIFS(INDIRECT("Data_main"&amp;"["&amp;AI$8&amp;"]"),Data_main[Data],$A153, Data_main[Segment],$B153, Data_main[Scenario],$B$3)),SUMIFS(INDIRECT("Data_main"&amp;"["&amp;AI$8&amp;"]"),Data_main[Data],$A153, Data_main[Segment],$B153, Data_main[Scenario],$B$3)),SUMIFS(INDIRECT("Data_main"&amp;"["&amp;AI$8&amp;"]"),Data_main[Data],$A153, Data_main[Segment],$B153, Data_main[Scenario],$B$3))</f>
        <v>237.7459109079083</v>
      </c>
      <c r="AJ153" s="531">
        <f ca="1">IF($B$6="ON", IF(AJ150&gt;=covid_start, IF(AJ150&lt;covid_recovery,NA(),SUMIFS(INDIRECT("Data_main"&amp;"["&amp;AJ$8&amp;"]"),Data_main[Data],$A153, Data_main[Segment],$B153, Data_main[Scenario],$B$3)),SUMIFS(INDIRECT("Data_main"&amp;"["&amp;AJ$8&amp;"]"),Data_main[Data],$A153, Data_main[Segment],$B153, Data_main[Scenario],$B$3)),SUMIFS(INDIRECT("Data_main"&amp;"["&amp;AJ$8&amp;"]"),Data_main[Data],$A153, Data_main[Segment],$B153, Data_main[Scenario],$B$3))</f>
        <v>230.1892048683288</v>
      </c>
      <c r="AK153" s="531">
        <f ca="1">IF($B$6="ON", IF(AK150&gt;=covid_start, IF(AK150&lt;covid_recovery,NA(),SUMIFS(INDIRECT("Data_main"&amp;"["&amp;AK$8&amp;"]"),Data_main[Data],$A153, Data_main[Segment],$B153, Data_main[Scenario],$B$3)),SUMIFS(INDIRECT("Data_main"&amp;"["&amp;AK$8&amp;"]"),Data_main[Data],$A153, Data_main[Segment],$B153, Data_main[Scenario],$B$3)),SUMIFS(INDIRECT("Data_main"&amp;"["&amp;AK$8&amp;"]"),Data_main[Data],$A153, Data_main[Segment],$B153, Data_main[Scenario],$B$3))</f>
        <v>223.03105834372005</v>
      </c>
      <c r="AL153" s="531">
        <f ca="1">IF($B$6="ON", IF(AL150&gt;=covid_start, IF(AL150&lt;covid_recovery,NA(),SUMIFS(INDIRECT("Data_main"&amp;"["&amp;AL$8&amp;"]"),Data_main[Data],$A153, Data_main[Segment],$B153, Data_main[Scenario],$B$3)),SUMIFS(INDIRECT("Data_main"&amp;"["&amp;AL$8&amp;"]"),Data_main[Data],$A153, Data_main[Segment],$B153, Data_main[Scenario],$B$3)),SUMIFS(INDIRECT("Data_main"&amp;"["&amp;AL$8&amp;"]"),Data_main[Data],$A153, Data_main[Segment],$B153, Data_main[Scenario],$B$3))</f>
        <v>216.24074996136525</v>
      </c>
      <c r="AM153" s="531">
        <f ca="1">IF($B$6="ON", IF(AM150&gt;=covid_start, IF(AM150&lt;covid_recovery,NA(),SUMIFS(INDIRECT("Data_main"&amp;"["&amp;AM$8&amp;"]"),Data_main[Data],$A153, Data_main[Segment],$B153, Data_main[Scenario],$B$3)),SUMIFS(INDIRECT("Data_main"&amp;"["&amp;AM$8&amp;"]"),Data_main[Data],$A153, Data_main[Segment],$B153, Data_main[Scenario],$B$3)),SUMIFS(INDIRECT("Data_main"&amp;"["&amp;AM$8&amp;"]"),Data_main[Data],$A153, Data_main[Segment],$B153, Data_main[Scenario],$B$3))</f>
        <v>209.79063663558199</v>
      </c>
      <c r="AN153" s="531">
        <f ca="1">IF($B$6="ON", IF(AN150&gt;=covid_start, IF(AN150&lt;covid_recovery,NA(),SUMIFS(INDIRECT("Data_main"&amp;"["&amp;AN$8&amp;"]"),Data_main[Data],$A153, Data_main[Segment],$B153, Data_main[Scenario],$B$3)),SUMIFS(INDIRECT("Data_main"&amp;"["&amp;AN$8&amp;"]"),Data_main[Data],$A153, Data_main[Segment],$B153, Data_main[Scenario],$B$3)),SUMIFS(INDIRECT("Data_main"&amp;"["&amp;AN$8&amp;"]"),Data_main[Data],$A153, Data_main[Segment],$B153, Data_main[Scenario],$B$3))</f>
        <v>203.65577743375763</v>
      </c>
      <c r="AO153" s="531">
        <f ca="1">IF($B$6="ON", IF(AO150&gt;=covid_start, IF(AO150&lt;covid_recovery,NA(),SUMIFS(INDIRECT("Data_main"&amp;"["&amp;AO$8&amp;"]"),Data_main[Data],$A153, Data_main[Segment],$B153, Data_main[Scenario],$B$3)),SUMIFS(INDIRECT("Data_main"&amp;"["&amp;AO$8&amp;"]"),Data_main[Data],$A153, Data_main[Segment],$B153, Data_main[Scenario],$B$3)),SUMIFS(INDIRECT("Data_main"&amp;"["&amp;AO$8&amp;"]"),Data_main[Data],$A153, Data_main[Segment],$B153, Data_main[Scenario],$B$3))</f>
        <v>0</v>
      </c>
      <c r="AP153" s="531">
        <f ca="1">IF($B$6="ON", IF(AP150&gt;=covid_start, IF(AP150&lt;covid_recovery,NA(),SUMIFS(INDIRECT("Data_main"&amp;"["&amp;AP$8&amp;"]"),Data_main[Data],$A153, Data_main[Segment],$B153, Data_main[Scenario],$B$3)),SUMIFS(INDIRECT("Data_main"&amp;"["&amp;AP$8&amp;"]"),Data_main[Data],$A153, Data_main[Segment],$B153, Data_main[Scenario],$B$3)),SUMIFS(INDIRECT("Data_main"&amp;"["&amp;AP$8&amp;"]"),Data_main[Data],$A153, Data_main[Segment],$B153, Data_main[Scenario],$B$3))</f>
        <v>0</v>
      </c>
      <c r="AQ153" s="531">
        <f ca="1">IF($B$6="ON", IF(AQ150&gt;=covid_start, IF(AQ150&lt;covid_recovery,NA(),SUMIFS(INDIRECT("Data_main"&amp;"["&amp;AQ$8&amp;"]"),Data_main[Data],$A153, Data_main[Segment],$B153, Data_main[Scenario],$B$3)),SUMIFS(INDIRECT("Data_main"&amp;"["&amp;AQ$8&amp;"]"),Data_main[Data],$A153, Data_main[Segment],$B153, Data_main[Scenario],$B$3)),SUMIFS(INDIRECT("Data_main"&amp;"["&amp;AQ$8&amp;"]"),Data_main[Data],$A153, Data_main[Segment],$B153, Data_main[Scenario],$B$3))</f>
        <v>0</v>
      </c>
      <c r="AR153" s="531">
        <f ca="1">IF($B$6="ON", IF(AR150&gt;=covid_start, IF(AR150&lt;covid_recovery,NA(),SUMIFS(INDIRECT("Data_main"&amp;"["&amp;AR$8&amp;"]"),Data_main[Data],$A153, Data_main[Segment],$B153, Data_main[Scenario],$B$3)),SUMIFS(INDIRECT("Data_main"&amp;"["&amp;AR$8&amp;"]"),Data_main[Data],$A153, Data_main[Segment],$B153, Data_main[Scenario],$B$3)),SUMIFS(INDIRECT("Data_main"&amp;"["&amp;AR$8&amp;"]"),Data_main[Data],$A153, Data_main[Segment],$B153, Data_main[Scenario],$B$3))</f>
        <v>0</v>
      </c>
      <c r="AS153" s="531">
        <f ca="1">IF($B$6="ON", IF(AS150&gt;=covid_start, IF(AS150&lt;covid_recovery,NA(),SUMIFS(INDIRECT("Data_main"&amp;"["&amp;AS$8&amp;"]"),Data_main[Data],$A153, Data_main[Segment],$B153, Data_main[Scenario],$B$3)),SUMIFS(INDIRECT("Data_main"&amp;"["&amp;AS$8&amp;"]"),Data_main[Data],$A153, Data_main[Segment],$B153, Data_main[Scenario],$B$3)),SUMIFS(INDIRECT("Data_main"&amp;"["&amp;AS$8&amp;"]"),Data_main[Data],$A153, Data_main[Segment],$B153, Data_main[Scenario],$B$3))</f>
        <v>0</v>
      </c>
      <c r="AT153" s="531">
        <f ca="1">IF($B$6="ON", IF(AT150&gt;=covid_start, IF(AT150&lt;covid_recovery,NA(),SUMIFS(INDIRECT("Data_main"&amp;"["&amp;AT$8&amp;"]"),Data_main[Data],$A153, Data_main[Segment],$B153, Data_main[Scenario],$B$3)),SUMIFS(INDIRECT("Data_main"&amp;"["&amp;AT$8&amp;"]"),Data_main[Data],$A153, Data_main[Segment],$B153, Data_main[Scenario],$B$3)),SUMIFS(INDIRECT("Data_main"&amp;"["&amp;AT$8&amp;"]"),Data_main[Data],$A153, Data_main[Segment],$B153, Data_main[Scenario],$B$3))</f>
        <v>0</v>
      </c>
      <c r="AU153" s="531">
        <f ca="1">IF($B$6="ON", IF(AU150&gt;=covid_start, IF(AU150&lt;covid_recovery,NA(),SUMIFS(INDIRECT("Data_main"&amp;"["&amp;AU$8&amp;"]"),Data_main[Data],$A153, Data_main[Segment],$B153, Data_main[Scenario],$B$3)),SUMIFS(INDIRECT("Data_main"&amp;"["&amp;AU$8&amp;"]"),Data_main[Data],$A153, Data_main[Segment],$B153, Data_main[Scenario],$B$3)),SUMIFS(INDIRECT("Data_main"&amp;"["&amp;AU$8&amp;"]"),Data_main[Data],$A153, Data_main[Segment],$B153, Data_main[Scenario],$B$3))</f>
        <v>0</v>
      </c>
      <c r="AV153" s="531">
        <f ca="1">IF($B$6="ON", IF(AV150&gt;=covid_start, IF(AV150&lt;covid_recovery,NA(),SUMIFS(INDIRECT("Data_main"&amp;"["&amp;AV$8&amp;"]"),Data_main[Data],$A153, Data_main[Segment],$B153, Data_main[Scenario],$B$3)),SUMIFS(INDIRECT("Data_main"&amp;"["&amp;AV$8&amp;"]"),Data_main[Data],$A153, Data_main[Segment],$B153, Data_main[Scenario],$B$3)),SUMIFS(INDIRECT("Data_main"&amp;"["&amp;AV$8&amp;"]"),Data_main[Data],$A153, Data_main[Segment],$B153, Data_main[Scenario],$B$3))</f>
        <v>0</v>
      </c>
      <c r="AW153" s="531">
        <f ca="1">IF($B$6="ON", IF(AW150&gt;=covid_start, IF(AW150&lt;covid_recovery,NA(),SUMIFS(INDIRECT("Data_main"&amp;"["&amp;AW$8&amp;"]"),Data_main[Data],$A153, Data_main[Segment],$B153, Data_main[Scenario],$B$3)),SUMIFS(INDIRECT("Data_main"&amp;"["&amp;AW$8&amp;"]"),Data_main[Data],$A153, Data_main[Segment],$B153, Data_main[Scenario],$B$3)),SUMIFS(INDIRECT("Data_main"&amp;"["&amp;AW$8&amp;"]"),Data_main[Data],$A153, Data_main[Segment],$B153, Data_main[Scenario],$B$3))</f>
        <v>0</v>
      </c>
      <c r="AX153" s="531">
        <f ca="1">IF($B$6="ON", IF(AX150&gt;=covid_start, IF(AX150&lt;covid_recovery,NA(),SUMIFS(INDIRECT("Data_main"&amp;"["&amp;AX$8&amp;"]"),Data_main[Data],$A153, Data_main[Segment],$B153, Data_main[Scenario],$B$3)),SUMIFS(INDIRECT("Data_main"&amp;"["&amp;AX$8&amp;"]"),Data_main[Data],$A153, Data_main[Segment],$B153, Data_main[Scenario],$B$3)),SUMIFS(INDIRECT("Data_main"&amp;"["&amp;AX$8&amp;"]"),Data_main[Data],$A153, Data_main[Segment],$B153, Data_main[Scenario],$B$3))</f>
        <v>0</v>
      </c>
      <c r="AY153" s="531">
        <f ca="1">IF($B$6="ON", IF(AY150&gt;=covid_start, IF(AY150&lt;covid_recovery,NA(),SUMIFS(INDIRECT("Data_main"&amp;"["&amp;AY$8&amp;"]"),Data_main[Data],$A153, Data_main[Segment],$B153, Data_main[Scenario],$B$3)),SUMIFS(INDIRECT("Data_main"&amp;"["&amp;AY$8&amp;"]"),Data_main[Data],$A153, Data_main[Segment],$B153, Data_main[Scenario],$B$3)),SUMIFS(INDIRECT("Data_main"&amp;"["&amp;AY$8&amp;"]"),Data_main[Data],$A153, Data_main[Segment],$B153, Data_main[Scenario],$B$3))</f>
        <v>0</v>
      </c>
      <c r="AZ153" s="531">
        <f ca="1">IF($B$6="ON", IF(AZ150&gt;=covid_start, IF(AZ150&lt;covid_recovery,NA(),SUMIFS(INDIRECT("Data_main"&amp;"["&amp;AZ$8&amp;"]"),Data_main[Data],$A153, Data_main[Segment],$B153, Data_main[Scenario],$B$3)),SUMIFS(INDIRECT("Data_main"&amp;"["&amp;AZ$8&amp;"]"),Data_main[Data],$A153, Data_main[Segment],$B153, Data_main[Scenario],$B$3)),SUMIFS(INDIRECT("Data_main"&amp;"["&amp;AZ$8&amp;"]"),Data_main[Data],$A153, Data_main[Segment],$B153, Data_main[Scenario],$B$3))</f>
        <v>0</v>
      </c>
      <c r="BA153" s="531">
        <f ca="1">IF($B$6="ON", IF(BA150&gt;=covid_start, IF(BA150&lt;covid_recovery,NA(),SUMIFS(INDIRECT("Data_main"&amp;"["&amp;BA$8&amp;"]"),Data_main[Data],$A153, Data_main[Segment],$B153, Data_main[Scenario],$B$3)),SUMIFS(INDIRECT("Data_main"&amp;"["&amp;BA$8&amp;"]"),Data_main[Data],$A153, Data_main[Segment],$B153, Data_main[Scenario],$B$3)),SUMIFS(INDIRECT("Data_main"&amp;"["&amp;BA$8&amp;"]"),Data_main[Data],$A153, Data_main[Segment],$B153, Data_main[Scenario],$B$3))</f>
        <v>0</v>
      </c>
      <c r="BB153" s="531">
        <f ca="1">IF($B$6="ON", IF(BB150&gt;=covid_start, IF(BB150&lt;covid_recovery,NA(),SUMIFS(INDIRECT("Data_main"&amp;"["&amp;BB$8&amp;"]"),Data_main[Data],$A153, Data_main[Segment],$B153, Data_main[Scenario],$B$3)),SUMIFS(INDIRECT("Data_main"&amp;"["&amp;BB$8&amp;"]"),Data_main[Data],$A153, Data_main[Segment],$B153, Data_main[Scenario],$B$3)),SUMIFS(INDIRECT("Data_main"&amp;"["&amp;BB$8&amp;"]"),Data_main[Data],$A153, Data_main[Segment],$B153, Data_main[Scenario],$B$3))</f>
        <v>0</v>
      </c>
      <c r="BC153" s="531">
        <f ca="1">IF($B$6="ON", IF(BC150&gt;=covid_start, IF(BC150&lt;covid_recovery,NA(),SUMIFS(INDIRECT("Data_main"&amp;"["&amp;BC$8&amp;"]"),Data_main[Data],$A153, Data_main[Segment],$B153, Data_main[Scenario],$B$3)),SUMIFS(INDIRECT("Data_main"&amp;"["&amp;BC$8&amp;"]"),Data_main[Data],$A153, Data_main[Segment],$B153, Data_main[Scenario],$B$3)),SUMIFS(INDIRECT("Data_main"&amp;"["&amp;BC$8&amp;"]"),Data_main[Data],$A153, Data_main[Segment],$B153, Data_main[Scenario],$B$3))</f>
        <v>0</v>
      </c>
      <c r="BD153" s="531">
        <f ca="1">IF($B$6="ON", IF(BD150&gt;=covid_start, IF(BD150&lt;covid_recovery,NA(),SUMIFS(INDIRECT("Data_main"&amp;"["&amp;BD$8&amp;"]"),Data_main[Data],$A153, Data_main[Segment],$B153, Data_main[Scenario],$B$3)),SUMIFS(INDIRECT("Data_main"&amp;"["&amp;BD$8&amp;"]"),Data_main[Data],$A153, Data_main[Segment],$B153, Data_main[Scenario],$B$3)),SUMIFS(INDIRECT("Data_main"&amp;"["&amp;BD$8&amp;"]"),Data_main[Data],$A153, Data_main[Segment],$B153, Data_main[Scenario],$B$3))</f>
        <v>0</v>
      </c>
      <c r="BE153" s="531">
        <f ca="1">IF($B$6="ON", IF(BE150&gt;=covid_start, IF(BE150&lt;covid_recovery,NA(),SUMIFS(INDIRECT("Data_main"&amp;"["&amp;BE$8&amp;"]"),Data_main[Data],$A153, Data_main[Segment],$B153, Data_main[Scenario],$B$3)),SUMIFS(INDIRECT("Data_main"&amp;"["&amp;BE$8&amp;"]"),Data_main[Data],$A153, Data_main[Segment],$B153, Data_main[Scenario],$B$3)),SUMIFS(INDIRECT("Data_main"&amp;"["&amp;BE$8&amp;"]"),Data_main[Data],$A153, Data_main[Segment],$B153, Data_main[Scenario],$B$3))</f>
        <v>0</v>
      </c>
      <c r="BF153" s="531">
        <f ca="1">IF($B$6="ON", IF(BF150&gt;=covid_start, IF(BF150&lt;covid_recovery,NA(),SUMIFS(INDIRECT("Data_main"&amp;"["&amp;BF$8&amp;"]"),Data_main[Data],$A153, Data_main[Segment],$B153, Data_main[Scenario],$B$3)),SUMIFS(INDIRECT("Data_main"&amp;"["&amp;BF$8&amp;"]"),Data_main[Data],$A153, Data_main[Segment],$B153, Data_main[Scenario],$B$3)),SUMIFS(INDIRECT("Data_main"&amp;"["&amp;BF$8&amp;"]"),Data_main[Data],$A153, Data_main[Segment],$B153, Data_main[Scenario],$B$3))</f>
        <v>0</v>
      </c>
      <c r="BG153" s="531">
        <f ca="1">IF($B$6="ON", IF(BG150&gt;=covid_start, IF(BG150&lt;covid_recovery,NA(),SUMIFS(INDIRECT("Data_main"&amp;"["&amp;BG$8&amp;"]"),Data_main[Data],$A153, Data_main[Segment],$B153, Data_main[Scenario],$B$3)),SUMIFS(INDIRECT("Data_main"&amp;"["&amp;BG$8&amp;"]"),Data_main[Data],$A153, Data_main[Segment],$B153, Data_main[Scenario],$B$3)),SUMIFS(INDIRECT("Data_main"&amp;"["&amp;BG$8&amp;"]"),Data_main[Data],$A153, Data_main[Segment],$B153, Data_main[Scenario],$B$3))</f>
        <v>0</v>
      </c>
      <c r="BH153" s="531">
        <f ca="1">IF($B$6="ON", IF(BH150&gt;=covid_start, IF(BH150&lt;covid_recovery,NA(),SUMIFS(INDIRECT("Data_main"&amp;"["&amp;BH$8&amp;"]"),Data_main[Data],$A153, Data_main[Segment],$B153, Data_main[Scenario],$B$3)),SUMIFS(INDIRECT("Data_main"&amp;"["&amp;BH$8&amp;"]"),Data_main[Data],$A153, Data_main[Segment],$B153, Data_main[Scenario],$B$3)),SUMIFS(INDIRECT("Data_main"&amp;"["&amp;BH$8&amp;"]"),Data_main[Data],$A153, Data_main[Segment],$B153, Data_main[Scenario],$B$3))</f>
        <v>0</v>
      </c>
      <c r="BI153" s="531">
        <f ca="1">IF($B$6="ON", IF(BI150&gt;=covid_start, IF(BI150&lt;covid_recovery,NA(),SUMIFS(INDIRECT("Data_main"&amp;"["&amp;BI$8&amp;"]"),Data_main[Data],$A153, Data_main[Segment],$B153, Data_main[Scenario],$B$3)),SUMIFS(INDIRECT("Data_main"&amp;"["&amp;BI$8&amp;"]"),Data_main[Data],$A153, Data_main[Segment],$B153, Data_main[Scenario],$B$3)),SUMIFS(INDIRECT("Data_main"&amp;"["&amp;BI$8&amp;"]"),Data_main[Data],$A153, Data_main[Segment],$B153, Data_main[Scenario],$B$3))</f>
        <v>0</v>
      </c>
      <c r="BJ153" s="531">
        <f ca="1">IF($B$6="ON", IF(BJ150&gt;=covid_start, IF(BJ150&lt;covid_recovery,NA(),SUMIFS(INDIRECT("Data_main"&amp;"["&amp;BJ$8&amp;"]"),Data_main[Data],$A153, Data_main[Segment],$B153, Data_main[Scenario],$B$3)),SUMIFS(INDIRECT("Data_main"&amp;"["&amp;BJ$8&amp;"]"),Data_main[Data],$A153, Data_main[Segment],$B153, Data_main[Scenario],$B$3)),SUMIFS(INDIRECT("Data_main"&amp;"["&amp;BJ$8&amp;"]"),Data_main[Data],$A153, Data_main[Segment],$B153, Data_main[Scenario],$B$3))</f>
        <v>0</v>
      </c>
      <c r="BK153" s="531">
        <f ca="1">IF($B$6="ON", IF(BK150&gt;=covid_start, IF(BK150&lt;covid_recovery,NA(),SUMIFS(INDIRECT("Data_main"&amp;"["&amp;BK$8&amp;"]"),Data_main[Data],$A153, Data_main[Segment],$B153, Data_main[Scenario],$B$3)),SUMIFS(INDIRECT("Data_main"&amp;"["&amp;BK$8&amp;"]"),Data_main[Data],$A153, Data_main[Segment],$B153, Data_main[Scenario],$B$3)),SUMIFS(INDIRECT("Data_main"&amp;"["&amp;BK$8&amp;"]"),Data_main[Data],$A153, Data_main[Segment],$B153, Data_main[Scenario],$B$3))</f>
        <v>0</v>
      </c>
      <c r="BL153" s="531">
        <f ca="1">IF($B$6="ON", IF(BL150&gt;=covid_start, IF(BL150&lt;covid_recovery,NA(),SUMIFS(INDIRECT("Data_main"&amp;"["&amp;BL$8&amp;"]"),Data_main[Data],$A153, Data_main[Segment],$B153, Data_main[Scenario],$B$3)),SUMIFS(INDIRECT("Data_main"&amp;"["&amp;BL$8&amp;"]"),Data_main[Data],$A153, Data_main[Segment],$B153, Data_main[Scenario],$B$3)),SUMIFS(INDIRECT("Data_main"&amp;"["&amp;BL$8&amp;"]"),Data_main[Data],$A153, Data_main[Segment],$B153, Data_main[Scenario],$B$3))</f>
        <v>0</v>
      </c>
      <c r="BM153" s="531">
        <f ca="1">IF($B$6="ON", IF(BM150&gt;=covid_start, IF(BM150&lt;covid_recovery,NA(),SUMIFS(INDIRECT("Data_main"&amp;"["&amp;BM$8&amp;"]"),Data_main[Data],$A153, Data_main[Segment],$B153, Data_main[Scenario],$B$3)),SUMIFS(INDIRECT("Data_main"&amp;"["&amp;BM$8&amp;"]"),Data_main[Data],$A153, Data_main[Segment],$B153, Data_main[Scenario],$B$3)),SUMIFS(INDIRECT("Data_main"&amp;"["&amp;BM$8&amp;"]"),Data_main[Data],$A153, Data_main[Segment],$B153, Data_main[Scenario],$B$3))</f>
        <v>0</v>
      </c>
      <c r="BN153" s="531">
        <f ca="1">IF($B$6="ON", IF(BN150&gt;=covid_start, IF(BN150&lt;covid_recovery,NA(),SUMIFS(INDIRECT("Data_main"&amp;"["&amp;BN$8&amp;"]"),Data_main[Data],$A153, Data_main[Segment],$B153, Data_main[Scenario],$B$3)),SUMIFS(INDIRECT("Data_main"&amp;"["&amp;BN$8&amp;"]"),Data_main[Data],$A153, Data_main[Segment],$B153, Data_main[Scenario],$B$3)),SUMIFS(INDIRECT("Data_main"&amp;"["&amp;BN$8&amp;"]"),Data_main[Data],$A153, Data_main[Segment],$B153, Data_main[Scenario],$B$3))</f>
        <v>0</v>
      </c>
      <c r="BO153" s="531">
        <f ca="1">IF($B$6="ON", IF(BO150&gt;=covid_start, IF(BO150&lt;covid_recovery,NA(),SUMIFS(INDIRECT("Data_main"&amp;"["&amp;BO$8&amp;"]"),Data_main[Data],$A153, Data_main[Segment],$B153, Data_main[Scenario],$B$3)),SUMIFS(INDIRECT("Data_main"&amp;"["&amp;BO$8&amp;"]"),Data_main[Data],$A153, Data_main[Segment],$B153, Data_main[Scenario],$B$3)),SUMIFS(INDIRECT("Data_main"&amp;"["&amp;BO$8&amp;"]"),Data_main[Data],$A153, Data_main[Segment],$B153, Data_main[Scenario],$B$3))</f>
        <v>0</v>
      </c>
      <c r="BP153" s="531">
        <f ca="1">IF($B$6="ON", IF(BP150&gt;=covid_start, IF(BP150&lt;covid_recovery,NA(),SUMIFS(INDIRECT("Data_main"&amp;"["&amp;BP$8&amp;"]"),Data_main[Data],$A153, Data_main[Segment],$B153, Data_main[Scenario],$B$3)),SUMIFS(INDIRECT("Data_main"&amp;"["&amp;BP$8&amp;"]"),Data_main[Data],$A153, Data_main[Segment],$B153, Data_main[Scenario],$B$3)),SUMIFS(INDIRECT("Data_main"&amp;"["&amp;BP$8&amp;"]"),Data_main[Data],$A153, Data_main[Segment],$B153, Data_main[Scenario],$B$3))</f>
        <v>0</v>
      </c>
      <c r="BQ153" s="531">
        <f ca="1">IF($B$6="ON", IF(BQ150&gt;=covid_start, IF(BQ150&lt;covid_recovery,NA(),SUMIFS(INDIRECT("Data_main"&amp;"["&amp;BQ$8&amp;"]"),Data_main[Data],$A153, Data_main[Segment],$B153, Data_main[Scenario],$B$3)),SUMIFS(INDIRECT("Data_main"&amp;"["&amp;BQ$8&amp;"]"),Data_main[Data],$A153, Data_main[Segment],$B153, Data_main[Scenario],$B$3)),SUMIFS(INDIRECT("Data_main"&amp;"["&amp;BQ$8&amp;"]"),Data_main[Data],$A153, Data_main[Segment],$B153, Data_main[Scenario],$B$3))</f>
        <v>0</v>
      </c>
      <c r="BR153" s="531">
        <f ca="1">IF($B$6="ON", IF(BR150&gt;=covid_start, IF(BR150&lt;covid_recovery,NA(),SUMIFS(INDIRECT("Data_main"&amp;"["&amp;BR$8&amp;"]"),Data_main[Data],$A153, Data_main[Segment],$B153, Data_main[Scenario],$B$3)),SUMIFS(INDIRECT("Data_main"&amp;"["&amp;BR$8&amp;"]"),Data_main[Data],$A153, Data_main[Segment],$B153, Data_main[Scenario],$B$3)),SUMIFS(INDIRECT("Data_main"&amp;"["&amp;BR$8&amp;"]"),Data_main[Data],$A153, Data_main[Segment],$B153, Data_main[Scenario],$B$3))</f>
        <v>0</v>
      </c>
      <c r="BS153" s="531">
        <f ca="1">IF($B$6="ON", IF(BS150&gt;=covid_start, IF(BS150&lt;covid_recovery,NA(),SUMIFS(INDIRECT("Data_main"&amp;"["&amp;BS$8&amp;"]"),Data_main[Data],$A153, Data_main[Segment],$B153, Data_main[Scenario],$B$3)),SUMIFS(INDIRECT("Data_main"&amp;"["&amp;BS$8&amp;"]"),Data_main[Data],$A153, Data_main[Segment],$B153, Data_main[Scenario],$B$3)),SUMIFS(INDIRECT("Data_main"&amp;"["&amp;BS$8&amp;"]"),Data_main[Data],$A153, Data_main[Segment],$B153, Data_main[Scenario],$B$3))</f>
        <v>0</v>
      </c>
      <c r="BT153" s="531">
        <f ca="1">IF($B$6="ON", IF(BT150&gt;=covid_start, IF(BT150&lt;covid_recovery,NA(),SUMIFS(INDIRECT("Data_main"&amp;"["&amp;BT$8&amp;"]"),Data_main[Data],$A153, Data_main[Segment],$B153, Data_main[Scenario],$B$3)),SUMIFS(INDIRECT("Data_main"&amp;"["&amp;BT$8&amp;"]"),Data_main[Data],$A153, Data_main[Segment],$B153, Data_main[Scenario],$B$3)),SUMIFS(INDIRECT("Data_main"&amp;"["&amp;BT$8&amp;"]"),Data_main[Data],$A153, Data_main[Segment],$B153, Data_main[Scenario],$B$3))</f>
        <v>0</v>
      </c>
      <c r="BU153" s="531">
        <f ca="1">IF($B$6="ON", IF(BU150&gt;=covid_start, IF(BU150&lt;covid_recovery,NA(),SUMIFS(INDIRECT("Data_main"&amp;"["&amp;BU$8&amp;"]"),Data_main[Data],$A153, Data_main[Segment],$B153, Data_main[Scenario],$B$3)),SUMIFS(INDIRECT("Data_main"&amp;"["&amp;BU$8&amp;"]"),Data_main[Data],$A153, Data_main[Segment],$B153, Data_main[Scenario],$B$3)),SUMIFS(INDIRECT("Data_main"&amp;"["&amp;BU$8&amp;"]"),Data_main[Data],$A153, Data_main[Segment],$B153, Data_main[Scenario],$B$3))</f>
        <v>0</v>
      </c>
      <c r="BV153" s="531">
        <f ca="1">IF($B$6="ON", IF(BV150&gt;=covid_start, IF(BV150&lt;covid_recovery,NA(),SUMIFS(INDIRECT("Data_main"&amp;"["&amp;BV$8&amp;"]"),Data_main[Data],$A153, Data_main[Segment],$B153, Data_main[Scenario],$B$3)),SUMIFS(INDIRECT("Data_main"&amp;"["&amp;BV$8&amp;"]"),Data_main[Data],$A153, Data_main[Segment],$B153, Data_main[Scenario],$B$3)),SUMIFS(INDIRECT("Data_main"&amp;"["&amp;BV$8&amp;"]"),Data_main[Data],$A153, Data_main[Segment],$B153, Data_main[Scenario],$B$3))</f>
        <v>0</v>
      </c>
      <c r="BW153" s="531">
        <f ca="1">IF($B$6="ON", IF(BW150&gt;=covid_start, IF(BW150&lt;covid_recovery,NA(),SUMIFS(INDIRECT("Data_main"&amp;"["&amp;BW$8&amp;"]"),Data_main[Data],$A153, Data_main[Segment],$B153, Data_main[Scenario],$B$3)),SUMIFS(INDIRECT("Data_main"&amp;"["&amp;BW$8&amp;"]"),Data_main[Data],$A153, Data_main[Segment],$B153, Data_main[Scenario],$B$3)),SUMIFS(INDIRECT("Data_main"&amp;"["&amp;BW$8&amp;"]"),Data_main[Data],$A153, Data_main[Segment],$B153, Data_main[Scenario],$B$3))</f>
        <v>0</v>
      </c>
      <c r="BX153" s="531">
        <f ca="1">IF($B$6="ON", IF(BX150&gt;=covid_start, IF(BX150&lt;covid_recovery,NA(),SUMIFS(INDIRECT("Data_main"&amp;"["&amp;BX$8&amp;"]"),Data_main[Data],$A153, Data_main[Segment],$B153, Data_main[Scenario],$B$3)),SUMIFS(INDIRECT("Data_main"&amp;"["&amp;BX$8&amp;"]"),Data_main[Data],$A153, Data_main[Segment],$B153, Data_main[Scenario],$B$3)),SUMIFS(INDIRECT("Data_main"&amp;"["&amp;BX$8&amp;"]"),Data_main[Data],$A153, Data_main[Segment],$B153, Data_main[Scenario],$B$3))</f>
        <v>0</v>
      </c>
      <c r="BY153" s="531">
        <f ca="1">IF($B$6="ON", IF(BY150&gt;=covid_start, IF(BY150&lt;covid_recovery,NA(),SUMIFS(INDIRECT("Data_main"&amp;"["&amp;BY$8&amp;"]"),Data_main[Data],$A153, Data_main[Segment],$B153, Data_main[Scenario],$B$3)),SUMIFS(INDIRECT("Data_main"&amp;"["&amp;BY$8&amp;"]"),Data_main[Data],$A153, Data_main[Segment],$B153, Data_main[Scenario],$B$3)),SUMIFS(INDIRECT("Data_main"&amp;"["&amp;BY$8&amp;"]"),Data_main[Data],$A153, Data_main[Segment],$B153, Data_main[Scenario],$B$3))</f>
        <v>0</v>
      </c>
      <c r="BZ153" s="531">
        <f ca="1">IF($B$6="ON", IF(BZ150&gt;=covid_start, IF(BZ150&lt;covid_recovery,NA(),SUMIFS(INDIRECT("Data_main"&amp;"["&amp;BZ$8&amp;"]"),Data_main[Data],$A153, Data_main[Segment],$B153, Data_main[Scenario],$B$3)),SUMIFS(INDIRECT("Data_main"&amp;"["&amp;BZ$8&amp;"]"),Data_main[Data],$A153, Data_main[Segment],$B153, Data_main[Scenario],$B$3)),SUMIFS(INDIRECT("Data_main"&amp;"["&amp;BZ$8&amp;"]"),Data_main[Data],$A153, Data_main[Segment],$B153, Data_main[Scenario],$B$3))</f>
        <v>0</v>
      </c>
      <c r="CA153" s="531">
        <f ca="1">IF($B$6="ON", IF(CA150&gt;=covid_start, IF(CA150&lt;covid_recovery,NA(),SUMIFS(INDIRECT("Data_main"&amp;"["&amp;CA$8&amp;"]"),Data_main[Data],$A153, Data_main[Segment],$B153, Data_main[Scenario],$B$3)),SUMIFS(INDIRECT("Data_main"&amp;"["&amp;CA$8&amp;"]"),Data_main[Data],$A153, Data_main[Segment],$B153, Data_main[Scenario],$B$3)),SUMIFS(INDIRECT("Data_main"&amp;"["&amp;CA$8&amp;"]"),Data_main[Data],$A153, Data_main[Segment],$B153, Data_main[Scenario],$B$3))</f>
        <v>0</v>
      </c>
      <c r="CB153" s="531">
        <f ca="1">IF($B$6="ON", IF(CB150&gt;=covid_start, IF(CB150&lt;covid_recovery,NA(),SUMIFS(INDIRECT("Data_main"&amp;"["&amp;CB$8&amp;"]"),Data_main[Data],$A153, Data_main[Segment],$B153, Data_main[Scenario],$B$3)),SUMIFS(INDIRECT("Data_main"&amp;"["&amp;CB$8&amp;"]"),Data_main[Data],$A153, Data_main[Segment],$B153, Data_main[Scenario],$B$3)),SUMIFS(INDIRECT("Data_main"&amp;"["&amp;CB$8&amp;"]"),Data_main[Data],$A153, Data_main[Segment],$B153, Data_main[Scenario],$B$3))</f>
        <v>0</v>
      </c>
      <c r="CC153" s="531">
        <f ca="1">IF($B$6="ON", IF(CC150&gt;=covid_start, IF(CC150&lt;covid_recovery,NA(),SUMIFS(INDIRECT("Data_main"&amp;"["&amp;CC$8&amp;"]"),Data_main[Data],$A153, Data_main[Segment],$B153, Data_main[Scenario],$B$3)),SUMIFS(INDIRECT("Data_main"&amp;"["&amp;CC$8&amp;"]"),Data_main[Data],$A153, Data_main[Segment],$B153, Data_main[Scenario],$B$3)),SUMIFS(INDIRECT("Data_main"&amp;"["&amp;CC$8&amp;"]"),Data_main[Data],$A153, Data_main[Segment],$B153, Data_main[Scenario],$B$3))</f>
        <v>0</v>
      </c>
      <c r="CD153" s="531">
        <f ca="1">IF($B$6="ON", IF(CD150&gt;=covid_start, IF(CD150&lt;covid_recovery,NA(),SUMIFS(INDIRECT("Data_main"&amp;"["&amp;CD$8&amp;"]"),Data_main[Data],$A153, Data_main[Segment],$B153, Data_main[Scenario],$B$3)),SUMIFS(INDIRECT("Data_main"&amp;"["&amp;CD$8&amp;"]"),Data_main[Data],$A153, Data_main[Segment],$B153, Data_main[Scenario],$B$3)),SUMIFS(INDIRECT("Data_main"&amp;"["&amp;CD$8&amp;"]"),Data_main[Data],$A153, Data_main[Segment],$B153, Data_main[Scenario],$B$3))</f>
        <v>0</v>
      </c>
      <c r="CE153" s="531">
        <f ca="1">IF($B$6="ON", IF(CE150&gt;=covid_start, IF(CE150&lt;covid_recovery,NA(),SUMIFS(INDIRECT("Data_main"&amp;"["&amp;CE$8&amp;"]"),Data_main[Data],$A153, Data_main[Segment],$B153, Data_main[Scenario],$B$3)),SUMIFS(INDIRECT("Data_main"&amp;"["&amp;CE$8&amp;"]"),Data_main[Data],$A153, Data_main[Segment],$B153, Data_main[Scenario],$B$3)),SUMIFS(INDIRECT("Data_main"&amp;"["&amp;CE$8&amp;"]"),Data_main[Data],$A153, Data_main[Segment],$B153, Data_main[Scenario],$B$3))</f>
        <v>0</v>
      </c>
      <c r="CF153" s="531">
        <f ca="1">IF($B$6="ON", IF(CF150&gt;=covid_start, IF(CF150&lt;covid_recovery,NA(),SUMIFS(INDIRECT("Data_main"&amp;"["&amp;CF$8&amp;"]"),Data_main[Data],$A153, Data_main[Segment],$B153, Data_main[Scenario],$B$3)),SUMIFS(INDIRECT("Data_main"&amp;"["&amp;CF$8&amp;"]"),Data_main[Data],$A153, Data_main[Segment],$B153, Data_main[Scenario],$B$3)),SUMIFS(INDIRECT("Data_main"&amp;"["&amp;CF$8&amp;"]"),Data_main[Data],$A153, Data_main[Segment],$B153, Data_main[Scenario],$B$3))</f>
        <v>0</v>
      </c>
      <c r="CG153" s="531">
        <f ca="1">IF($B$6="ON", IF(CG150&gt;=covid_start, IF(CG150&lt;covid_recovery,NA(),SUMIFS(INDIRECT("Data_main"&amp;"["&amp;CG$8&amp;"]"),Data_main[Data],$A153, Data_main[Segment],$B153, Data_main[Scenario],$B$3)),SUMIFS(INDIRECT("Data_main"&amp;"["&amp;CG$8&amp;"]"),Data_main[Data],$A153, Data_main[Segment],$B153, Data_main[Scenario],$B$3)),SUMIFS(INDIRECT("Data_main"&amp;"["&amp;CG$8&amp;"]"),Data_main[Data],$A153, Data_main[Segment],$B153, Data_main[Scenario],$B$3))</f>
        <v>0</v>
      </c>
      <c r="CH153" s="531">
        <f ca="1">IF($B$6="ON", IF(CH150&gt;=covid_start, IF(CH150&lt;covid_recovery,NA(),SUMIFS(INDIRECT("Data_main"&amp;"["&amp;CH$8&amp;"]"),Data_main[Data],$A153, Data_main[Segment],$B153, Data_main[Scenario],$B$3)),SUMIFS(INDIRECT("Data_main"&amp;"["&amp;CH$8&amp;"]"),Data_main[Data],$A153, Data_main[Segment],$B153, Data_main[Scenario],$B$3)),SUMIFS(INDIRECT("Data_main"&amp;"["&amp;CH$8&amp;"]"),Data_main[Data],$A153, Data_main[Segment],$B153, Data_main[Scenario],$B$3))</f>
        <v>0</v>
      </c>
      <c r="CI153" s="531">
        <f ca="1">IF($B$6="ON", IF(CI150&gt;=covid_start, IF(CI150&lt;covid_recovery,NA(),SUMIFS(INDIRECT("Data_main"&amp;"["&amp;CI$8&amp;"]"),Data_main[Data],$A153, Data_main[Segment],$B153, Data_main[Scenario],$B$3)),SUMIFS(INDIRECT("Data_main"&amp;"["&amp;CI$8&amp;"]"),Data_main[Data],$A153, Data_main[Segment],$B153, Data_main[Scenario],$B$3)),SUMIFS(INDIRECT("Data_main"&amp;"["&amp;CI$8&amp;"]"),Data_main[Data],$A153, Data_main[Segment],$B153, Data_main[Scenario],$B$3))</f>
        <v>0</v>
      </c>
      <c r="CJ153" s="531">
        <f ca="1">IF($B$6="ON", IF(CJ150&gt;=covid_start, IF(CJ150&lt;covid_recovery,NA(),SUMIFS(INDIRECT("Data_main"&amp;"["&amp;CJ$8&amp;"]"),Data_main[Data],$A153, Data_main[Segment],$B153, Data_main[Scenario],$B$3)),SUMIFS(INDIRECT("Data_main"&amp;"["&amp;CJ$8&amp;"]"),Data_main[Data],$A153, Data_main[Segment],$B153, Data_main[Scenario],$B$3)),SUMIFS(INDIRECT("Data_main"&amp;"["&amp;CJ$8&amp;"]"),Data_main[Data],$A153, Data_main[Segment],$B153, Data_main[Scenario],$B$3))</f>
        <v>0</v>
      </c>
      <c r="CK153" s="531">
        <f ca="1">IF($B$6="ON", IF(CK150&gt;=covid_start, IF(CK150&lt;covid_recovery,NA(),SUMIFS(INDIRECT("Data_main"&amp;"["&amp;CK$8&amp;"]"),Data_main[Data],$A153, Data_main[Segment],$B153, Data_main[Scenario],$B$3)),SUMIFS(INDIRECT("Data_main"&amp;"["&amp;CK$8&amp;"]"),Data_main[Data],$A153, Data_main[Segment],$B153, Data_main[Scenario],$B$3)),SUMIFS(INDIRECT("Data_main"&amp;"["&amp;CK$8&amp;"]"),Data_main[Data],$A153, Data_main[Segment],$B153, Data_main[Scenario],$B$3))</f>
        <v>0</v>
      </c>
      <c r="CL153" s="531">
        <f ca="1">IF($B$6="ON", IF(CL150&gt;=covid_start, IF(CL150&lt;covid_recovery,NA(),SUMIFS(INDIRECT("Data_main"&amp;"["&amp;CL$8&amp;"]"),Data_main[Data],$A153, Data_main[Segment],$B153, Data_main[Scenario],$B$3)),SUMIFS(INDIRECT("Data_main"&amp;"["&amp;CL$8&amp;"]"),Data_main[Data],$A153, Data_main[Segment],$B153, Data_main[Scenario],$B$3)),SUMIFS(INDIRECT("Data_main"&amp;"["&amp;CL$8&amp;"]"),Data_main[Data],$A153, Data_main[Segment],$B153, Data_main[Scenario],$B$3))</f>
        <v>0</v>
      </c>
      <c r="CN153" s="613">
        <f ca="1">IFERROR((Y153/H153)^(1/17)-1,"")</f>
        <v>-2.9042383120773452E-2</v>
      </c>
      <c r="CO153" s="613">
        <f ca="1">IFERROR((AN153/Y153)^(1/15)-1,"")</f>
        <v>-3.3387995467958453E-2</v>
      </c>
      <c r="CP153" s="613">
        <f ca="1">IFERROR((AN153/H153)^(1/32)-1,"")</f>
        <v>-3.1081816109338578E-2</v>
      </c>
    </row>
    <row r="154" spans="1:94">
      <c r="A154" s="614"/>
      <c r="B154" s="614" t="s">
        <v>26</v>
      </c>
      <c r="C154" s="614" t="s">
        <v>314</v>
      </c>
      <c r="D154" s="614" t="s">
        <v>315</v>
      </c>
      <c r="E154" s="616">
        <f t="shared" ref="E154:BP154" ca="1" si="492">(E153-INDEX($E150:$CL153,4,MATCH($B$5,$E150:$CL150,0)))/(INDEX($E150:$CL153,4,MATCH($B$4,$E150:$CL150,0))-INDEX($E150:$CL153,4,MATCH($B$5,$E150:$CL150,0)))</f>
        <v>1.0859824654711006</v>
      </c>
      <c r="F154" s="617">
        <f t="shared" ca="1" si="492"/>
        <v>1.0288307032051764</v>
      </c>
      <c r="G154" s="617">
        <f t="shared" ca="1" si="492"/>
        <v>0.97816196451142901</v>
      </c>
      <c r="H154" s="617">
        <f ca="1">(H153-INDEX($E150:$CL153,4,MATCH($B$5,$E150:$CL150,0)))/(INDEX($E150:$CL153,4,MATCH($B$4,$E150:$CL150,0))-INDEX($E150:$CL153,4,MATCH($B$5,$E150:$CL150,0)))</f>
        <v>0.93293235182103618</v>
      </c>
      <c r="I154" s="617">
        <f t="shared" ca="1" si="492"/>
        <v>1</v>
      </c>
      <c r="J154" s="617" t="e">
        <f t="shared" ca="1" si="492"/>
        <v>#N/A</v>
      </c>
      <c r="K154" s="617" t="e">
        <f t="shared" ca="1" si="492"/>
        <v>#N/A</v>
      </c>
      <c r="L154" s="617" t="e">
        <f t="shared" ca="1" si="492"/>
        <v>#N/A</v>
      </c>
      <c r="M154" s="617">
        <f t="shared" ca="1" si="492"/>
        <v>0.80188079754465968</v>
      </c>
      <c r="N154" s="617">
        <f t="shared" ca="1" si="492"/>
        <v>0.75927431811576118</v>
      </c>
      <c r="O154" s="617">
        <f t="shared" ca="1" si="492"/>
        <v>0.71898528102871839</v>
      </c>
      <c r="P154" s="617">
        <f t="shared" ca="1" si="492"/>
        <v>0.68082961747083948</v>
      </c>
      <c r="Q154" s="617">
        <f t="shared" ca="1" si="492"/>
        <v>0.64464224935167569</v>
      </c>
      <c r="R154" s="617">
        <f t="shared" ca="1" si="492"/>
        <v>0.61027470174987763</v>
      </c>
      <c r="S154" s="617">
        <f t="shared" ca="1" si="492"/>
        <v>0.57759306672690192</v>
      </c>
      <c r="T154" s="617">
        <f t="shared" ca="1" si="492"/>
        <v>0.54647625962436508</v>
      </c>
      <c r="U154" s="617">
        <f t="shared" ca="1" si="492"/>
        <v>0.50361831356907316</v>
      </c>
      <c r="V154" s="617">
        <f t="shared" ca="1" si="492"/>
        <v>0.4632135974332296</v>
      </c>
      <c r="W154" s="617">
        <f t="shared" ca="1" si="492"/>
        <v>0.42505733418495367</v>
      </c>
      <c r="X154" s="617">
        <f t="shared" ca="1" si="492"/>
        <v>0.38896692079824902</v>
      </c>
      <c r="Y154" s="617">
        <f t="shared" ca="1" si="492"/>
        <v>0.35477900600779821</v>
      </c>
      <c r="Z154" s="617">
        <f t="shared" ca="1" si="492"/>
        <v>0.32234701833247398</v>
      </c>
      <c r="AA154" s="617">
        <f t="shared" ca="1" si="492"/>
        <v>0.29153906545220987</v>
      </c>
      <c r="AB154" s="617">
        <f t="shared" ca="1" si="492"/>
        <v>0.26223614144354362</v>
      </c>
      <c r="AC154" s="617">
        <f t="shared" ca="1" si="492"/>
        <v>0.23433059049065558</v>
      </c>
      <c r="AD154" s="617">
        <f t="shared" ca="1" si="492"/>
        <v>0.20772478526177474</v>
      </c>
      <c r="AE154" s="617">
        <f t="shared" ca="1" si="492"/>
        <v>0.18109542113357238</v>
      </c>
      <c r="AF154" s="617">
        <f t="shared" ca="1" si="492"/>
        <v>0.1560838755073061</v>
      </c>
      <c r="AG154" s="617">
        <f t="shared" ca="1" si="492"/>
        <v>0.13254706339349603</v>
      </c>
      <c r="AH154" s="617">
        <f t="shared" ca="1" si="492"/>
        <v>0.11035828979428322</v>
      </c>
      <c r="AI154" s="617">
        <f t="shared" ca="1" si="492"/>
        <v>8.9404968251422828E-2</v>
      </c>
      <c r="AJ154" s="617">
        <f t="shared" ca="1" si="492"/>
        <v>6.9586710160229701E-2</v>
      </c>
      <c r="AK154" s="617">
        <f t="shared" ca="1" si="492"/>
        <v>5.0813716406569343E-2</v>
      </c>
      <c r="AL154" s="617">
        <f t="shared" ca="1" si="492"/>
        <v>3.3005416952355315E-2</v>
      </c>
      <c r="AM154" s="617">
        <f t="shared" ca="1" si="492"/>
        <v>1.608931489171064E-2</v>
      </c>
      <c r="AN154" s="617">
        <f t="shared" ca="1" si="492"/>
        <v>0</v>
      </c>
      <c r="AO154" s="617">
        <f t="shared" ca="1" si="492"/>
        <v>-0.53410874232834238</v>
      </c>
      <c r="AP154" s="617">
        <f t="shared" ca="1" si="492"/>
        <v>-0.53410874232834238</v>
      </c>
      <c r="AQ154" s="617">
        <f t="shared" ca="1" si="492"/>
        <v>-0.53410874232834238</v>
      </c>
      <c r="AR154" s="617">
        <f t="shared" ca="1" si="492"/>
        <v>-0.53410874232834238</v>
      </c>
      <c r="AS154" s="617">
        <f t="shared" ca="1" si="492"/>
        <v>-0.53410874232834238</v>
      </c>
      <c r="AT154" s="617">
        <f t="shared" ca="1" si="492"/>
        <v>-0.53410874232834238</v>
      </c>
      <c r="AU154" s="617">
        <f t="shared" ca="1" si="492"/>
        <v>-0.53410874232834238</v>
      </c>
      <c r="AV154" s="617">
        <f t="shared" ca="1" si="492"/>
        <v>-0.53410874232834238</v>
      </c>
      <c r="AW154" s="617">
        <f t="shared" ca="1" si="492"/>
        <v>-0.53410874232834238</v>
      </c>
      <c r="AX154" s="617">
        <f t="shared" ca="1" si="492"/>
        <v>-0.53410874232834238</v>
      </c>
      <c r="AY154" s="617">
        <f t="shared" ca="1" si="492"/>
        <v>-0.53410874232834238</v>
      </c>
      <c r="AZ154" s="617">
        <f t="shared" ca="1" si="492"/>
        <v>-0.53410874232834238</v>
      </c>
      <c r="BA154" s="617">
        <f t="shared" ca="1" si="492"/>
        <v>-0.53410874232834238</v>
      </c>
      <c r="BB154" s="617">
        <f t="shared" ca="1" si="492"/>
        <v>-0.53410874232834238</v>
      </c>
      <c r="BC154" s="617">
        <f t="shared" ca="1" si="492"/>
        <v>-0.53410874232834238</v>
      </c>
      <c r="BD154" s="617">
        <f t="shared" ca="1" si="492"/>
        <v>-0.53410874232834238</v>
      </c>
      <c r="BE154" s="617">
        <f t="shared" ca="1" si="492"/>
        <v>-0.53410874232834238</v>
      </c>
      <c r="BF154" s="617">
        <f t="shared" ca="1" si="492"/>
        <v>-0.53410874232834238</v>
      </c>
      <c r="BG154" s="617">
        <f t="shared" ca="1" si="492"/>
        <v>-0.53410874232834238</v>
      </c>
      <c r="BH154" s="617">
        <f t="shared" ca="1" si="492"/>
        <v>-0.53410874232834238</v>
      </c>
      <c r="BI154" s="617">
        <f t="shared" ca="1" si="492"/>
        <v>-0.53410874232834238</v>
      </c>
      <c r="BJ154" s="617">
        <f t="shared" ca="1" si="492"/>
        <v>-0.53410874232834238</v>
      </c>
      <c r="BK154" s="617">
        <f t="shared" ca="1" si="492"/>
        <v>-0.53410874232834238</v>
      </c>
      <c r="BL154" s="617">
        <f t="shared" ca="1" si="492"/>
        <v>-0.53410874232834238</v>
      </c>
      <c r="BM154" s="617">
        <f t="shared" ca="1" si="492"/>
        <v>-0.53410874232834238</v>
      </c>
      <c r="BN154" s="617">
        <f t="shared" ca="1" si="492"/>
        <v>-0.53410874232834238</v>
      </c>
      <c r="BO154" s="617">
        <f t="shared" ca="1" si="492"/>
        <v>-0.53410874232834238</v>
      </c>
      <c r="BP154" s="617">
        <f t="shared" ca="1" si="492"/>
        <v>-0.53410874232834238</v>
      </c>
      <c r="BQ154" s="617">
        <f t="shared" ref="BQ154:CL154" ca="1" si="493">(BQ153-INDEX($E150:$CL153,4,MATCH($B$5,$E150:$CL150,0)))/(INDEX($E150:$CL153,4,MATCH($B$4,$E150:$CL150,0))-INDEX($E150:$CL153,4,MATCH($B$5,$E150:$CL150,0)))</f>
        <v>-0.53410874232834238</v>
      </c>
      <c r="BR154" s="617">
        <f t="shared" ca="1" si="493"/>
        <v>-0.53410874232834238</v>
      </c>
      <c r="BS154" s="617">
        <f t="shared" ca="1" si="493"/>
        <v>-0.53410874232834238</v>
      </c>
      <c r="BT154" s="617">
        <f t="shared" ca="1" si="493"/>
        <v>-0.53410874232834238</v>
      </c>
      <c r="BU154" s="617">
        <f t="shared" ca="1" si="493"/>
        <v>-0.53410874232834238</v>
      </c>
      <c r="BV154" s="617">
        <f t="shared" ca="1" si="493"/>
        <v>-0.53410874232834238</v>
      </c>
      <c r="BW154" s="617">
        <f t="shared" ca="1" si="493"/>
        <v>-0.53410874232834238</v>
      </c>
      <c r="BX154" s="617">
        <f t="shared" ca="1" si="493"/>
        <v>-0.53410874232834238</v>
      </c>
      <c r="BY154" s="617">
        <f t="shared" ca="1" si="493"/>
        <v>-0.53410874232834238</v>
      </c>
      <c r="BZ154" s="617">
        <f t="shared" ca="1" si="493"/>
        <v>-0.53410874232834238</v>
      </c>
      <c r="CA154" s="617">
        <f t="shared" ca="1" si="493"/>
        <v>-0.53410874232834238</v>
      </c>
      <c r="CB154" s="617">
        <f t="shared" ca="1" si="493"/>
        <v>-0.53410874232834238</v>
      </c>
      <c r="CC154" s="617">
        <f t="shared" ca="1" si="493"/>
        <v>-0.53410874232834238</v>
      </c>
      <c r="CD154" s="617">
        <f t="shared" ca="1" si="493"/>
        <v>-0.53410874232834238</v>
      </c>
      <c r="CE154" s="617">
        <f t="shared" ca="1" si="493"/>
        <v>-0.53410874232834238</v>
      </c>
      <c r="CF154" s="617">
        <f t="shared" ca="1" si="493"/>
        <v>-0.53410874232834238</v>
      </c>
      <c r="CG154" s="617">
        <f t="shared" ca="1" si="493"/>
        <v>-0.53410874232834238</v>
      </c>
      <c r="CH154" s="617">
        <f t="shared" ca="1" si="493"/>
        <v>-0.53410874232834238</v>
      </c>
      <c r="CI154" s="617">
        <f t="shared" ca="1" si="493"/>
        <v>-0.53410874232834238</v>
      </c>
      <c r="CJ154" s="617">
        <f t="shared" ca="1" si="493"/>
        <v>-0.53410874232834238</v>
      </c>
      <c r="CK154" s="617">
        <f t="shared" ca="1" si="493"/>
        <v>-0.53410874232834238</v>
      </c>
      <c r="CL154" s="617">
        <f t="shared" ca="1" si="493"/>
        <v>-0.53410874232834238</v>
      </c>
      <c r="CN154" s="618"/>
      <c r="CO154" s="618"/>
      <c r="CP154" s="618"/>
    </row>
    <row r="155" spans="1:94">
      <c r="A155" s="534"/>
      <c r="B155" s="534" t="s">
        <v>28</v>
      </c>
      <c r="C155" s="534" t="s">
        <v>316</v>
      </c>
      <c r="D155" s="534" t="s">
        <v>317</v>
      </c>
      <c r="E155" s="536">
        <f t="shared" ref="E155:BP155" ca="1" si="494">INDEX($E150:$CL153,4,MATCH($B$5,$E150:$CL150,0))</f>
        <v>203.65577743375763</v>
      </c>
      <c r="F155" s="537">
        <f t="shared" ca="1" si="494"/>
        <v>203.65577743375763</v>
      </c>
      <c r="G155" s="537">
        <f t="shared" ca="1" si="494"/>
        <v>203.65577743375763</v>
      </c>
      <c r="H155" s="537">
        <f t="shared" ca="1" si="494"/>
        <v>203.65577743375763</v>
      </c>
      <c r="I155" s="537">
        <f t="shared" ca="1" si="494"/>
        <v>203.65577743375763</v>
      </c>
      <c r="J155" s="537">
        <f t="shared" ca="1" si="494"/>
        <v>203.65577743375763</v>
      </c>
      <c r="K155" s="537">
        <f t="shared" ca="1" si="494"/>
        <v>203.65577743375763</v>
      </c>
      <c r="L155" s="537">
        <f t="shared" ca="1" si="494"/>
        <v>203.65577743375763</v>
      </c>
      <c r="M155" s="537">
        <f t="shared" ca="1" si="494"/>
        <v>203.65577743375763</v>
      </c>
      <c r="N155" s="537">
        <f t="shared" ca="1" si="494"/>
        <v>203.65577743375763</v>
      </c>
      <c r="O155" s="537">
        <f t="shared" ca="1" si="494"/>
        <v>203.65577743375763</v>
      </c>
      <c r="P155" s="537">
        <f t="shared" ca="1" si="494"/>
        <v>203.65577743375763</v>
      </c>
      <c r="Q155" s="537">
        <f t="shared" ca="1" si="494"/>
        <v>203.65577743375763</v>
      </c>
      <c r="R155" s="537">
        <f t="shared" ca="1" si="494"/>
        <v>203.65577743375763</v>
      </c>
      <c r="S155" s="537">
        <f t="shared" ca="1" si="494"/>
        <v>203.65577743375763</v>
      </c>
      <c r="T155" s="537">
        <f t="shared" ca="1" si="494"/>
        <v>203.65577743375763</v>
      </c>
      <c r="U155" s="537">
        <f t="shared" ca="1" si="494"/>
        <v>203.65577743375763</v>
      </c>
      <c r="V155" s="537">
        <f t="shared" ca="1" si="494"/>
        <v>203.65577743375763</v>
      </c>
      <c r="W155" s="537">
        <f t="shared" ca="1" si="494"/>
        <v>203.65577743375763</v>
      </c>
      <c r="X155" s="537">
        <f t="shared" ca="1" si="494"/>
        <v>203.65577743375763</v>
      </c>
      <c r="Y155" s="537">
        <f t="shared" ca="1" si="494"/>
        <v>203.65577743375763</v>
      </c>
      <c r="Z155" s="537">
        <f t="shared" ca="1" si="494"/>
        <v>203.65577743375763</v>
      </c>
      <c r="AA155" s="537">
        <f t="shared" ca="1" si="494"/>
        <v>203.65577743375763</v>
      </c>
      <c r="AB155" s="537">
        <f t="shared" ca="1" si="494"/>
        <v>203.65577743375763</v>
      </c>
      <c r="AC155" s="537">
        <f t="shared" ca="1" si="494"/>
        <v>203.65577743375763</v>
      </c>
      <c r="AD155" s="537">
        <f t="shared" ca="1" si="494"/>
        <v>203.65577743375763</v>
      </c>
      <c r="AE155" s="537">
        <f t="shared" ca="1" si="494"/>
        <v>203.65577743375763</v>
      </c>
      <c r="AF155" s="537">
        <f t="shared" ca="1" si="494"/>
        <v>203.65577743375763</v>
      </c>
      <c r="AG155" s="537">
        <f t="shared" ca="1" si="494"/>
        <v>203.65577743375763</v>
      </c>
      <c r="AH155" s="537">
        <f t="shared" ca="1" si="494"/>
        <v>203.65577743375763</v>
      </c>
      <c r="AI155" s="537">
        <f t="shared" ca="1" si="494"/>
        <v>203.65577743375763</v>
      </c>
      <c r="AJ155" s="537">
        <f t="shared" ca="1" si="494"/>
        <v>203.65577743375763</v>
      </c>
      <c r="AK155" s="537">
        <f t="shared" ca="1" si="494"/>
        <v>203.65577743375763</v>
      </c>
      <c r="AL155" s="537">
        <f t="shared" ca="1" si="494"/>
        <v>203.65577743375763</v>
      </c>
      <c r="AM155" s="537">
        <f t="shared" ca="1" si="494"/>
        <v>203.65577743375763</v>
      </c>
      <c r="AN155" s="537">
        <f t="shared" ca="1" si="494"/>
        <v>203.65577743375763</v>
      </c>
      <c r="AO155" s="537">
        <f t="shared" ca="1" si="494"/>
        <v>203.65577743375763</v>
      </c>
      <c r="AP155" s="537">
        <f t="shared" ca="1" si="494"/>
        <v>203.65577743375763</v>
      </c>
      <c r="AQ155" s="537">
        <f t="shared" ca="1" si="494"/>
        <v>203.65577743375763</v>
      </c>
      <c r="AR155" s="537">
        <f t="shared" ca="1" si="494"/>
        <v>203.65577743375763</v>
      </c>
      <c r="AS155" s="537">
        <f t="shared" ca="1" si="494"/>
        <v>203.65577743375763</v>
      </c>
      <c r="AT155" s="537">
        <f t="shared" ca="1" si="494"/>
        <v>203.65577743375763</v>
      </c>
      <c r="AU155" s="537">
        <f t="shared" ca="1" si="494"/>
        <v>203.65577743375763</v>
      </c>
      <c r="AV155" s="537">
        <f t="shared" ca="1" si="494"/>
        <v>203.65577743375763</v>
      </c>
      <c r="AW155" s="537">
        <f t="shared" ca="1" si="494"/>
        <v>203.65577743375763</v>
      </c>
      <c r="AX155" s="537">
        <f t="shared" ca="1" si="494"/>
        <v>203.65577743375763</v>
      </c>
      <c r="AY155" s="537">
        <f t="shared" ca="1" si="494"/>
        <v>203.65577743375763</v>
      </c>
      <c r="AZ155" s="537">
        <f t="shared" ca="1" si="494"/>
        <v>203.65577743375763</v>
      </c>
      <c r="BA155" s="537">
        <f t="shared" ca="1" si="494"/>
        <v>203.65577743375763</v>
      </c>
      <c r="BB155" s="537">
        <f t="shared" ca="1" si="494"/>
        <v>203.65577743375763</v>
      </c>
      <c r="BC155" s="537">
        <f t="shared" ca="1" si="494"/>
        <v>203.65577743375763</v>
      </c>
      <c r="BD155" s="537">
        <f t="shared" ca="1" si="494"/>
        <v>203.65577743375763</v>
      </c>
      <c r="BE155" s="537">
        <f t="shared" ca="1" si="494"/>
        <v>203.65577743375763</v>
      </c>
      <c r="BF155" s="537">
        <f t="shared" ca="1" si="494"/>
        <v>203.65577743375763</v>
      </c>
      <c r="BG155" s="537">
        <f t="shared" ca="1" si="494"/>
        <v>203.65577743375763</v>
      </c>
      <c r="BH155" s="537">
        <f t="shared" ca="1" si="494"/>
        <v>203.65577743375763</v>
      </c>
      <c r="BI155" s="537">
        <f t="shared" ca="1" si="494"/>
        <v>203.65577743375763</v>
      </c>
      <c r="BJ155" s="537">
        <f t="shared" ca="1" si="494"/>
        <v>203.65577743375763</v>
      </c>
      <c r="BK155" s="537">
        <f t="shared" ca="1" si="494"/>
        <v>203.65577743375763</v>
      </c>
      <c r="BL155" s="537">
        <f t="shared" ca="1" si="494"/>
        <v>203.65577743375763</v>
      </c>
      <c r="BM155" s="537">
        <f t="shared" ca="1" si="494"/>
        <v>203.65577743375763</v>
      </c>
      <c r="BN155" s="537">
        <f t="shared" ca="1" si="494"/>
        <v>203.65577743375763</v>
      </c>
      <c r="BO155" s="537">
        <f t="shared" ca="1" si="494"/>
        <v>203.65577743375763</v>
      </c>
      <c r="BP155" s="537">
        <f t="shared" ca="1" si="494"/>
        <v>203.65577743375763</v>
      </c>
      <c r="BQ155" s="537">
        <f t="shared" ref="BQ155:CL155" ca="1" si="495">INDEX($E150:$CL153,4,MATCH($B$5,$E150:$CL150,0))</f>
        <v>203.65577743375763</v>
      </c>
      <c r="BR155" s="537">
        <f t="shared" ca="1" si="495"/>
        <v>203.65577743375763</v>
      </c>
      <c r="BS155" s="537">
        <f t="shared" ca="1" si="495"/>
        <v>203.65577743375763</v>
      </c>
      <c r="BT155" s="537">
        <f t="shared" ca="1" si="495"/>
        <v>203.65577743375763</v>
      </c>
      <c r="BU155" s="537">
        <f t="shared" ca="1" si="495"/>
        <v>203.65577743375763</v>
      </c>
      <c r="BV155" s="537">
        <f t="shared" ca="1" si="495"/>
        <v>203.65577743375763</v>
      </c>
      <c r="BW155" s="537">
        <f t="shared" ca="1" si="495"/>
        <v>203.65577743375763</v>
      </c>
      <c r="BX155" s="537">
        <f t="shared" ca="1" si="495"/>
        <v>203.65577743375763</v>
      </c>
      <c r="BY155" s="537">
        <f t="shared" ca="1" si="495"/>
        <v>203.65577743375763</v>
      </c>
      <c r="BZ155" s="537">
        <f t="shared" ca="1" si="495"/>
        <v>203.65577743375763</v>
      </c>
      <c r="CA155" s="537">
        <f t="shared" ca="1" si="495"/>
        <v>203.65577743375763</v>
      </c>
      <c r="CB155" s="537">
        <f t="shared" ca="1" si="495"/>
        <v>203.65577743375763</v>
      </c>
      <c r="CC155" s="537">
        <f t="shared" ca="1" si="495"/>
        <v>203.65577743375763</v>
      </c>
      <c r="CD155" s="537">
        <f t="shared" ca="1" si="495"/>
        <v>203.65577743375763</v>
      </c>
      <c r="CE155" s="537">
        <f t="shared" ca="1" si="495"/>
        <v>203.65577743375763</v>
      </c>
      <c r="CF155" s="537">
        <f t="shared" ca="1" si="495"/>
        <v>203.65577743375763</v>
      </c>
      <c r="CG155" s="537">
        <f t="shared" ca="1" si="495"/>
        <v>203.65577743375763</v>
      </c>
      <c r="CH155" s="537">
        <f t="shared" ca="1" si="495"/>
        <v>203.65577743375763</v>
      </c>
      <c r="CI155" s="537">
        <f t="shared" ca="1" si="495"/>
        <v>203.65577743375763</v>
      </c>
      <c r="CJ155" s="537">
        <f t="shared" ca="1" si="495"/>
        <v>203.65577743375763</v>
      </c>
      <c r="CK155" s="537">
        <f t="shared" ca="1" si="495"/>
        <v>203.65577743375763</v>
      </c>
      <c r="CL155" s="537">
        <f t="shared" ca="1" si="495"/>
        <v>203.65577743375763</v>
      </c>
      <c r="CN155" s="618"/>
      <c r="CO155" s="618"/>
      <c r="CP155" s="618"/>
    </row>
    <row r="156" spans="1:94">
      <c r="A156" s="538" t="s">
        <v>255</v>
      </c>
      <c r="B156" s="538" t="s">
        <v>260</v>
      </c>
      <c r="C156" s="538" t="s">
        <v>318</v>
      </c>
      <c r="D156" s="538"/>
      <c r="E156" s="539" t="str">
        <f t="shared" ref="E156:BP156" si="496">IF(E150=S34_base,cfe,"")</f>
        <v/>
      </c>
      <c r="F156" s="540" t="str">
        <f t="shared" si="496"/>
        <v/>
      </c>
      <c r="G156" s="540" t="str">
        <f t="shared" si="496"/>
        <v/>
      </c>
      <c r="H156" s="540" t="str">
        <f t="shared" si="496"/>
        <v/>
      </c>
      <c r="I156" s="540" t="str">
        <f t="shared" si="496"/>
        <v/>
      </c>
      <c r="J156" s="540" t="str">
        <f t="shared" si="496"/>
        <v/>
      </c>
      <c r="K156" s="540" t="str">
        <f t="shared" si="496"/>
        <v/>
      </c>
      <c r="L156" s="540" t="str">
        <f t="shared" si="496"/>
        <v/>
      </c>
      <c r="M156" s="540" t="str">
        <f t="shared" si="496"/>
        <v/>
      </c>
      <c r="N156" s="540" t="str">
        <f t="shared" si="496"/>
        <v/>
      </c>
      <c r="O156" s="540" t="str">
        <f t="shared" si="496"/>
        <v/>
      </c>
      <c r="P156" s="540" t="str">
        <f t="shared" si="496"/>
        <v/>
      </c>
      <c r="Q156" s="540" t="str">
        <f t="shared" si="496"/>
        <v/>
      </c>
      <c r="R156" s="540" t="str">
        <f t="shared" si="496"/>
        <v/>
      </c>
      <c r="S156" s="540" t="str">
        <f t="shared" si="496"/>
        <v/>
      </c>
      <c r="T156" s="540" t="str">
        <f t="shared" si="496"/>
        <v/>
      </c>
      <c r="U156" s="540" t="str">
        <f t="shared" si="496"/>
        <v/>
      </c>
      <c r="V156" s="540" t="str">
        <f t="shared" si="496"/>
        <v/>
      </c>
      <c r="W156" s="540" t="str">
        <f t="shared" si="496"/>
        <v/>
      </c>
      <c r="X156" s="540" t="str">
        <f t="shared" si="496"/>
        <v/>
      </c>
      <c r="Y156" s="540" t="str">
        <f t="shared" si="496"/>
        <v/>
      </c>
      <c r="Z156" s="540" t="str">
        <f t="shared" si="496"/>
        <v/>
      </c>
      <c r="AA156" s="540" t="str">
        <f t="shared" si="496"/>
        <v/>
      </c>
      <c r="AB156" s="540" t="str">
        <f t="shared" si="496"/>
        <v/>
      </c>
      <c r="AC156" s="540" t="str">
        <f t="shared" si="496"/>
        <v/>
      </c>
      <c r="AD156" s="540" t="str">
        <f t="shared" si="496"/>
        <v/>
      </c>
      <c r="AE156" s="540" t="str">
        <f t="shared" si="496"/>
        <v/>
      </c>
      <c r="AF156" s="540" t="str">
        <f t="shared" si="496"/>
        <v/>
      </c>
      <c r="AG156" s="540" t="str">
        <f t="shared" si="496"/>
        <v/>
      </c>
      <c r="AH156" s="540" t="str">
        <f t="shared" si="496"/>
        <v/>
      </c>
      <c r="AI156" s="540" t="str">
        <f t="shared" si="496"/>
        <v/>
      </c>
      <c r="AJ156" s="540" t="str">
        <f t="shared" si="496"/>
        <v/>
      </c>
      <c r="AK156" s="540" t="str">
        <f t="shared" si="496"/>
        <v/>
      </c>
      <c r="AL156" s="540" t="str">
        <f t="shared" si="496"/>
        <v/>
      </c>
      <c r="AM156" s="540" t="str">
        <f t="shared" si="496"/>
        <v/>
      </c>
      <c r="AN156" s="540" t="str">
        <f t="shared" si="496"/>
        <v/>
      </c>
      <c r="AO156" s="540" t="str">
        <f t="shared" si="496"/>
        <v/>
      </c>
      <c r="AP156" s="540" t="str">
        <f t="shared" si="496"/>
        <v/>
      </c>
      <c r="AQ156" s="540" t="str">
        <f t="shared" si="496"/>
        <v/>
      </c>
      <c r="AR156" s="540" t="str">
        <f t="shared" si="496"/>
        <v/>
      </c>
      <c r="AS156" s="540" t="str">
        <f t="shared" si="496"/>
        <v/>
      </c>
      <c r="AT156" s="540" t="str">
        <f t="shared" si="496"/>
        <v/>
      </c>
      <c r="AU156" s="540" t="str">
        <f t="shared" si="496"/>
        <v/>
      </c>
      <c r="AV156" s="540" t="str">
        <f t="shared" si="496"/>
        <v/>
      </c>
      <c r="AW156" s="540" t="str">
        <f t="shared" si="496"/>
        <v/>
      </c>
      <c r="AX156" s="540" t="str">
        <f t="shared" si="496"/>
        <v/>
      </c>
      <c r="AY156" s="540" t="str">
        <f t="shared" si="496"/>
        <v/>
      </c>
      <c r="AZ156" s="540" t="str">
        <f t="shared" si="496"/>
        <v/>
      </c>
      <c r="BA156" s="540" t="str">
        <f t="shared" si="496"/>
        <v/>
      </c>
      <c r="BB156" s="540" t="str">
        <f t="shared" si="496"/>
        <v/>
      </c>
      <c r="BC156" s="540" t="str">
        <f t="shared" si="496"/>
        <v/>
      </c>
      <c r="BD156" s="540" t="str">
        <f t="shared" si="496"/>
        <v/>
      </c>
      <c r="BE156" s="540" t="str">
        <f t="shared" si="496"/>
        <v/>
      </c>
      <c r="BF156" s="540" t="str">
        <f t="shared" si="496"/>
        <v/>
      </c>
      <c r="BG156" s="540" t="str">
        <f t="shared" si="496"/>
        <v/>
      </c>
      <c r="BH156" s="540" t="str">
        <f t="shared" si="496"/>
        <v/>
      </c>
      <c r="BI156" s="540" t="str">
        <f t="shared" si="496"/>
        <v/>
      </c>
      <c r="BJ156" s="540" t="str">
        <f t="shared" si="496"/>
        <v/>
      </c>
      <c r="BK156" s="540" t="str">
        <f t="shared" si="496"/>
        <v/>
      </c>
      <c r="BL156" s="540" t="str">
        <f t="shared" si="496"/>
        <v/>
      </c>
      <c r="BM156" s="540" t="str">
        <f t="shared" si="496"/>
        <v/>
      </c>
      <c r="BN156" s="540" t="str">
        <f t="shared" si="496"/>
        <v/>
      </c>
      <c r="BO156" s="540" t="str">
        <f t="shared" si="496"/>
        <v/>
      </c>
      <c r="BP156" s="540" t="str">
        <f t="shared" si="496"/>
        <v/>
      </c>
      <c r="BQ156" s="540" t="str">
        <f t="shared" ref="BQ156:CL156" si="497">IF(BQ150=S34_base,cfe,"")</f>
        <v/>
      </c>
      <c r="BR156" s="540" t="str">
        <f t="shared" si="497"/>
        <v/>
      </c>
      <c r="BS156" s="540" t="str">
        <f t="shared" si="497"/>
        <v/>
      </c>
      <c r="BT156" s="540" t="str">
        <f t="shared" si="497"/>
        <v/>
      </c>
      <c r="BU156" s="540" t="str">
        <f t="shared" si="497"/>
        <v/>
      </c>
      <c r="BV156" s="540" t="str">
        <f t="shared" si="497"/>
        <v/>
      </c>
      <c r="BW156" s="540" t="str">
        <f t="shared" si="497"/>
        <v/>
      </c>
      <c r="BX156" s="540" t="str">
        <f t="shared" si="497"/>
        <v/>
      </c>
      <c r="BY156" s="540" t="str">
        <f t="shared" si="497"/>
        <v/>
      </c>
      <c r="BZ156" s="540" t="str">
        <f t="shared" si="497"/>
        <v/>
      </c>
      <c r="CA156" s="540" t="str">
        <f t="shared" si="497"/>
        <v/>
      </c>
      <c r="CB156" s="540" t="str">
        <f t="shared" si="497"/>
        <v/>
      </c>
      <c r="CC156" s="540" t="str">
        <f t="shared" si="497"/>
        <v/>
      </c>
      <c r="CD156" s="540" t="str">
        <f t="shared" si="497"/>
        <v/>
      </c>
      <c r="CE156" s="540" t="str">
        <f t="shared" si="497"/>
        <v/>
      </c>
      <c r="CF156" s="540" t="str">
        <f t="shared" si="497"/>
        <v/>
      </c>
      <c r="CG156" s="540" t="str">
        <f t="shared" si="497"/>
        <v/>
      </c>
      <c r="CH156" s="540" t="str">
        <f t="shared" si="497"/>
        <v/>
      </c>
      <c r="CI156" s="540" t="str">
        <f t="shared" si="497"/>
        <v/>
      </c>
      <c r="CJ156" s="540" t="str">
        <f t="shared" si="497"/>
        <v/>
      </c>
      <c r="CK156" s="540" t="str">
        <f t="shared" si="497"/>
        <v/>
      </c>
      <c r="CL156" s="540" t="str">
        <f t="shared" si="497"/>
        <v/>
      </c>
      <c r="CN156" s="619" t="str">
        <f t="shared" ref="CN156:CN158" si="498">IFERROR((Y156/H156)^(1/17)-1,"")</f>
        <v/>
      </c>
      <c r="CO156" s="619" t="str">
        <f t="shared" ref="CO156:CO158" si="499">IFERROR((AN156/Y156)^(1/15)-1,"")</f>
        <v/>
      </c>
      <c r="CP156" s="619" t="str">
        <f t="shared" ref="CP156:CP158" si="500">IFERROR((AN156/H156)^(1/32)-1,"")</f>
        <v/>
      </c>
    </row>
    <row r="157" spans="1:94">
      <c r="A157" s="535" t="s">
        <v>255</v>
      </c>
      <c r="B157" s="535" t="s">
        <v>259</v>
      </c>
      <c r="C157" s="535" t="s">
        <v>319</v>
      </c>
      <c r="D157" s="535"/>
      <c r="E157" s="546">
        <f t="shared" ref="E157:BP157" si="501">IF(E8&lt;S34_base,NA(),IFERROR(IF(cf_forecast_select="Input Activity Data Manually",IF(E8=S34_base,cfa,IF(E8=S34_target,cff,D157+((cff-cfa)/(S34_target-S34_base)))),cfa*(1+C_CAGR)^(E8-S34_base)),""))</f>
        <v>1.4724405753444594E+27</v>
      </c>
      <c r="F157" s="541">
        <f t="shared" si="501"/>
        <v>1.5166137926047932E+27</v>
      </c>
      <c r="G157" s="541">
        <f t="shared" si="501"/>
        <v>1.5621122063829368E+27</v>
      </c>
      <c r="H157" s="541">
        <f t="shared" si="501"/>
        <v>1.6089755725744246E+27</v>
      </c>
      <c r="I157" s="541">
        <f t="shared" si="501"/>
        <v>1.6572448397516575E+27</v>
      </c>
      <c r="J157" s="541">
        <f t="shared" si="501"/>
        <v>1.7069621849442073E+27</v>
      </c>
      <c r="K157" s="541">
        <f t="shared" si="501"/>
        <v>1.758171050492533E+27</v>
      </c>
      <c r="L157" s="541">
        <f t="shared" si="501"/>
        <v>1.8109161820073092E+27</v>
      </c>
      <c r="M157" s="541">
        <f t="shared" si="501"/>
        <v>1.8652436674675288E+27</v>
      </c>
      <c r="N157" s="541">
        <f t="shared" si="501"/>
        <v>1.9212009774915544E+27</v>
      </c>
      <c r="O157" s="541">
        <f t="shared" si="501"/>
        <v>1.9788370068163014E+27</v>
      </c>
      <c r="P157" s="541">
        <f t="shared" si="501"/>
        <v>2.0382021170207904E+27</v>
      </c>
      <c r="Q157" s="541">
        <f t="shared" si="501"/>
        <v>2.0993481805314138E+27</v>
      </c>
      <c r="R157" s="541">
        <f t="shared" si="501"/>
        <v>2.162328625947356E+27</v>
      </c>
      <c r="S157" s="541">
        <f t="shared" si="501"/>
        <v>2.2271984847257768E+27</v>
      </c>
      <c r="T157" s="541">
        <f t="shared" si="501"/>
        <v>2.2940144392675505E+27</v>
      </c>
      <c r="U157" s="541">
        <f t="shared" si="501"/>
        <v>2.3628348724455767E+27</v>
      </c>
      <c r="V157" s="541">
        <f t="shared" si="501"/>
        <v>2.4337199186189444E+27</v>
      </c>
      <c r="W157" s="541">
        <f t="shared" si="501"/>
        <v>2.5067315161775114E+27</v>
      </c>
      <c r="X157" s="541">
        <f t="shared" si="501"/>
        <v>2.5819334616628374E+27</v>
      </c>
      <c r="Y157" s="541">
        <f t="shared" si="501"/>
        <v>2.6593914655127224E+27</v>
      </c>
      <c r="Z157" s="541">
        <f t="shared" si="501"/>
        <v>2.7391732094781047E+27</v>
      </c>
      <c r="AA157" s="541">
        <f t="shared" si="501"/>
        <v>2.8213484057624462E+27</v>
      </c>
      <c r="AB157" s="541">
        <f t="shared" si="501"/>
        <v>2.9059888579353209E+27</v>
      </c>
      <c r="AC157" s="541">
        <f t="shared" si="501"/>
        <v>2.9931685236733804E+27</v>
      </c>
      <c r="AD157" s="541">
        <f t="shared" si="501"/>
        <v>3.0829635793835811E+27</v>
      </c>
      <c r="AE157" s="541">
        <f t="shared" si="501"/>
        <v>3.175452486765089E+27</v>
      </c>
      <c r="AF157" s="541">
        <f t="shared" si="501"/>
        <v>3.2707160613680422E+27</v>
      </c>
      <c r="AG157" s="541">
        <f t="shared" si="501"/>
        <v>3.3688375432090833E+27</v>
      </c>
      <c r="AH157" s="541">
        <f t="shared" si="501"/>
        <v>3.4699026695053551E+27</v>
      </c>
      <c r="AI157" s="541">
        <f t="shared" si="501"/>
        <v>3.5739997495905154E+27</v>
      </c>
      <c r="AJ157" s="541">
        <f t="shared" si="501"/>
        <v>3.6812197420782304E+27</v>
      </c>
      <c r="AK157" s="541">
        <f t="shared" si="501"/>
        <v>3.7916563343405777E+27</v>
      </c>
      <c r="AL157" s="541">
        <f t="shared" si="501"/>
        <v>3.9054060243707955E+27</v>
      </c>
      <c r="AM157" s="541">
        <f t="shared" si="501"/>
        <v>4.0225682051019189E+27</v>
      </c>
      <c r="AN157" s="541">
        <f t="shared" si="501"/>
        <v>4.1432452512549765E+27</v>
      </c>
      <c r="AO157" s="541">
        <f t="shared" si="501"/>
        <v>4.2675426087926265E+27</v>
      </c>
      <c r="AP157" s="541">
        <f t="shared" si="501"/>
        <v>4.3955688870564048E+27</v>
      </c>
      <c r="AQ157" s="541">
        <f t="shared" si="501"/>
        <v>4.5274359536680961E+27</v>
      </c>
      <c r="AR157" s="541">
        <f t="shared" si="501"/>
        <v>4.6632590322781396E+27</v>
      </c>
      <c r="AS157" s="541">
        <f t="shared" si="501"/>
        <v>4.8031568032464842E+27</v>
      </c>
      <c r="AT157" s="541">
        <f t="shared" si="501"/>
        <v>4.947251507343878E+27</v>
      </c>
      <c r="AU157" s="541">
        <f t="shared" si="501"/>
        <v>5.0956690525641947E+27</v>
      </c>
      <c r="AV157" s="541">
        <f t="shared" si="501"/>
        <v>5.2485391241411201E+27</v>
      </c>
      <c r="AW157" s="541">
        <f t="shared" si="501"/>
        <v>5.4059952978653535E+27</v>
      </c>
      <c r="AX157" s="541">
        <f t="shared" si="501"/>
        <v>5.568175156801314E+27</v>
      </c>
      <c r="AY157" s="541">
        <f t="shared" si="501"/>
        <v>5.7352204115053532E+27</v>
      </c>
      <c r="AZ157" s="541">
        <f t="shared" si="501"/>
        <v>5.9072770238505136E+27</v>
      </c>
      <c r="BA157" s="541">
        <f t="shared" si="501"/>
        <v>6.0844953345660293E+27</v>
      </c>
      <c r="BB157" s="541">
        <f t="shared" si="501"/>
        <v>6.26703019460301E+27</v>
      </c>
      <c r="BC157" s="541">
        <f t="shared" si="501"/>
        <v>6.4550411004410992E+27</v>
      </c>
      <c r="BD157" s="541">
        <f t="shared" si="501"/>
        <v>6.648692333454332E+27</v>
      </c>
      <c r="BE157" s="541">
        <f t="shared" si="501"/>
        <v>6.8481531034579619E+27</v>
      </c>
      <c r="BF157" s="541">
        <f t="shared" si="501"/>
        <v>7.0535976965617023E+27</v>
      </c>
      <c r="BG157" s="541">
        <f t="shared" si="501"/>
        <v>7.2652056274585512E+27</v>
      </c>
      <c r="BH157" s="541">
        <f t="shared" si="501"/>
        <v>7.4831617962823094E+27</v>
      </c>
      <c r="BI157" s="541">
        <f t="shared" si="501"/>
        <v>7.7076566501707793E+27</v>
      </c>
      <c r="BJ157" s="541">
        <f t="shared" si="501"/>
        <v>7.9388863496759016E+27</v>
      </c>
      <c r="BK157" s="541">
        <f t="shared" si="501"/>
        <v>8.1770529401661779E+27</v>
      </c>
      <c r="BL157" s="541">
        <f t="shared" si="501"/>
        <v>8.4223645283711638E+27</v>
      </c>
      <c r="BM157" s="541">
        <f t="shared" si="501"/>
        <v>8.675035464222298E+27</v>
      </c>
      <c r="BN157" s="541">
        <f t="shared" si="501"/>
        <v>8.935286528148968E+27</v>
      </c>
      <c r="BO157" s="541">
        <f t="shared" si="501"/>
        <v>9.2033451239934345E+27</v>
      </c>
      <c r="BP157" s="541">
        <f t="shared" si="501"/>
        <v>9.4794454777132384E+27</v>
      </c>
      <c r="BQ157" s="541">
        <f t="shared" ref="BQ157:CL157" si="502">IF(BQ8&lt;S34_base,NA(),IFERROR(IF(cf_forecast_select="Input Activity Data Manually",IF(BQ8=S34_base,cfa,IF(BQ8=S34_target,cff,BP157+((cff-cfa)/(S34_target-S34_base)))),cfa*(1+C_CAGR)^(BQ8-S34_base)),""))</f>
        <v>9.7638288420446366E+27</v>
      </c>
      <c r="BR157" s="541">
        <f t="shared" si="502"/>
        <v>1.0056743707305975E+28</v>
      </c>
      <c r="BS157" s="541">
        <f t="shared" si="502"/>
        <v>1.0358446018525155E+28</v>
      </c>
      <c r="BT157" s="541">
        <f t="shared" si="502"/>
        <v>1.0669199399080908E+28</v>
      </c>
      <c r="BU157" s="541">
        <f t="shared" si="502"/>
        <v>1.0989275381053336E+28</v>
      </c>
      <c r="BV157" s="541">
        <f t="shared" si="502"/>
        <v>1.1318953642484935E+28</v>
      </c>
      <c r="BW157" s="541">
        <f t="shared" si="502"/>
        <v>1.1658522251759482E+28</v>
      </c>
      <c r="BX157" s="541">
        <f t="shared" si="502"/>
        <v>1.2008277919312265E+28</v>
      </c>
      <c r="BY157" s="541">
        <f t="shared" si="502"/>
        <v>1.2368526256891637E+28</v>
      </c>
      <c r="BZ157" s="541">
        <f t="shared" si="502"/>
        <v>1.2739582044598383E+28</v>
      </c>
      <c r="CA157" s="541">
        <f t="shared" si="502"/>
        <v>1.3121769505936334E+28</v>
      </c>
      <c r="CB157" s="541">
        <f t="shared" si="502"/>
        <v>1.3515422591114426E+28</v>
      </c>
      <c r="CC157" s="541">
        <f t="shared" si="502"/>
        <v>1.3920885268847857E+28</v>
      </c>
      <c r="CD157" s="541">
        <f t="shared" si="502"/>
        <v>1.4338511826913293E+28</v>
      </c>
      <c r="CE157" s="541">
        <f t="shared" si="502"/>
        <v>1.4768667181720691E+28</v>
      </c>
      <c r="CF157" s="541">
        <f t="shared" si="502"/>
        <v>1.521172719717231E+28</v>
      </c>
      <c r="CG157" s="541">
        <f t="shared" si="502"/>
        <v>1.5668079013087485E+28</v>
      </c>
      <c r="CH157" s="541">
        <f t="shared" si="502"/>
        <v>1.6138121383480107E+28</v>
      </c>
      <c r="CI157" s="541">
        <f t="shared" si="502"/>
        <v>1.6622265024984507E+28</v>
      </c>
      <c r="CJ157" s="541">
        <f t="shared" si="502"/>
        <v>1.7120932975734041E+28</v>
      </c>
      <c r="CK157" s="541">
        <f t="shared" si="502"/>
        <v>1.7634560965006064E+28</v>
      </c>
      <c r="CL157" s="541">
        <f t="shared" si="502"/>
        <v>1.8163597793956245E+28</v>
      </c>
      <c r="CN157" s="620">
        <f t="shared" si="498"/>
        <v>3.0000000000000027E-2</v>
      </c>
      <c r="CO157" s="620">
        <f t="shared" si="499"/>
        <v>3.0000000000000027E-2</v>
      </c>
      <c r="CP157" s="620">
        <f t="shared" si="500"/>
        <v>3.0000000000000027E-2</v>
      </c>
    </row>
    <row r="158" spans="1:94">
      <c r="A158" s="535" t="s">
        <v>255</v>
      </c>
      <c r="B158" s="535" t="s">
        <v>258</v>
      </c>
      <c r="C158" s="535" t="s">
        <v>320</v>
      </c>
      <c r="D158" s="535" t="s">
        <v>321</v>
      </c>
      <c r="E158" s="542" t="str">
        <f>IFERROR((E156/E157)*1000,"")</f>
        <v/>
      </c>
      <c r="F158" s="531" t="str">
        <f t="shared" ref="F158:BQ158" si="503">IFERROR((F156/F157)*1000,"")</f>
        <v/>
      </c>
      <c r="G158" s="531" t="str">
        <f t="shared" si="503"/>
        <v/>
      </c>
      <c r="H158" s="531" t="str">
        <f t="shared" si="503"/>
        <v/>
      </c>
      <c r="I158" s="531" t="str">
        <f t="shared" si="503"/>
        <v/>
      </c>
      <c r="J158" s="531" t="str">
        <f t="shared" si="503"/>
        <v/>
      </c>
      <c r="K158" s="531" t="str">
        <f t="shared" si="503"/>
        <v/>
      </c>
      <c r="L158" s="531" t="str">
        <f t="shared" si="503"/>
        <v/>
      </c>
      <c r="M158" s="531" t="str">
        <f t="shared" si="503"/>
        <v/>
      </c>
      <c r="N158" s="531" t="str">
        <f t="shared" si="503"/>
        <v/>
      </c>
      <c r="O158" s="531" t="str">
        <f t="shared" si="503"/>
        <v/>
      </c>
      <c r="P158" s="531" t="str">
        <f t="shared" si="503"/>
        <v/>
      </c>
      <c r="Q158" s="531" t="str">
        <f t="shared" si="503"/>
        <v/>
      </c>
      <c r="R158" s="531" t="str">
        <f t="shared" si="503"/>
        <v/>
      </c>
      <c r="S158" s="531" t="str">
        <f t="shared" si="503"/>
        <v/>
      </c>
      <c r="T158" s="531" t="str">
        <f t="shared" si="503"/>
        <v/>
      </c>
      <c r="U158" s="531" t="str">
        <f t="shared" si="503"/>
        <v/>
      </c>
      <c r="V158" s="531" t="str">
        <f t="shared" si="503"/>
        <v/>
      </c>
      <c r="W158" s="531" t="str">
        <f t="shared" si="503"/>
        <v/>
      </c>
      <c r="X158" s="531" t="str">
        <f t="shared" si="503"/>
        <v/>
      </c>
      <c r="Y158" s="531" t="str">
        <f t="shared" si="503"/>
        <v/>
      </c>
      <c r="Z158" s="531" t="str">
        <f t="shared" si="503"/>
        <v/>
      </c>
      <c r="AA158" s="531" t="str">
        <f t="shared" si="503"/>
        <v/>
      </c>
      <c r="AB158" s="531" t="str">
        <f t="shared" si="503"/>
        <v/>
      </c>
      <c r="AC158" s="531" t="str">
        <f t="shared" si="503"/>
        <v/>
      </c>
      <c r="AD158" s="531" t="str">
        <f t="shared" si="503"/>
        <v/>
      </c>
      <c r="AE158" s="531" t="str">
        <f t="shared" si="503"/>
        <v/>
      </c>
      <c r="AF158" s="531" t="str">
        <f t="shared" si="503"/>
        <v/>
      </c>
      <c r="AG158" s="531" t="str">
        <f t="shared" si="503"/>
        <v/>
      </c>
      <c r="AH158" s="531" t="str">
        <f t="shared" si="503"/>
        <v/>
      </c>
      <c r="AI158" s="531" t="str">
        <f t="shared" si="503"/>
        <v/>
      </c>
      <c r="AJ158" s="531" t="str">
        <f t="shared" si="503"/>
        <v/>
      </c>
      <c r="AK158" s="531" t="str">
        <f t="shared" si="503"/>
        <v/>
      </c>
      <c r="AL158" s="531" t="str">
        <f t="shared" si="503"/>
        <v/>
      </c>
      <c r="AM158" s="531" t="str">
        <f t="shared" si="503"/>
        <v/>
      </c>
      <c r="AN158" s="531" t="str">
        <f t="shared" si="503"/>
        <v/>
      </c>
      <c r="AO158" s="531" t="str">
        <f t="shared" si="503"/>
        <v/>
      </c>
      <c r="AP158" s="531" t="str">
        <f t="shared" si="503"/>
        <v/>
      </c>
      <c r="AQ158" s="531" t="str">
        <f t="shared" si="503"/>
        <v/>
      </c>
      <c r="AR158" s="531" t="str">
        <f t="shared" si="503"/>
        <v/>
      </c>
      <c r="AS158" s="531" t="str">
        <f t="shared" si="503"/>
        <v/>
      </c>
      <c r="AT158" s="531" t="str">
        <f t="shared" si="503"/>
        <v/>
      </c>
      <c r="AU158" s="531" t="str">
        <f t="shared" si="503"/>
        <v/>
      </c>
      <c r="AV158" s="531" t="str">
        <f t="shared" si="503"/>
        <v/>
      </c>
      <c r="AW158" s="531" t="str">
        <f t="shared" si="503"/>
        <v/>
      </c>
      <c r="AX158" s="531" t="str">
        <f t="shared" si="503"/>
        <v/>
      </c>
      <c r="AY158" s="531" t="str">
        <f t="shared" si="503"/>
        <v/>
      </c>
      <c r="AZ158" s="531" t="str">
        <f t="shared" si="503"/>
        <v/>
      </c>
      <c r="BA158" s="531" t="str">
        <f t="shared" si="503"/>
        <v/>
      </c>
      <c r="BB158" s="531" t="str">
        <f t="shared" si="503"/>
        <v/>
      </c>
      <c r="BC158" s="531" t="str">
        <f t="shared" si="503"/>
        <v/>
      </c>
      <c r="BD158" s="531" t="str">
        <f t="shared" si="503"/>
        <v/>
      </c>
      <c r="BE158" s="531" t="str">
        <f t="shared" si="503"/>
        <v/>
      </c>
      <c r="BF158" s="531" t="str">
        <f t="shared" si="503"/>
        <v/>
      </c>
      <c r="BG158" s="531" t="str">
        <f t="shared" si="503"/>
        <v/>
      </c>
      <c r="BH158" s="531" t="str">
        <f t="shared" si="503"/>
        <v/>
      </c>
      <c r="BI158" s="531" t="str">
        <f t="shared" si="503"/>
        <v/>
      </c>
      <c r="BJ158" s="531" t="str">
        <f t="shared" si="503"/>
        <v/>
      </c>
      <c r="BK158" s="531" t="str">
        <f t="shared" si="503"/>
        <v/>
      </c>
      <c r="BL158" s="531" t="str">
        <f t="shared" si="503"/>
        <v/>
      </c>
      <c r="BM158" s="531" t="str">
        <f t="shared" si="503"/>
        <v/>
      </c>
      <c r="BN158" s="531" t="str">
        <f t="shared" si="503"/>
        <v/>
      </c>
      <c r="BO158" s="531" t="str">
        <f t="shared" si="503"/>
        <v/>
      </c>
      <c r="BP158" s="531" t="str">
        <f t="shared" si="503"/>
        <v/>
      </c>
      <c r="BQ158" s="531" t="str">
        <f t="shared" si="503"/>
        <v/>
      </c>
      <c r="BR158" s="531" t="str">
        <f t="shared" ref="BR158:CL158" si="504">IFERROR((BR156/BR157)*1000,"")</f>
        <v/>
      </c>
      <c r="BS158" s="531" t="str">
        <f t="shared" si="504"/>
        <v/>
      </c>
      <c r="BT158" s="531" t="str">
        <f t="shared" si="504"/>
        <v/>
      </c>
      <c r="BU158" s="531" t="str">
        <f t="shared" si="504"/>
        <v/>
      </c>
      <c r="BV158" s="531" t="str">
        <f t="shared" si="504"/>
        <v/>
      </c>
      <c r="BW158" s="531" t="str">
        <f t="shared" si="504"/>
        <v/>
      </c>
      <c r="BX158" s="531" t="str">
        <f t="shared" si="504"/>
        <v/>
      </c>
      <c r="BY158" s="531" t="str">
        <f t="shared" si="504"/>
        <v/>
      </c>
      <c r="BZ158" s="531" t="str">
        <f t="shared" si="504"/>
        <v/>
      </c>
      <c r="CA158" s="531" t="str">
        <f t="shared" si="504"/>
        <v/>
      </c>
      <c r="CB158" s="531" t="str">
        <f t="shared" si="504"/>
        <v/>
      </c>
      <c r="CC158" s="531" t="str">
        <f t="shared" si="504"/>
        <v/>
      </c>
      <c r="CD158" s="531" t="str">
        <f t="shared" si="504"/>
        <v/>
      </c>
      <c r="CE158" s="531" t="str">
        <f t="shared" si="504"/>
        <v/>
      </c>
      <c r="CF158" s="531" t="str">
        <f t="shared" si="504"/>
        <v/>
      </c>
      <c r="CG158" s="531" t="str">
        <f t="shared" si="504"/>
        <v/>
      </c>
      <c r="CH158" s="531" t="str">
        <f t="shared" si="504"/>
        <v/>
      </c>
      <c r="CI158" s="531" t="str">
        <f t="shared" si="504"/>
        <v/>
      </c>
      <c r="CJ158" s="531" t="str">
        <f t="shared" si="504"/>
        <v/>
      </c>
      <c r="CK158" s="531" t="str">
        <f t="shared" si="504"/>
        <v/>
      </c>
      <c r="CL158" s="531" t="str">
        <f t="shared" si="504"/>
        <v/>
      </c>
      <c r="CN158" s="613" t="str">
        <f t="shared" si="498"/>
        <v/>
      </c>
      <c r="CO158" s="613" t="str">
        <f t="shared" si="499"/>
        <v/>
      </c>
      <c r="CP158" s="613" t="str">
        <f t="shared" si="500"/>
        <v/>
      </c>
    </row>
    <row r="159" spans="1:94">
      <c r="A159" s="543"/>
      <c r="B159" s="543" t="s">
        <v>124</v>
      </c>
      <c r="C159" s="543" t="s">
        <v>322</v>
      </c>
      <c r="D159" s="543" t="s">
        <v>323</v>
      </c>
      <c r="E159" s="544" t="str">
        <f t="shared" ref="E159:BP159" ca="1" si="505">IFERROR(IF((INDEX($E150:$CL157,8,MATCH(S34_base,$E150:$CL150,0))/INDEX($E150:$CL157,3,MATCH(S34_base,$E150:$CL150,0))/(E157/E152))&gt;=1,1,(INDEX($E150:$CL157,8,MATCH(S34_base,$E150:$CL150,0))/INDEX($E150:$CL157,3,MATCH(S34_base,$E150:$CL150,0))/(E157/E152))),"")</f>
        <v/>
      </c>
      <c r="F159" s="545" t="str">
        <f t="shared" ca="1" si="505"/>
        <v/>
      </c>
      <c r="G159" s="545" t="str">
        <f t="shared" ca="1" si="505"/>
        <v/>
      </c>
      <c r="H159" s="545" t="str">
        <f t="shared" ca="1" si="505"/>
        <v/>
      </c>
      <c r="I159" s="545" t="str">
        <f t="shared" ca="1" si="505"/>
        <v/>
      </c>
      <c r="J159" s="545" t="str">
        <f t="shared" ca="1" si="505"/>
        <v/>
      </c>
      <c r="K159" s="545" t="str">
        <f t="shared" ca="1" si="505"/>
        <v/>
      </c>
      <c r="L159" s="545" t="str">
        <f t="shared" ca="1" si="505"/>
        <v/>
      </c>
      <c r="M159" s="545" t="str">
        <f t="shared" ca="1" si="505"/>
        <v/>
      </c>
      <c r="N159" s="545" t="str">
        <f t="shared" ca="1" si="505"/>
        <v/>
      </c>
      <c r="O159" s="545" t="str">
        <f t="shared" ca="1" si="505"/>
        <v/>
      </c>
      <c r="P159" s="545" t="str">
        <f t="shared" ca="1" si="505"/>
        <v/>
      </c>
      <c r="Q159" s="545" t="str">
        <f t="shared" ca="1" si="505"/>
        <v/>
      </c>
      <c r="R159" s="545" t="str">
        <f t="shared" ca="1" si="505"/>
        <v/>
      </c>
      <c r="S159" s="545" t="str">
        <f t="shared" ca="1" si="505"/>
        <v/>
      </c>
      <c r="T159" s="545" t="str">
        <f t="shared" ca="1" si="505"/>
        <v/>
      </c>
      <c r="U159" s="545" t="str">
        <f t="shared" ca="1" si="505"/>
        <v/>
      </c>
      <c r="V159" s="545" t="str">
        <f t="shared" ca="1" si="505"/>
        <v/>
      </c>
      <c r="W159" s="545" t="str">
        <f t="shared" ca="1" si="505"/>
        <v/>
      </c>
      <c r="X159" s="545" t="str">
        <f t="shared" ca="1" si="505"/>
        <v/>
      </c>
      <c r="Y159" s="545" t="str">
        <f t="shared" ca="1" si="505"/>
        <v/>
      </c>
      <c r="Z159" s="545" t="str">
        <f t="shared" ca="1" si="505"/>
        <v/>
      </c>
      <c r="AA159" s="545" t="str">
        <f t="shared" ca="1" si="505"/>
        <v/>
      </c>
      <c r="AB159" s="545" t="str">
        <f t="shared" ca="1" si="505"/>
        <v/>
      </c>
      <c r="AC159" s="545" t="str">
        <f t="shared" ca="1" si="505"/>
        <v/>
      </c>
      <c r="AD159" s="545" t="str">
        <f t="shared" ca="1" si="505"/>
        <v/>
      </c>
      <c r="AE159" s="545" t="str">
        <f t="shared" ca="1" si="505"/>
        <v/>
      </c>
      <c r="AF159" s="545" t="str">
        <f t="shared" ca="1" si="505"/>
        <v/>
      </c>
      <c r="AG159" s="545" t="str">
        <f t="shared" ca="1" si="505"/>
        <v/>
      </c>
      <c r="AH159" s="545" t="str">
        <f t="shared" ca="1" si="505"/>
        <v/>
      </c>
      <c r="AI159" s="545" t="str">
        <f t="shared" ca="1" si="505"/>
        <v/>
      </c>
      <c r="AJ159" s="545" t="str">
        <f t="shared" ca="1" si="505"/>
        <v/>
      </c>
      <c r="AK159" s="545" t="str">
        <f t="shared" ca="1" si="505"/>
        <v/>
      </c>
      <c r="AL159" s="545" t="str">
        <f t="shared" ca="1" si="505"/>
        <v/>
      </c>
      <c r="AM159" s="545" t="str">
        <f t="shared" ca="1" si="505"/>
        <v/>
      </c>
      <c r="AN159" s="545" t="str">
        <f t="shared" ca="1" si="505"/>
        <v/>
      </c>
      <c r="AO159" s="545" t="str">
        <f t="shared" ca="1" si="505"/>
        <v/>
      </c>
      <c r="AP159" s="545" t="str">
        <f t="shared" ca="1" si="505"/>
        <v/>
      </c>
      <c r="AQ159" s="545" t="str">
        <f t="shared" ca="1" si="505"/>
        <v/>
      </c>
      <c r="AR159" s="545" t="str">
        <f t="shared" ca="1" si="505"/>
        <v/>
      </c>
      <c r="AS159" s="545" t="str">
        <f t="shared" ca="1" si="505"/>
        <v/>
      </c>
      <c r="AT159" s="545" t="str">
        <f t="shared" ca="1" si="505"/>
        <v/>
      </c>
      <c r="AU159" s="545" t="str">
        <f t="shared" ca="1" si="505"/>
        <v/>
      </c>
      <c r="AV159" s="545" t="str">
        <f t="shared" ca="1" si="505"/>
        <v/>
      </c>
      <c r="AW159" s="545" t="str">
        <f t="shared" ca="1" si="505"/>
        <v/>
      </c>
      <c r="AX159" s="545" t="str">
        <f t="shared" ca="1" si="505"/>
        <v/>
      </c>
      <c r="AY159" s="545" t="str">
        <f t="shared" ca="1" si="505"/>
        <v/>
      </c>
      <c r="AZ159" s="545" t="str">
        <f t="shared" ca="1" si="505"/>
        <v/>
      </c>
      <c r="BA159" s="545" t="str">
        <f t="shared" ca="1" si="505"/>
        <v/>
      </c>
      <c r="BB159" s="545" t="str">
        <f t="shared" ca="1" si="505"/>
        <v/>
      </c>
      <c r="BC159" s="545" t="str">
        <f t="shared" ca="1" si="505"/>
        <v/>
      </c>
      <c r="BD159" s="545" t="str">
        <f t="shared" ca="1" si="505"/>
        <v/>
      </c>
      <c r="BE159" s="545" t="str">
        <f t="shared" ca="1" si="505"/>
        <v/>
      </c>
      <c r="BF159" s="545" t="str">
        <f t="shared" ca="1" si="505"/>
        <v/>
      </c>
      <c r="BG159" s="545" t="str">
        <f t="shared" ca="1" si="505"/>
        <v/>
      </c>
      <c r="BH159" s="545" t="str">
        <f t="shared" ca="1" si="505"/>
        <v/>
      </c>
      <c r="BI159" s="545" t="str">
        <f t="shared" ca="1" si="505"/>
        <v/>
      </c>
      <c r="BJ159" s="545" t="str">
        <f t="shared" ca="1" si="505"/>
        <v/>
      </c>
      <c r="BK159" s="545" t="str">
        <f t="shared" ca="1" si="505"/>
        <v/>
      </c>
      <c r="BL159" s="545" t="str">
        <f t="shared" ca="1" si="505"/>
        <v/>
      </c>
      <c r="BM159" s="545" t="str">
        <f t="shared" ca="1" si="505"/>
        <v/>
      </c>
      <c r="BN159" s="545" t="str">
        <f t="shared" ca="1" si="505"/>
        <v/>
      </c>
      <c r="BO159" s="545" t="str">
        <f t="shared" ca="1" si="505"/>
        <v/>
      </c>
      <c r="BP159" s="545" t="str">
        <f t="shared" ca="1" si="505"/>
        <v/>
      </c>
      <c r="BQ159" s="545" t="str">
        <f t="shared" ref="BQ159:CL159" ca="1" si="506">IFERROR(IF((INDEX($E150:$CL157,8,MATCH(S34_base,$E150:$CL150,0))/INDEX($E150:$CL157,3,MATCH(S34_base,$E150:$CL150,0))/(BQ157/BQ152))&gt;=1,1,(INDEX($E150:$CL157,8,MATCH(S34_base,$E150:$CL150,0))/INDEX($E150:$CL157,3,MATCH(S34_base,$E150:$CL150,0))/(BQ157/BQ152))),"")</f>
        <v/>
      </c>
      <c r="BR159" s="545" t="str">
        <f t="shared" ca="1" si="506"/>
        <v/>
      </c>
      <c r="BS159" s="545" t="str">
        <f t="shared" ca="1" si="506"/>
        <v/>
      </c>
      <c r="BT159" s="545" t="str">
        <f t="shared" ca="1" si="506"/>
        <v/>
      </c>
      <c r="BU159" s="545" t="str">
        <f t="shared" ca="1" si="506"/>
        <v/>
      </c>
      <c r="BV159" s="545" t="str">
        <f t="shared" ca="1" si="506"/>
        <v/>
      </c>
      <c r="BW159" s="545" t="str">
        <f t="shared" ca="1" si="506"/>
        <v/>
      </c>
      <c r="BX159" s="545" t="str">
        <f t="shared" ca="1" si="506"/>
        <v/>
      </c>
      <c r="BY159" s="545" t="str">
        <f t="shared" ca="1" si="506"/>
        <v/>
      </c>
      <c r="BZ159" s="545" t="str">
        <f t="shared" ca="1" si="506"/>
        <v/>
      </c>
      <c r="CA159" s="545" t="str">
        <f t="shared" ca="1" si="506"/>
        <v/>
      </c>
      <c r="CB159" s="545" t="str">
        <f t="shared" ca="1" si="506"/>
        <v/>
      </c>
      <c r="CC159" s="545" t="str">
        <f t="shared" ca="1" si="506"/>
        <v/>
      </c>
      <c r="CD159" s="545" t="str">
        <f t="shared" ca="1" si="506"/>
        <v/>
      </c>
      <c r="CE159" s="545" t="str">
        <f t="shared" ca="1" si="506"/>
        <v/>
      </c>
      <c r="CF159" s="545" t="str">
        <f t="shared" ca="1" si="506"/>
        <v/>
      </c>
      <c r="CG159" s="545" t="str">
        <f t="shared" ca="1" si="506"/>
        <v/>
      </c>
      <c r="CH159" s="545" t="str">
        <f t="shared" ca="1" si="506"/>
        <v/>
      </c>
      <c r="CI159" s="545" t="str">
        <f t="shared" ca="1" si="506"/>
        <v/>
      </c>
      <c r="CJ159" s="545" t="str">
        <f t="shared" ca="1" si="506"/>
        <v/>
      </c>
      <c r="CK159" s="545" t="str">
        <f t="shared" ca="1" si="506"/>
        <v/>
      </c>
      <c r="CL159" s="545" t="str">
        <f t="shared" ca="1" si="506"/>
        <v/>
      </c>
      <c r="CN159" s="619" t="str">
        <f ca="1">IFERROR((Y159/H159)^(1/17)-1,"")</f>
        <v/>
      </c>
      <c r="CO159" s="619" t="str">
        <f ca="1">IFERROR((AN159/Y159)^(1/15)-1,"")</f>
        <v/>
      </c>
      <c r="CP159" s="619" t="str">
        <f ca="1">IFERROR((AN159/H159)^(1/32)-1,"")</f>
        <v/>
      </c>
    </row>
    <row r="160" spans="1:94">
      <c r="A160" s="534"/>
      <c r="B160" s="534" t="s">
        <v>27</v>
      </c>
      <c r="C160" s="534" t="s">
        <v>324</v>
      </c>
      <c r="D160" s="534" t="s">
        <v>325</v>
      </c>
      <c r="E160" s="536" t="str">
        <f t="shared" ref="E160:BP160" ca="1" si="507">IFERROR(IF(INDEX($E150:$CL159,9,MATCH(S34_base,$E150:$CL150,0))-E155&lt;0,"N/A",INDEX($E150:$CL159,9,MATCH(S34_base,$E150:$CL150,0))-E155),"")</f>
        <v/>
      </c>
      <c r="F160" s="537" t="str">
        <f t="shared" ca="1" si="507"/>
        <v/>
      </c>
      <c r="G160" s="537" t="str">
        <f t="shared" ca="1" si="507"/>
        <v/>
      </c>
      <c r="H160" s="537" t="str">
        <f t="shared" ca="1" si="507"/>
        <v/>
      </c>
      <c r="I160" s="537" t="str">
        <f t="shared" ca="1" si="507"/>
        <v/>
      </c>
      <c r="J160" s="537" t="str">
        <f t="shared" ca="1" si="507"/>
        <v/>
      </c>
      <c r="K160" s="537" t="str">
        <f t="shared" ca="1" si="507"/>
        <v/>
      </c>
      <c r="L160" s="537" t="str">
        <f t="shared" ca="1" si="507"/>
        <v/>
      </c>
      <c r="M160" s="537" t="str">
        <f t="shared" ca="1" si="507"/>
        <v/>
      </c>
      <c r="N160" s="537" t="str">
        <f t="shared" ca="1" si="507"/>
        <v/>
      </c>
      <c r="O160" s="537" t="str">
        <f t="shared" ca="1" si="507"/>
        <v/>
      </c>
      <c r="P160" s="537" t="str">
        <f t="shared" ca="1" si="507"/>
        <v/>
      </c>
      <c r="Q160" s="537" t="str">
        <f t="shared" ca="1" si="507"/>
        <v/>
      </c>
      <c r="R160" s="537" t="str">
        <f t="shared" ca="1" si="507"/>
        <v/>
      </c>
      <c r="S160" s="537" t="str">
        <f t="shared" ca="1" si="507"/>
        <v/>
      </c>
      <c r="T160" s="537" t="str">
        <f t="shared" ca="1" si="507"/>
        <v/>
      </c>
      <c r="U160" s="537" t="str">
        <f t="shared" ca="1" si="507"/>
        <v/>
      </c>
      <c r="V160" s="537" t="str">
        <f t="shared" ca="1" si="507"/>
        <v/>
      </c>
      <c r="W160" s="537" t="str">
        <f t="shared" ca="1" si="507"/>
        <v/>
      </c>
      <c r="X160" s="537" t="str">
        <f t="shared" ca="1" si="507"/>
        <v/>
      </c>
      <c r="Y160" s="537" t="str">
        <f t="shared" ca="1" si="507"/>
        <v/>
      </c>
      <c r="Z160" s="537" t="str">
        <f t="shared" ca="1" si="507"/>
        <v/>
      </c>
      <c r="AA160" s="537" t="str">
        <f t="shared" ca="1" si="507"/>
        <v/>
      </c>
      <c r="AB160" s="537" t="str">
        <f t="shared" ca="1" si="507"/>
        <v/>
      </c>
      <c r="AC160" s="537" t="str">
        <f t="shared" ca="1" si="507"/>
        <v/>
      </c>
      <c r="AD160" s="537" t="str">
        <f t="shared" ca="1" si="507"/>
        <v/>
      </c>
      <c r="AE160" s="537" t="str">
        <f t="shared" ca="1" si="507"/>
        <v/>
      </c>
      <c r="AF160" s="537" t="str">
        <f t="shared" ca="1" si="507"/>
        <v/>
      </c>
      <c r="AG160" s="537" t="str">
        <f t="shared" ca="1" si="507"/>
        <v/>
      </c>
      <c r="AH160" s="537" t="str">
        <f t="shared" ca="1" si="507"/>
        <v/>
      </c>
      <c r="AI160" s="537" t="str">
        <f t="shared" ca="1" si="507"/>
        <v/>
      </c>
      <c r="AJ160" s="537" t="str">
        <f t="shared" ca="1" si="507"/>
        <v/>
      </c>
      <c r="AK160" s="537" t="str">
        <f t="shared" ca="1" si="507"/>
        <v/>
      </c>
      <c r="AL160" s="537" t="str">
        <f t="shared" ca="1" si="507"/>
        <v/>
      </c>
      <c r="AM160" s="537" t="str">
        <f t="shared" ca="1" si="507"/>
        <v/>
      </c>
      <c r="AN160" s="537" t="str">
        <f t="shared" ca="1" si="507"/>
        <v/>
      </c>
      <c r="AO160" s="537" t="str">
        <f t="shared" ca="1" si="507"/>
        <v/>
      </c>
      <c r="AP160" s="537" t="str">
        <f t="shared" ca="1" si="507"/>
        <v/>
      </c>
      <c r="AQ160" s="537" t="str">
        <f t="shared" ca="1" si="507"/>
        <v/>
      </c>
      <c r="AR160" s="537" t="str">
        <f t="shared" ca="1" si="507"/>
        <v/>
      </c>
      <c r="AS160" s="537" t="str">
        <f t="shared" ca="1" si="507"/>
        <v/>
      </c>
      <c r="AT160" s="537" t="str">
        <f t="shared" ca="1" si="507"/>
        <v/>
      </c>
      <c r="AU160" s="537" t="str">
        <f t="shared" ca="1" si="507"/>
        <v/>
      </c>
      <c r="AV160" s="537" t="str">
        <f t="shared" ca="1" si="507"/>
        <v/>
      </c>
      <c r="AW160" s="537" t="str">
        <f t="shared" ca="1" si="507"/>
        <v/>
      </c>
      <c r="AX160" s="537" t="str">
        <f t="shared" ca="1" si="507"/>
        <v/>
      </c>
      <c r="AY160" s="537" t="str">
        <f t="shared" ca="1" si="507"/>
        <v/>
      </c>
      <c r="AZ160" s="537" t="str">
        <f t="shared" ca="1" si="507"/>
        <v/>
      </c>
      <c r="BA160" s="537" t="str">
        <f t="shared" ca="1" si="507"/>
        <v/>
      </c>
      <c r="BB160" s="537" t="str">
        <f t="shared" ca="1" si="507"/>
        <v/>
      </c>
      <c r="BC160" s="537" t="str">
        <f t="shared" ca="1" si="507"/>
        <v/>
      </c>
      <c r="BD160" s="537" t="str">
        <f t="shared" ca="1" si="507"/>
        <v/>
      </c>
      <c r="BE160" s="537" t="str">
        <f t="shared" ca="1" si="507"/>
        <v/>
      </c>
      <c r="BF160" s="537" t="str">
        <f t="shared" ca="1" si="507"/>
        <v/>
      </c>
      <c r="BG160" s="537" t="str">
        <f t="shared" ca="1" si="507"/>
        <v/>
      </c>
      <c r="BH160" s="537" t="str">
        <f t="shared" ca="1" si="507"/>
        <v/>
      </c>
      <c r="BI160" s="537" t="str">
        <f t="shared" ca="1" si="507"/>
        <v/>
      </c>
      <c r="BJ160" s="537" t="str">
        <f t="shared" ca="1" si="507"/>
        <v/>
      </c>
      <c r="BK160" s="537" t="str">
        <f t="shared" ca="1" si="507"/>
        <v/>
      </c>
      <c r="BL160" s="537" t="str">
        <f t="shared" ca="1" si="507"/>
        <v/>
      </c>
      <c r="BM160" s="537" t="str">
        <f t="shared" ca="1" si="507"/>
        <v/>
      </c>
      <c r="BN160" s="537" t="str">
        <f t="shared" ca="1" si="507"/>
        <v/>
      </c>
      <c r="BO160" s="537" t="str">
        <f t="shared" ca="1" si="507"/>
        <v/>
      </c>
      <c r="BP160" s="537" t="str">
        <f t="shared" ca="1" si="507"/>
        <v/>
      </c>
      <c r="BQ160" s="537" t="str">
        <f t="shared" ref="BQ160:CL160" ca="1" si="508">IFERROR(IF(INDEX($E150:$CL159,9,MATCH(S34_base,$E150:$CL150,0))-BQ155&lt;0,"N/A",INDEX($E150:$CL159,9,MATCH(S34_base,$E150:$CL150,0))-BQ155),"")</f>
        <v/>
      </c>
      <c r="BR160" s="537" t="str">
        <f t="shared" ca="1" si="508"/>
        <v/>
      </c>
      <c r="BS160" s="537" t="str">
        <f t="shared" ca="1" si="508"/>
        <v/>
      </c>
      <c r="BT160" s="537" t="str">
        <f t="shared" ca="1" si="508"/>
        <v/>
      </c>
      <c r="BU160" s="537" t="str">
        <f t="shared" ca="1" si="508"/>
        <v/>
      </c>
      <c r="BV160" s="537" t="str">
        <f t="shared" ca="1" si="508"/>
        <v/>
      </c>
      <c r="BW160" s="537" t="str">
        <f t="shared" ca="1" si="508"/>
        <v/>
      </c>
      <c r="BX160" s="537" t="str">
        <f t="shared" ca="1" si="508"/>
        <v/>
      </c>
      <c r="BY160" s="537" t="str">
        <f t="shared" ca="1" si="508"/>
        <v/>
      </c>
      <c r="BZ160" s="537" t="str">
        <f t="shared" ca="1" si="508"/>
        <v/>
      </c>
      <c r="CA160" s="537" t="str">
        <f t="shared" ca="1" si="508"/>
        <v/>
      </c>
      <c r="CB160" s="537" t="str">
        <f t="shared" ca="1" si="508"/>
        <v/>
      </c>
      <c r="CC160" s="537" t="str">
        <f t="shared" ca="1" si="508"/>
        <v/>
      </c>
      <c r="CD160" s="537" t="str">
        <f t="shared" ca="1" si="508"/>
        <v/>
      </c>
      <c r="CE160" s="537" t="str">
        <f t="shared" ca="1" si="508"/>
        <v/>
      </c>
      <c r="CF160" s="537" t="str">
        <f t="shared" ca="1" si="508"/>
        <v/>
      </c>
      <c r="CG160" s="537" t="str">
        <f t="shared" ca="1" si="508"/>
        <v/>
      </c>
      <c r="CH160" s="537" t="str">
        <f t="shared" ca="1" si="508"/>
        <v/>
      </c>
      <c r="CI160" s="537" t="str">
        <f t="shared" ca="1" si="508"/>
        <v/>
      </c>
      <c r="CJ160" s="537" t="str">
        <f t="shared" ca="1" si="508"/>
        <v/>
      </c>
      <c r="CK160" s="537" t="str">
        <f t="shared" ca="1" si="508"/>
        <v/>
      </c>
      <c r="CL160" s="537" t="str">
        <f t="shared" ca="1" si="508"/>
        <v/>
      </c>
      <c r="CN160" s="618" t="str">
        <f ca="1">IFERROR((Y160/H160)^(1/17)-1,"")</f>
        <v/>
      </c>
      <c r="CO160" s="618" t="str">
        <f ca="1">IFERROR((AN160/Y160)^(1/15)-1,"")</f>
        <v/>
      </c>
      <c r="CP160" s="618" t="str">
        <f ca="1">IFERROR((AN160/H160)^(1/32)-1,"")</f>
        <v/>
      </c>
    </row>
    <row r="161" spans="1:94">
      <c r="A161" s="533" t="s">
        <v>255</v>
      </c>
      <c r="B161" s="533" t="s">
        <v>256</v>
      </c>
      <c r="C161" s="538" t="s">
        <v>326</v>
      </c>
      <c r="D161" s="538" t="s">
        <v>327</v>
      </c>
      <c r="E161" s="540">
        <f t="shared" ref="E161:BP161" ca="1" si="509">IF(E8&lt;S34_base,NA(),IF($B$6="ON", IF(E8&gt;=covid_start, IF(E8&lt;covid_recovery,NA(),IFERROR(E155+(E154*E160*E159),0)),IFERROR(E155+(E154*E160*E159),0)),IFERROR(E155+(E154*E160*E159),0)))</f>
        <v>0</v>
      </c>
      <c r="F161" s="540">
        <f t="shared" ca="1" si="509"/>
        <v>0</v>
      </c>
      <c r="G161" s="540">
        <f t="shared" ca="1" si="509"/>
        <v>0</v>
      </c>
      <c r="H161" s="540">
        <f t="shared" ca="1" si="509"/>
        <v>0</v>
      </c>
      <c r="I161" s="540">
        <f t="shared" ca="1" si="509"/>
        <v>0</v>
      </c>
      <c r="J161" s="540" t="e">
        <f t="shared" si="509"/>
        <v>#N/A</v>
      </c>
      <c r="K161" s="540" t="e">
        <f t="shared" si="509"/>
        <v>#N/A</v>
      </c>
      <c r="L161" s="540" t="e">
        <f t="shared" si="509"/>
        <v>#N/A</v>
      </c>
      <c r="M161" s="540">
        <f t="shared" ca="1" si="509"/>
        <v>0</v>
      </c>
      <c r="N161" s="540">
        <f t="shared" ca="1" si="509"/>
        <v>0</v>
      </c>
      <c r="O161" s="540">
        <f t="shared" ca="1" si="509"/>
        <v>0</v>
      </c>
      <c r="P161" s="540">
        <f t="shared" ca="1" si="509"/>
        <v>0</v>
      </c>
      <c r="Q161" s="540">
        <f t="shared" ca="1" si="509"/>
        <v>0</v>
      </c>
      <c r="R161" s="540">
        <f t="shared" ca="1" si="509"/>
        <v>0</v>
      </c>
      <c r="S161" s="540">
        <f t="shared" ca="1" si="509"/>
        <v>0</v>
      </c>
      <c r="T161" s="540">
        <f t="shared" ca="1" si="509"/>
        <v>0</v>
      </c>
      <c r="U161" s="540">
        <f t="shared" ca="1" si="509"/>
        <v>0</v>
      </c>
      <c r="V161" s="540">
        <f t="shared" ca="1" si="509"/>
        <v>0</v>
      </c>
      <c r="W161" s="540">
        <f t="shared" ca="1" si="509"/>
        <v>0</v>
      </c>
      <c r="X161" s="540">
        <f t="shared" ca="1" si="509"/>
        <v>0</v>
      </c>
      <c r="Y161" s="540">
        <f t="shared" ca="1" si="509"/>
        <v>0</v>
      </c>
      <c r="Z161" s="540">
        <f t="shared" ca="1" si="509"/>
        <v>0</v>
      </c>
      <c r="AA161" s="540">
        <f t="shared" ca="1" si="509"/>
        <v>0</v>
      </c>
      <c r="AB161" s="540">
        <f t="shared" ca="1" si="509"/>
        <v>0</v>
      </c>
      <c r="AC161" s="540">
        <f t="shared" ca="1" si="509"/>
        <v>0</v>
      </c>
      <c r="AD161" s="540">
        <f t="shared" ca="1" si="509"/>
        <v>0</v>
      </c>
      <c r="AE161" s="540">
        <f t="shared" ca="1" si="509"/>
        <v>0</v>
      </c>
      <c r="AF161" s="540">
        <f t="shared" ca="1" si="509"/>
        <v>0</v>
      </c>
      <c r="AG161" s="540">
        <f t="shared" ca="1" si="509"/>
        <v>0</v>
      </c>
      <c r="AH161" s="540">
        <f t="shared" ca="1" si="509"/>
        <v>0</v>
      </c>
      <c r="AI161" s="540">
        <f t="shared" ca="1" si="509"/>
        <v>0</v>
      </c>
      <c r="AJ161" s="540">
        <f t="shared" ca="1" si="509"/>
        <v>0</v>
      </c>
      <c r="AK161" s="540">
        <f t="shared" ca="1" si="509"/>
        <v>0</v>
      </c>
      <c r="AL161" s="540">
        <f t="shared" ca="1" si="509"/>
        <v>0</v>
      </c>
      <c r="AM161" s="540">
        <f t="shared" ca="1" si="509"/>
        <v>0</v>
      </c>
      <c r="AN161" s="540">
        <f t="shared" ca="1" si="509"/>
        <v>0</v>
      </c>
      <c r="AO161" s="540">
        <f t="shared" ca="1" si="509"/>
        <v>0</v>
      </c>
      <c r="AP161" s="540">
        <f t="shared" ca="1" si="509"/>
        <v>0</v>
      </c>
      <c r="AQ161" s="540">
        <f t="shared" ca="1" si="509"/>
        <v>0</v>
      </c>
      <c r="AR161" s="540">
        <f t="shared" ca="1" si="509"/>
        <v>0</v>
      </c>
      <c r="AS161" s="540">
        <f t="shared" ca="1" si="509"/>
        <v>0</v>
      </c>
      <c r="AT161" s="540">
        <f t="shared" ca="1" si="509"/>
        <v>0</v>
      </c>
      <c r="AU161" s="540">
        <f t="shared" ca="1" si="509"/>
        <v>0</v>
      </c>
      <c r="AV161" s="540">
        <f t="shared" ca="1" si="509"/>
        <v>0</v>
      </c>
      <c r="AW161" s="540">
        <f t="shared" ca="1" si="509"/>
        <v>0</v>
      </c>
      <c r="AX161" s="540">
        <f t="shared" ca="1" si="509"/>
        <v>0</v>
      </c>
      <c r="AY161" s="540">
        <f t="shared" ca="1" si="509"/>
        <v>0</v>
      </c>
      <c r="AZ161" s="540">
        <f t="shared" ca="1" si="509"/>
        <v>0</v>
      </c>
      <c r="BA161" s="540">
        <f t="shared" ca="1" si="509"/>
        <v>0</v>
      </c>
      <c r="BB161" s="540">
        <f t="shared" ca="1" si="509"/>
        <v>0</v>
      </c>
      <c r="BC161" s="540">
        <f t="shared" ca="1" si="509"/>
        <v>0</v>
      </c>
      <c r="BD161" s="540">
        <f t="shared" ca="1" si="509"/>
        <v>0</v>
      </c>
      <c r="BE161" s="540">
        <f t="shared" ca="1" si="509"/>
        <v>0</v>
      </c>
      <c r="BF161" s="540">
        <f t="shared" ca="1" si="509"/>
        <v>0</v>
      </c>
      <c r="BG161" s="540">
        <f t="shared" ca="1" si="509"/>
        <v>0</v>
      </c>
      <c r="BH161" s="540">
        <f t="shared" ca="1" si="509"/>
        <v>0</v>
      </c>
      <c r="BI161" s="540">
        <f t="shared" ca="1" si="509"/>
        <v>0</v>
      </c>
      <c r="BJ161" s="540">
        <f t="shared" ca="1" si="509"/>
        <v>0</v>
      </c>
      <c r="BK161" s="540">
        <f t="shared" ca="1" si="509"/>
        <v>0</v>
      </c>
      <c r="BL161" s="540">
        <f t="shared" ca="1" si="509"/>
        <v>0</v>
      </c>
      <c r="BM161" s="540">
        <f t="shared" ca="1" si="509"/>
        <v>0</v>
      </c>
      <c r="BN161" s="540">
        <f t="shared" ca="1" si="509"/>
        <v>0</v>
      </c>
      <c r="BO161" s="540">
        <f t="shared" ca="1" si="509"/>
        <v>0</v>
      </c>
      <c r="BP161" s="540">
        <f t="shared" ca="1" si="509"/>
        <v>0</v>
      </c>
      <c r="BQ161" s="540">
        <f t="shared" ref="BQ161:CL161" ca="1" si="510">IF(BQ8&lt;S34_base,NA(),IF($B$6="ON", IF(BQ8&gt;=covid_start, IF(BQ8&lt;covid_recovery,NA(),IFERROR(BQ155+(BQ154*BQ160*BQ159),0)),IFERROR(BQ155+(BQ154*BQ160*BQ159),0)),IFERROR(BQ155+(BQ154*BQ160*BQ159),0)))</f>
        <v>0</v>
      </c>
      <c r="BR161" s="540">
        <f t="shared" ca="1" si="510"/>
        <v>0</v>
      </c>
      <c r="BS161" s="540">
        <f t="shared" ca="1" si="510"/>
        <v>0</v>
      </c>
      <c r="BT161" s="540">
        <f t="shared" ca="1" si="510"/>
        <v>0</v>
      </c>
      <c r="BU161" s="540">
        <f t="shared" ca="1" si="510"/>
        <v>0</v>
      </c>
      <c r="BV161" s="540">
        <f t="shared" ca="1" si="510"/>
        <v>0</v>
      </c>
      <c r="BW161" s="540">
        <f t="shared" ca="1" si="510"/>
        <v>0</v>
      </c>
      <c r="BX161" s="540">
        <f t="shared" ca="1" si="510"/>
        <v>0</v>
      </c>
      <c r="BY161" s="540">
        <f t="shared" ca="1" si="510"/>
        <v>0</v>
      </c>
      <c r="BZ161" s="540">
        <f t="shared" ca="1" si="510"/>
        <v>0</v>
      </c>
      <c r="CA161" s="540">
        <f t="shared" ca="1" si="510"/>
        <v>0</v>
      </c>
      <c r="CB161" s="540">
        <f t="shared" ca="1" si="510"/>
        <v>0</v>
      </c>
      <c r="CC161" s="540">
        <f t="shared" ca="1" si="510"/>
        <v>0</v>
      </c>
      <c r="CD161" s="540">
        <f t="shared" ca="1" si="510"/>
        <v>0</v>
      </c>
      <c r="CE161" s="540">
        <f t="shared" ca="1" si="510"/>
        <v>0</v>
      </c>
      <c r="CF161" s="540">
        <f t="shared" ca="1" si="510"/>
        <v>0</v>
      </c>
      <c r="CG161" s="540">
        <f t="shared" ca="1" si="510"/>
        <v>0</v>
      </c>
      <c r="CH161" s="540">
        <f t="shared" ca="1" si="510"/>
        <v>0</v>
      </c>
      <c r="CI161" s="540">
        <f t="shared" ca="1" si="510"/>
        <v>0</v>
      </c>
      <c r="CJ161" s="540">
        <f t="shared" ca="1" si="510"/>
        <v>0</v>
      </c>
      <c r="CK161" s="540">
        <f t="shared" ca="1" si="510"/>
        <v>0</v>
      </c>
      <c r="CL161" s="540">
        <f t="shared" ca="1" si="510"/>
        <v>0</v>
      </c>
      <c r="CN161" s="619" t="str">
        <f ca="1">IFERROR((Y161/H161)^(1/17)-1,"")</f>
        <v/>
      </c>
      <c r="CO161" s="619" t="str">
        <f ca="1">IFERROR((AN161/Y161)^(1/15)-1,"")</f>
        <v/>
      </c>
      <c r="CP161" s="619" t="str">
        <f ca="1">IFERROR((AN161/H161)^(1/32)-1,"")</f>
        <v/>
      </c>
    </row>
    <row r="162" spans="1:94">
      <c r="A162" s="535" t="s">
        <v>255</v>
      </c>
      <c r="B162" s="535" t="s">
        <v>129</v>
      </c>
      <c r="C162" s="535" t="s">
        <v>328</v>
      </c>
      <c r="D162" s="535"/>
      <c r="E162" s="546" t="e">
        <f t="shared" ref="E162:BP162" si="511">IF(E150=S34_base,E161, IF(E150=target,E161,#N/A))</f>
        <v>#N/A</v>
      </c>
      <c r="F162" s="541" t="e">
        <f t="shared" si="511"/>
        <v>#N/A</v>
      </c>
      <c r="G162" s="541" t="e">
        <f t="shared" si="511"/>
        <v>#N/A</v>
      </c>
      <c r="H162" s="541" t="e">
        <f t="shared" si="511"/>
        <v>#N/A</v>
      </c>
      <c r="I162" s="541" t="e">
        <f t="shared" si="511"/>
        <v>#N/A</v>
      </c>
      <c r="J162" s="541" t="e">
        <f t="shared" si="511"/>
        <v>#N/A</v>
      </c>
      <c r="K162" s="541" t="e">
        <f t="shared" si="511"/>
        <v>#N/A</v>
      </c>
      <c r="L162" s="541" t="e">
        <f t="shared" si="511"/>
        <v>#N/A</v>
      </c>
      <c r="M162" s="541" t="e">
        <f t="shared" si="511"/>
        <v>#N/A</v>
      </c>
      <c r="N162" s="541" t="e">
        <f t="shared" si="511"/>
        <v>#N/A</v>
      </c>
      <c r="O162" s="541" t="e">
        <f t="shared" si="511"/>
        <v>#N/A</v>
      </c>
      <c r="P162" s="541" t="e">
        <f t="shared" si="511"/>
        <v>#N/A</v>
      </c>
      <c r="Q162" s="541" t="e">
        <f t="shared" si="511"/>
        <v>#N/A</v>
      </c>
      <c r="R162" s="541" t="e">
        <f t="shared" si="511"/>
        <v>#N/A</v>
      </c>
      <c r="S162" s="541" t="e">
        <f t="shared" si="511"/>
        <v>#N/A</v>
      </c>
      <c r="T162" s="541" t="e">
        <f t="shared" si="511"/>
        <v>#N/A</v>
      </c>
      <c r="U162" s="541" t="e">
        <f t="shared" si="511"/>
        <v>#N/A</v>
      </c>
      <c r="V162" s="541" t="e">
        <f t="shared" si="511"/>
        <v>#N/A</v>
      </c>
      <c r="W162" s="541" t="e">
        <f t="shared" si="511"/>
        <v>#N/A</v>
      </c>
      <c r="X162" s="541" t="e">
        <f t="shared" si="511"/>
        <v>#N/A</v>
      </c>
      <c r="Y162" s="541" t="e">
        <f t="shared" si="511"/>
        <v>#N/A</v>
      </c>
      <c r="Z162" s="541" t="e">
        <f t="shared" si="511"/>
        <v>#N/A</v>
      </c>
      <c r="AA162" s="541" t="e">
        <f t="shared" si="511"/>
        <v>#N/A</v>
      </c>
      <c r="AB162" s="541" t="e">
        <f t="shared" si="511"/>
        <v>#N/A</v>
      </c>
      <c r="AC162" s="541" t="e">
        <f t="shared" si="511"/>
        <v>#N/A</v>
      </c>
      <c r="AD162" s="541" t="e">
        <f t="shared" si="511"/>
        <v>#N/A</v>
      </c>
      <c r="AE162" s="541" t="e">
        <f t="shared" si="511"/>
        <v>#N/A</v>
      </c>
      <c r="AF162" s="541" t="e">
        <f t="shared" si="511"/>
        <v>#N/A</v>
      </c>
      <c r="AG162" s="541" t="e">
        <f t="shared" si="511"/>
        <v>#N/A</v>
      </c>
      <c r="AH162" s="541" t="e">
        <f t="shared" si="511"/>
        <v>#N/A</v>
      </c>
      <c r="AI162" s="541" t="e">
        <f t="shared" si="511"/>
        <v>#N/A</v>
      </c>
      <c r="AJ162" s="541" t="e">
        <f t="shared" si="511"/>
        <v>#N/A</v>
      </c>
      <c r="AK162" s="541" t="e">
        <f t="shared" si="511"/>
        <v>#N/A</v>
      </c>
      <c r="AL162" s="541" t="e">
        <f t="shared" si="511"/>
        <v>#N/A</v>
      </c>
      <c r="AM162" s="541" t="e">
        <f t="shared" si="511"/>
        <v>#N/A</v>
      </c>
      <c r="AN162" s="541" t="e">
        <f t="shared" si="511"/>
        <v>#N/A</v>
      </c>
      <c r="AO162" s="541" t="e">
        <f t="shared" si="511"/>
        <v>#N/A</v>
      </c>
      <c r="AP162" s="541" t="e">
        <f t="shared" si="511"/>
        <v>#N/A</v>
      </c>
      <c r="AQ162" s="541" t="e">
        <f t="shared" si="511"/>
        <v>#N/A</v>
      </c>
      <c r="AR162" s="541" t="e">
        <f t="shared" si="511"/>
        <v>#N/A</v>
      </c>
      <c r="AS162" s="541" t="e">
        <f t="shared" si="511"/>
        <v>#N/A</v>
      </c>
      <c r="AT162" s="541" t="e">
        <f t="shared" si="511"/>
        <v>#N/A</v>
      </c>
      <c r="AU162" s="541" t="e">
        <f t="shared" si="511"/>
        <v>#N/A</v>
      </c>
      <c r="AV162" s="541" t="e">
        <f t="shared" si="511"/>
        <v>#N/A</v>
      </c>
      <c r="AW162" s="541" t="e">
        <f t="shared" si="511"/>
        <v>#N/A</v>
      </c>
      <c r="AX162" s="541" t="e">
        <f t="shared" si="511"/>
        <v>#N/A</v>
      </c>
      <c r="AY162" s="541" t="e">
        <f t="shared" si="511"/>
        <v>#N/A</v>
      </c>
      <c r="AZ162" s="541" t="e">
        <f t="shared" si="511"/>
        <v>#N/A</v>
      </c>
      <c r="BA162" s="541" t="e">
        <f t="shared" si="511"/>
        <v>#N/A</v>
      </c>
      <c r="BB162" s="541" t="e">
        <f t="shared" si="511"/>
        <v>#N/A</v>
      </c>
      <c r="BC162" s="541" t="e">
        <f t="shared" si="511"/>
        <v>#N/A</v>
      </c>
      <c r="BD162" s="541" t="e">
        <f t="shared" si="511"/>
        <v>#N/A</v>
      </c>
      <c r="BE162" s="541" t="e">
        <f t="shared" si="511"/>
        <v>#N/A</v>
      </c>
      <c r="BF162" s="541" t="e">
        <f t="shared" si="511"/>
        <v>#N/A</v>
      </c>
      <c r="BG162" s="541" t="e">
        <f t="shared" si="511"/>
        <v>#N/A</v>
      </c>
      <c r="BH162" s="541" t="e">
        <f t="shared" si="511"/>
        <v>#N/A</v>
      </c>
      <c r="BI162" s="541" t="e">
        <f t="shared" si="511"/>
        <v>#N/A</v>
      </c>
      <c r="BJ162" s="541" t="e">
        <f t="shared" si="511"/>
        <v>#N/A</v>
      </c>
      <c r="BK162" s="541" t="e">
        <f t="shared" si="511"/>
        <v>#N/A</v>
      </c>
      <c r="BL162" s="541" t="e">
        <f t="shared" si="511"/>
        <v>#N/A</v>
      </c>
      <c r="BM162" s="541" t="e">
        <f t="shared" si="511"/>
        <v>#N/A</v>
      </c>
      <c r="BN162" s="541" t="e">
        <f t="shared" si="511"/>
        <v>#N/A</v>
      </c>
      <c r="BO162" s="541" t="e">
        <f t="shared" si="511"/>
        <v>#N/A</v>
      </c>
      <c r="BP162" s="541" t="e">
        <f t="shared" si="511"/>
        <v>#N/A</v>
      </c>
      <c r="BQ162" s="541" t="e">
        <f t="shared" ref="BQ162:CL162" si="512">IF(BQ150=S34_base,BQ161, IF(BQ150=target,BQ161,#N/A))</f>
        <v>#N/A</v>
      </c>
      <c r="BR162" s="541" t="e">
        <f t="shared" si="512"/>
        <v>#N/A</v>
      </c>
      <c r="BS162" s="541" t="e">
        <f t="shared" si="512"/>
        <v>#N/A</v>
      </c>
      <c r="BT162" s="541" t="e">
        <f t="shared" si="512"/>
        <v>#N/A</v>
      </c>
      <c r="BU162" s="541" t="e">
        <f t="shared" si="512"/>
        <v>#N/A</v>
      </c>
      <c r="BV162" s="541" t="e">
        <f t="shared" si="512"/>
        <v>#N/A</v>
      </c>
      <c r="BW162" s="541" t="e">
        <f t="shared" si="512"/>
        <v>#N/A</v>
      </c>
      <c r="BX162" s="541" t="e">
        <f t="shared" si="512"/>
        <v>#N/A</v>
      </c>
      <c r="BY162" s="541" t="e">
        <f t="shared" si="512"/>
        <v>#N/A</v>
      </c>
      <c r="BZ162" s="541" t="e">
        <f t="shared" si="512"/>
        <v>#N/A</v>
      </c>
      <c r="CA162" s="541" t="e">
        <f t="shared" si="512"/>
        <v>#N/A</v>
      </c>
      <c r="CB162" s="541" t="e">
        <f t="shared" si="512"/>
        <v>#N/A</v>
      </c>
      <c r="CC162" s="541" t="e">
        <f t="shared" si="512"/>
        <v>#N/A</v>
      </c>
      <c r="CD162" s="541" t="e">
        <f t="shared" si="512"/>
        <v>#N/A</v>
      </c>
      <c r="CE162" s="541" t="e">
        <f t="shared" si="512"/>
        <v>#N/A</v>
      </c>
      <c r="CF162" s="541" t="e">
        <f t="shared" si="512"/>
        <v>#N/A</v>
      </c>
      <c r="CG162" s="541" t="e">
        <f t="shared" si="512"/>
        <v>#N/A</v>
      </c>
      <c r="CH162" s="541" t="e">
        <f t="shared" si="512"/>
        <v>#N/A</v>
      </c>
      <c r="CI162" s="541" t="e">
        <f t="shared" si="512"/>
        <v>#N/A</v>
      </c>
      <c r="CJ162" s="541" t="e">
        <f t="shared" si="512"/>
        <v>#N/A</v>
      </c>
      <c r="CK162" s="541" t="e">
        <f t="shared" si="512"/>
        <v>#N/A</v>
      </c>
      <c r="CL162" s="541" t="e">
        <f t="shared" si="512"/>
        <v>#N/A</v>
      </c>
      <c r="CN162" s="620" t="str">
        <f>IFERROR((Y162/H162)^(1/17)-1,"")</f>
        <v/>
      </c>
      <c r="CO162" s="620" t="str">
        <f>IFERROR((AN162/Y162)^(1/15)-1,"")</f>
        <v/>
      </c>
      <c r="CP162" s="620" t="str">
        <f>IFERROR((AN162/H162)^(1/32)-1,"")</f>
        <v/>
      </c>
    </row>
    <row r="163" spans="1:94">
      <c r="A163" s="538" t="s">
        <v>255</v>
      </c>
      <c r="B163" s="538" t="s">
        <v>257</v>
      </c>
      <c r="C163" s="538" t="s">
        <v>329</v>
      </c>
      <c r="D163" s="538" t="s">
        <v>330</v>
      </c>
      <c r="E163" s="539">
        <f ca="1">IFERROR((E161*E157)/1000,0)</f>
        <v>0</v>
      </c>
      <c r="F163" s="540">
        <f t="shared" ref="F163:G163" ca="1" si="513">IFERROR((F161*F157)/1000,0)</f>
        <v>0</v>
      </c>
      <c r="G163" s="540">
        <f t="shared" ca="1" si="513"/>
        <v>0</v>
      </c>
      <c r="H163" s="540">
        <f ca="1">IFERROR((H161*H157)/1000,0)</f>
        <v>0</v>
      </c>
      <c r="I163" s="540">
        <f ca="1">IFERROR((I161*I157)/1000,0)</f>
        <v>0</v>
      </c>
      <c r="J163" s="540">
        <f t="shared" ref="J163:BU163" si="514">IFERROR((J161*J157)/1000,0)</f>
        <v>0</v>
      </c>
      <c r="K163" s="540">
        <f t="shared" si="514"/>
        <v>0</v>
      </c>
      <c r="L163" s="540">
        <f t="shared" si="514"/>
        <v>0</v>
      </c>
      <c r="M163" s="540">
        <f t="shared" ca="1" si="514"/>
        <v>0</v>
      </c>
      <c r="N163" s="540">
        <f t="shared" ca="1" si="514"/>
        <v>0</v>
      </c>
      <c r="O163" s="540">
        <f t="shared" ca="1" si="514"/>
        <v>0</v>
      </c>
      <c r="P163" s="540">
        <f t="shared" ca="1" si="514"/>
        <v>0</v>
      </c>
      <c r="Q163" s="540">
        <f t="shared" ca="1" si="514"/>
        <v>0</v>
      </c>
      <c r="R163" s="540">
        <f t="shared" ca="1" si="514"/>
        <v>0</v>
      </c>
      <c r="S163" s="540">
        <f t="shared" ca="1" si="514"/>
        <v>0</v>
      </c>
      <c r="T163" s="540">
        <f t="shared" ca="1" si="514"/>
        <v>0</v>
      </c>
      <c r="U163" s="540">
        <f t="shared" ca="1" si="514"/>
        <v>0</v>
      </c>
      <c r="V163" s="540">
        <f t="shared" ca="1" si="514"/>
        <v>0</v>
      </c>
      <c r="W163" s="540">
        <f t="shared" ca="1" si="514"/>
        <v>0</v>
      </c>
      <c r="X163" s="540">
        <f t="shared" ca="1" si="514"/>
        <v>0</v>
      </c>
      <c r="Y163" s="540">
        <f t="shared" ca="1" si="514"/>
        <v>0</v>
      </c>
      <c r="Z163" s="540">
        <f t="shared" ca="1" si="514"/>
        <v>0</v>
      </c>
      <c r="AA163" s="540">
        <f t="shared" ca="1" si="514"/>
        <v>0</v>
      </c>
      <c r="AB163" s="540">
        <f t="shared" ca="1" si="514"/>
        <v>0</v>
      </c>
      <c r="AC163" s="540">
        <f t="shared" ca="1" si="514"/>
        <v>0</v>
      </c>
      <c r="AD163" s="540">
        <f t="shared" ca="1" si="514"/>
        <v>0</v>
      </c>
      <c r="AE163" s="540">
        <f t="shared" ca="1" si="514"/>
        <v>0</v>
      </c>
      <c r="AF163" s="540">
        <f t="shared" ca="1" si="514"/>
        <v>0</v>
      </c>
      <c r="AG163" s="540">
        <f t="shared" ca="1" si="514"/>
        <v>0</v>
      </c>
      <c r="AH163" s="540">
        <f t="shared" ca="1" si="514"/>
        <v>0</v>
      </c>
      <c r="AI163" s="540">
        <f t="shared" ca="1" si="514"/>
        <v>0</v>
      </c>
      <c r="AJ163" s="540">
        <f t="shared" ca="1" si="514"/>
        <v>0</v>
      </c>
      <c r="AK163" s="540">
        <f t="shared" ca="1" si="514"/>
        <v>0</v>
      </c>
      <c r="AL163" s="540">
        <f t="shared" ca="1" si="514"/>
        <v>0</v>
      </c>
      <c r="AM163" s="540">
        <f t="shared" ca="1" si="514"/>
        <v>0</v>
      </c>
      <c r="AN163" s="540">
        <f t="shared" ca="1" si="514"/>
        <v>0</v>
      </c>
      <c r="AO163" s="540">
        <f t="shared" ca="1" si="514"/>
        <v>0</v>
      </c>
      <c r="AP163" s="540">
        <f t="shared" ca="1" si="514"/>
        <v>0</v>
      </c>
      <c r="AQ163" s="540">
        <f t="shared" ca="1" si="514"/>
        <v>0</v>
      </c>
      <c r="AR163" s="540">
        <f t="shared" ca="1" si="514"/>
        <v>0</v>
      </c>
      <c r="AS163" s="540">
        <f t="shared" ca="1" si="514"/>
        <v>0</v>
      </c>
      <c r="AT163" s="540">
        <f t="shared" ca="1" si="514"/>
        <v>0</v>
      </c>
      <c r="AU163" s="540">
        <f t="shared" ca="1" si="514"/>
        <v>0</v>
      </c>
      <c r="AV163" s="540">
        <f t="shared" ca="1" si="514"/>
        <v>0</v>
      </c>
      <c r="AW163" s="540">
        <f t="shared" ca="1" si="514"/>
        <v>0</v>
      </c>
      <c r="AX163" s="540">
        <f t="shared" ca="1" si="514"/>
        <v>0</v>
      </c>
      <c r="AY163" s="540">
        <f t="shared" ca="1" si="514"/>
        <v>0</v>
      </c>
      <c r="AZ163" s="540">
        <f t="shared" ca="1" si="514"/>
        <v>0</v>
      </c>
      <c r="BA163" s="540">
        <f t="shared" ca="1" si="514"/>
        <v>0</v>
      </c>
      <c r="BB163" s="540">
        <f t="shared" ca="1" si="514"/>
        <v>0</v>
      </c>
      <c r="BC163" s="540">
        <f t="shared" ca="1" si="514"/>
        <v>0</v>
      </c>
      <c r="BD163" s="540">
        <f t="shared" ca="1" si="514"/>
        <v>0</v>
      </c>
      <c r="BE163" s="540">
        <f t="shared" ca="1" si="514"/>
        <v>0</v>
      </c>
      <c r="BF163" s="540">
        <f t="shared" ca="1" si="514"/>
        <v>0</v>
      </c>
      <c r="BG163" s="540">
        <f t="shared" ca="1" si="514"/>
        <v>0</v>
      </c>
      <c r="BH163" s="540">
        <f t="shared" ca="1" si="514"/>
        <v>0</v>
      </c>
      <c r="BI163" s="540">
        <f t="shared" ca="1" si="514"/>
        <v>0</v>
      </c>
      <c r="BJ163" s="540">
        <f t="shared" ca="1" si="514"/>
        <v>0</v>
      </c>
      <c r="BK163" s="540">
        <f t="shared" ca="1" si="514"/>
        <v>0</v>
      </c>
      <c r="BL163" s="540">
        <f t="shared" ca="1" si="514"/>
        <v>0</v>
      </c>
      <c r="BM163" s="540">
        <f t="shared" ca="1" si="514"/>
        <v>0</v>
      </c>
      <c r="BN163" s="540">
        <f t="shared" ca="1" si="514"/>
        <v>0</v>
      </c>
      <c r="BO163" s="540">
        <f t="shared" ca="1" si="514"/>
        <v>0</v>
      </c>
      <c r="BP163" s="540">
        <f t="shared" ca="1" si="514"/>
        <v>0</v>
      </c>
      <c r="BQ163" s="540">
        <f t="shared" ca="1" si="514"/>
        <v>0</v>
      </c>
      <c r="BR163" s="540">
        <f t="shared" ca="1" si="514"/>
        <v>0</v>
      </c>
      <c r="BS163" s="540">
        <f t="shared" ca="1" si="514"/>
        <v>0</v>
      </c>
      <c r="BT163" s="540">
        <f t="shared" ca="1" si="514"/>
        <v>0</v>
      </c>
      <c r="BU163" s="540">
        <f t="shared" ca="1" si="514"/>
        <v>0</v>
      </c>
      <c r="BV163" s="540">
        <f t="shared" ref="BV163:CL163" ca="1" si="515">IFERROR((BV161*BV157)/1000,0)</f>
        <v>0</v>
      </c>
      <c r="BW163" s="540">
        <f t="shared" ca="1" si="515"/>
        <v>0</v>
      </c>
      <c r="BX163" s="540">
        <f t="shared" ca="1" si="515"/>
        <v>0</v>
      </c>
      <c r="BY163" s="540">
        <f t="shared" ca="1" si="515"/>
        <v>0</v>
      </c>
      <c r="BZ163" s="540">
        <f t="shared" ca="1" si="515"/>
        <v>0</v>
      </c>
      <c r="CA163" s="540">
        <f t="shared" ca="1" si="515"/>
        <v>0</v>
      </c>
      <c r="CB163" s="540">
        <f t="shared" ca="1" si="515"/>
        <v>0</v>
      </c>
      <c r="CC163" s="540">
        <f t="shared" ca="1" si="515"/>
        <v>0</v>
      </c>
      <c r="CD163" s="540">
        <f t="shared" ca="1" si="515"/>
        <v>0</v>
      </c>
      <c r="CE163" s="540">
        <f t="shared" ca="1" si="515"/>
        <v>0</v>
      </c>
      <c r="CF163" s="540">
        <f t="shared" ca="1" si="515"/>
        <v>0</v>
      </c>
      <c r="CG163" s="540">
        <f t="shared" ca="1" si="515"/>
        <v>0</v>
      </c>
      <c r="CH163" s="540">
        <f t="shared" ca="1" si="515"/>
        <v>0</v>
      </c>
      <c r="CI163" s="540">
        <f t="shared" ca="1" si="515"/>
        <v>0</v>
      </c>
      <c r="CJ163" s="540">
        <f t="shared" ca="1" si="515"/>
        <v>0</v>
      </c>
      <c r="CK163" s="540">
        <f t="shared" ca="1" si="515"/>
        <v>0</v>
      </c>
      <c r="CL163" s="540">
        <f t="shared" ca="1" si="515"/>
        <v>0</v>
      </c>
      <c r="CN163" s="619" t="str">
        <f ca="1">IFERROR((Y163/H163)^(1/17)-1,"")</f>
        <v/>
      </c>
      <c r="CO163" s="619" t="str">
        <f ca="1">IFERROR((AN163/Y163)^(1/15)-1,"")</f>
        <v/>
      </c>
      <c r="CP163" s="619" t="str">
        <f ca="1">IFERROR((AN163/H163)^(1/32)-1,"")</f>
        <v/>
      </c>
    </row>
    <row r="164" spans="1:94">
      <c r="A164" s="547" t="s">
        <v>382</v>
      </c>
      <c r="B164" s="547" t="s">
        <v>384</v>
      </c>
      <c r="C164" s="547"/>
      <c r="D164" s="547"/>
      <c r="E164" s="548" t="e">
        <f>IF($B$6="ON",IF(E150=covid_start-1,E153,IF(E150=covid_recovery,E153,IF(E150&gt;=covid_start,IF(E150&lt;covid_recovery,D164-(INDEX($E150:$CH163,4,MATCH(covid_start-1,$E150:$CL150,0))-INDEX($E150:$CL163,4,MATCH(covid_recovery,$E150:$CL150,0)))/(covid_recovery-covid_start+1),NA()),NA()))),NA())</f>
        <v>#N/A</v>
      </c>
      <c r="F164" s="548" t="e">
        <f t="shared" ref="F164:AN164" si="516">IF($B$6="ON",IF(F150=covid_start-1,F153,IF(F150=covid_recovery,F153,IF(F150&gt;=covid_start,IF(F150&lt;covid_recovery,E164-(INDEX($E150:$CH163,4,MATCH(covid_start-1,$E150:$CL150,0))-INDEX($E150:$CL163,4,MATCH(covid_recovery,$E150:$CL150,0)))/(covid_recovery-covid_start+1),NA()),NA()))),NA())</f>
        <v>#N/A</v>
      </c>
      <c r="G164" s="548" t="e">
        <f t="shared" si="516"/>
        <v>#N/A</v>
      </c>
      <c r="H164" s="548" t="e">
        <f t="shared" si="516"/>
        <v>#N/A</v>
      </c>
      <c r="I164" s="548">
        <f t="shared" ca="1" si="516"/>
        <v>584.95599084340938</v>
      </c>
      <c r="J164" s="548">
        <f t="shared" ca="1" si="516"/>
        <v>566.07026729921654</v>
      </c>
      <c r="K164" s="548">
        <f t="shared" ca="1" si="516"/>
        <v>547.1845437550237</v>
      </c>
      <c r="L164" s="548">
        <f t="shared" ca="1" si="516"/>
        <v>528.29882021083085</v>
      </c>
      <c r="M164" s="548">
        <f t="shared" ca="1" si="516"/>
        <v>509.41309666663813</v>
      </c>
      <c r="N164" s="548" t="e">
        <f t="shared" si="516"/>
        <v>#N/A</v>
      </c>
      <c r="O164" s="548" t="e">
        <f t="shared" si="516"/>
        <v>#N/A</v>
      </c>
      <c r="P164" s="548" t="e">
        <f t="shared" si="516"/>
        <v>#N/A</v>
      </c>
      <c r="Q164" s="548" t="e">
        <f t="shared" si="516"/>
        <v>#N/A</v>
      </c>
      <c r="R164" s="548" t="e">
        <f t="shared" si="516"/>
        <v>#N/A</v>
      </c>
      <c r="S164" s="548" t="e">
        <f t="shared" si="516"/>
        <v>#N/A</v>
      </c>
      <c r="T164" s="548" t="e">
        <f t="shared" si="516"/>
        <v>#N/A</v>
      </c>
      <c r="U164" s="548" t="e">
        <f t="shared" si="516"/>
        <v>#N/A</v>
      </c>
      <c r="V164" s="548" t="e">
        <f t="shared" si="516"/>
        <v>#N/A</v>
      </c>
      <c r="W164" s="548" t="e">
        <f t="shared" si="516"/>
        <v>#N/A</v>
      </c>
      <c r="X164" s="548" t="e">
        <f t="shared" si="516"/>
        <v>#N/A</v>
      </c>
      <c r="Y164" s="548" t="e">
        <f t="shared" si="516"/>
        <v>#N/A</v>
      </c>
      <c r="Z164" s="548" t="e">
        <f t="shared" si="516"/>
        <v>#N/A</v>
      </c>
      <c r="AA164" s="548" t="e">
        <f t="shared" si="516"/>
        <v>#N/A</v>
      </c>
      <c r="AB164" s="548" t="e">
        <f t="shared" si="516"/>
        <v>#N/A</v>
      </c>
      <c r="AC164" s="548" t="e">
        <f t="shared" si="516"/>
        <v>#N/A</v>
      </c>
      <c r="AD164" s="548" t="e">
        <f t="shared" si="516"/>
        <v>#N/A</v>
      </c>
      <c r="AE164" s="548" t="e">
        <f t="shared" si="516"/>
        <v>#N/A</v>
      </c>
      <c r="AF164" s="548" t="e">
        <f t="shared" si="516"/>
        <v>#N/A</v>
      </c>
      <c r="AG164" s="548" t="e">
        <f t="shared" si="516"/>
        <v>#N/A</v>
      </c>
      <c r="AH164" s="548" t="e">
        <f t="shared" si="516"/>
        <v>#N/A</v>
      </c>
      <c r="AI164" s="548" t="e">
        <f t="shared" si="516"/>
        <v>#N/A</v>
      </c>
      <c r="AJ164" s="548" t="e">
        <f t="shared" si="516"/>
        <v>#N/A</v>
      </c>
      <c r="AK164" s="548" t="e">
        <f t="shared" si="516"/>
        <v>#N/A</v>
      </c>
      <c r="AL164" s="548" t="e">
        <f t="shared" si="516"/>
        <v>#N/A</v>
      </c>
      <c r="AM164" s="548" t="e">
        <f t="shared" si="516"/>
        <v>#N/A</v>
      </c>
      <c r="AN164" s="548" t="e">
        <f t="shared" si="516"/>
        <v>#N/A</v>
      </c>
      <c r="AO164" s="541"/>
      <c r="AP164" s="541"/>
      <c r="AQ164" s="541"/>
      <c r="AR164" s="541"/>
      <c r="AS164" s="541"/>
      <c r="AT164" s="541"/>
      <c r="AU164" s="541"/>
      <c r="AV164" s="541"/>
      <c r="AW164" s="541"/>
      <c r="AX164" s="541"/>
      <c r="AY164" s="541"/>
      <c r="AZ164" s="541"/>
      <c r="BA164" s="541"/>
      <c r="BB164" s="541"/>
      <c r="BC164" s="541"/>
      <c r="BD164" s="541"/>
      <c r="BE164" s="541"/>
      <c r="BF164" s="541"/>
      <c r="BG164" s="541"/>
      <c r="BH164" s="541"/>
      <c r="BI164" s="541"/>
      <c r="BJ164" s="541"/>
      <c r="BK164" s="541"/>
      <c r="BL164" s="541"/>
      <c r="BM164" s="541"/>
      <c r="BN164" s="541"/>
      <c r="BO164" s="541"/>
      <c r="BP164" s="541"/>
      <c r="BQ164" s="541"/>
      <c r="BR164" s="541"/>
      <c r="BS164" s="541"/>
      <c r="BT164" s="541"/>
      <c r="BU164" s="541"/>
      <c r="BV164" s="541"/>
      <c r="BW164" s="541"/>
      <c r="BX164" s="541"/>
      <c r="BY164" s="541"/>
      <c r="BZ164" s="541"/>
      <c r="CA164" s="541"/>
      <c r="CB164" s="541"/>
      <c r="CC164" s="541"/>
      <c r="CD164" s="541"/>
      <c r="CE164" s="541"/>
      <c r="CF164" s="541"/>
      <c r="CG164" s="541"/>
      <c r="CH164" s="541"/>
      <c r="CI164" s="541"/>
      <c r="CJ164" s="541"/>
      <c r="CK164" s="541"/>
      <c r="CL164" s="541"/>
      <c r="CN164" s="621" t="str">
        <f t="shared" ref="CN164:CN165" si="517">IFERROR((Y164/H164)^(1/17)-1,"")</f>
        <v/>
      </c>
      <c r="CO164" s="621" t="str">
        <f t="shared" ref="CO164:CO165" si="518">IFERROR((AN164/Y164)^(1/15)-1,"")</f>
        <v/>
      </c>
      <c r="CP164" s="621" t="str">
        <f t="shared" ref="CP164:CP165" si="519">IFERROR((AN164/H164)^(1/32)-1,"")</f>
        <v/>
      </c>
    </row>
    <row r="165" spans="1:94">
      <c r="A165" s="535" t="s">
        <v>383</v>
      </c>
      <c r="B165" s="535" t="s">
        <v>384</v>
      </c>
      <c r="C165" s="535"/>
      <c r="D165" s="535"/>
      <c r="E165" s="541" t="e">
        <f t="shared" ref="E165:AN165" si="520">IF($B$6="ON",IF(E150=covid_start-1,E161,IF(E150=covid_recovery,E161,IF(E150&gt;=covid_start,IF(E150&lt;covid_recovery,D165-(INDEX($E150:$CH163,12,MATCH(covid_start-1,$E150:$CL150,0))-INDEX($E150:$CL163,12,MATCH(covid_recovery,$E150:$CL150,0)))/(covid_recovery-covid_start+1),NA()),NA()))),NA())</f>
        <v>#N/A</v>
      </c>
      <c r="F165" s="541" t="e">
        <f t="shared" si="520"/>
        <v>#N/A</v>
      </c>
      <c r="G165" s="541" t="e">
        <f t="shared" si="520"/>
        <v>#N/A</v>
      </c>
      <c r="H165" s="541" t="e">
        <f t="shared" si="520"/>
        <v>#N/A</v>
      </c>
      <c r="I165" s="541">
        <f t="shared" ca="1" si="520"/>
        <v>0</v>
      </c>
      <c r="J165" s="541">
        <f t="shared" ca="1" si="520"/>
        <v>0</v>
      </c>
      <c r="K165" s="541">
        <f t="shared" ca="1" si="520"/>
        <v>0</v>
      </c>
      <c r="L165" s="541">
        <f t="shared" ca="1" si="520"/>
        <v>0</v>
      </c>
      <c r="M165" s="541">
        <f t="shared" ca="1" si="520"/>
        <v>0</v>
      </c>
      <c r="N165" s="541" t="e">
        <f t="shared" si="520"/>
        <v>#N/A</v>
      </c>
      <c r="O165" s="541" t="e">
        <f t="shared" si="520"/>
        <v>#N/A</v>
      </c>
      <c r="P165" s="541" t="e">
        <f t="shared" si="520"/>
        <v>#N/A</v>
      </c>
      <c r="Q165" s="541" t="e">
        <f t="shared" si="520"/>
        <v>#N/A</v>
      </c>
      <c r="R165" s="541" t="e">
        <f t="shared" si="520"/>
        <v>#N/A</v>
      </c>
      <c r="S165" s="541" t="e">
        <f t="shared" si="520"/>
        <v>#N/A</v>
      </c>
      <c r="T165" s="541" t="e">
        <f t="shared" si="520"/>
        <v>#N/A</v>
      </c>
      <c r="U165" s="541" t="e">
        <f t="shared" si="520"/>
        <v>#N/A</v>
      </c>
      <c r="V165" s="541" t="e">
        <f t="shared" si="520"/>
        <v>#N/A</v>
      </c>
      <c r="W165" s="541" t="e">
        <f t="shared" si="520"/>
        <v>#N/A</v>
      </c>
      <c r="X165" s="541" t="e">
        <f t="shared" si="520"/>
        <v>#N/A</v>
      </c>
      <c r="Y165" s="541" t="e">
        <f t="shared" si="520"/>
        <v>#N/A</v>
      </c>
      <c r="Z165" s="541" t="e">
        <f t="shared" si="520"/>
        <v>#N/A</v>
      </c>
      <c r="AA165" s="541" t="e">
        <f t="shared" si="520"/>
        <v>#N/A</v>
      </c>
      <c r="AB165" s="541" t="e">
        <f t="shared" si="520"/>
        <v>#N/A</v>
      </c>
      <c r="AC165" s="541" t="e">
        <f t="shared" si="520"/>
        <v>#N/A</v>
      </c>
      <c r="AD165" s="541" t="e">
        <f t="shared" si="520"/>
        <v>#N/A</v>
      </c>
      <c r="AE165" s="541" t="e">
        <f t="shared" si="520"/>
        <v>#N/A</v>
      </c>
      <c r="AF165" s="541" t="e">
        <f t="shared" si="520"/>
        <v>#N/A</v>
      </c>
      <c r="AG165" s="541" t="e">
        <f t="shared" si="520"/>
        <v>#N/A</v>
      </c>
      <c r="AH165" s="541" t="e">
        <f t="shared" si="520"/>
        <v>#N/A</v>
      </c>
      <c r="AI165" s="541" t="e">
        <f t="shared" si="520"/>
        <v>#N/A</v>
      </c>
      <c r="AJ165" s="541" t="e">
        <f t="shared" si="520"/>
        <v>#N/A</v>
      </c>
      <c r="AK165" s="541" t="e">
        <f t="shared" si="520"/>
        <v>#N/A</v>
      </c>
      <c r="AL165" s="541" t="e">
        <f t="shared" si="520"/>
        <v>#N/A</v>
      </c>
      <c r="AM165" s="541" t="e">
        <f t="shared" si="520"/>
        <v>#N/A</v>
      </c>
      <c r="AN165" s="541" t="e">
        <f t="shared" si="520"/>
        <v>#N/A</v>
      </c>
      <c r="AO165" s="541"/>
      <c r="AP165" s="541"/>
      <c r="AQ165" s="541"/>
      <c r="AR165" s="541"/>
      <c r="AS165" s="541"/>
      <c r="AT165" s="541"/>
      <c r="AU165" s="541"/>
      <c r="AV165" s="541"/>
      <c r="AW165" s="541"/>
      <c r="AX165" s="541"/>
      <c r="AY165" s="541"/>
      <c r="AZ165" s="541"/>
      <c r="BA165" s="541"/>
      <c r="BB165" s="541"/>
      <c r="BC165" s="541"/>
      <c r="BD165" s="541"/>
      <c r="BE165" s="541"/>
      <c r="BF165" s="541"/>
      <c r="BG165" s="541"/>
      <c r="BH165" s="541"/>
      <c r="BI165" s="541"/>
      <c r="BJ165" s="541"/>
      <c r="BK165" s="541"/>
      <c r="BL165" s="541"/>
      <c r="BM165" s="541"/>
      <c r="BN165" s="541"/>
      <c r="BO165" s="541"/>
      <c r="BP165" s="541"/>
      <c r="BQ165" s="541"/>
      <c r="BR165" s="541"/>
      <c r="BS165" s="541"/>
      <c r="BT165" s="541"/>
      <c r="BU165" s="541"/>
      <c r="BV165" s="541"/>
      <c r="BW165" s="541"/>
      <c r="BX165" s="541"/>
      <c r="BY165" s="541"/>
      <c r="BZ165" s="541"/>
      <c r="CA165" s="541"/>
      <c r="CB165" s="541"/>
      <c r="CC165" s="541"/>
      <c r="CD165" s="541"/>
      <c r="CE165" s="541"/>
      <c r="CF165" s="541"/>
      <c r="CG165" s="541"/>
      <c r="CH165" s="541"/>
      <c r="CI165" s="541"/>
      <c r="CJ165" s="541"/>
      <c r="CK165" s="541"/>
      <c r="CL165" s="541"/>
      <c r="CN165" s="620" t="str">
        <f t="shared" si="517"/>
        <v/>
      </c>
      <c r="CO165" s="620" t="str">
        <f t="shared" si="518"/>
        <v/>
      </c>
      <c r="CP165" s="620" t="str">
        <f t="shared" si="519"/>
        <v/>
      </c>
    </row>
    <row r="166" spans="1:94"/>
    <row r="167" spans="1:94"/>
    <row r="168" spans="1:94"/>
    <row r="169" spans="1:94"/>
    <row r="170" spans="1:94"/>
    <row r="171" spans="1:94"/>
    <row r="172" spans="1:94"/>
    <row r="173" spans="1:94"/>
    <row r="174" spans="1:94"/>
    <row r="175" spans="1:94"/>
    <row r="176" spans="1:94"/>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sheetData>
  <mergeCells count="1">
    <mergeCell ref="A1:CP1"/>
  </mergeCells>
  <conditionalFormatting sqref="E22:CL22 E94:CL94 E99:CL99 E142:AN142 E143:CM143 E145:AN149 E144:CL144">
    <cfRule type="containsErrors" dxfId="90" priority="30">
      <formula>ISERROR(E22)</formula>
    </cfRule>
  </conditionalFormatting>
  <conditionalFormatting sqref="E38:CL38">
    <cfRule type="containsErrors" dxfId="89" priority="29">
      <formula>ISERROR(E38)</formula>
    </cfRule>
  </conditionalFormatting>
  <conditionalFormatting sqref="E54:CL54">
    <cfRule type="containsErrors" dxfId="88" priority="28">
      <formula>ISERROR(E54)</formula>
    </cfRule>
  </conditionalFormatting>
  <conditionalFormatting sqref="E70:CL70">
    <cfRule type="containsErrors" dxfId="87" priority="27">
      <formula>ISERROR(E70)</formula>
    </cfRule>
  </conditionalFormatting>
  <conditionalFormatting sqref="E86:CL86">
    <cfRule type="containsErrors" dxfId="86" priority="26">
      <formula>ISERROR(E86)</formula>
    </cfRule>
  </conditionalFormatting>
  <conditionalFormatting sqref="E101:CL101">
    <cfRule type="containsErrors" dxfId="85" priority="25">
      <formula>ISERROR(E101)</formula>
    </cfRule>
  </conditionalFormatting>
  <conditionalFormatting sqref="E100:CL101">
    <cfRule type="containsErrors" dxfId="84" priority="24">
      <formula>ISERROR(E100)</formula>
    </cfRule>
  </conditionalFormatting>
  <conditionalFormatting sqref="E95">
    <cfRule type="containsErrors" dxfId="83" priority="23">
      <formula>ISERROR(E95)</formula>
    </cfRule>
  </conditionalFormatting>
  <conditionalFormatting sqref="F95:CL95">
    <cfRule type="containsErrors" dxfId="82" priority="22">
      <formula>ISERROR(F95)</formula>
    </cfRule>
  </conditionalFormatting>
  <conditionalFormatting sqref="E102:CL102">
    <cfRule type="containsErrors" dxfId="81" priority="21">
      <formula>ISERROR(E102)</formula>
    </cfRule>
  </conditionalFormatting>
  <conditionalFormatting sqref="CN22:CP22">
    <cfRule type="containsErrors" dxfId="80" priority="20">
      <formula>ISERROR(CN22)</formula>
    </cfRule>
  </conditionalFormatting>
  <conditionalFormatting sqref="CN38:CP38">
    <cfRule type="containsErrors" dxfId="79" priority="19">
      <formula>ISERROR(CN38)</formula>
    </cfRule>
  </conditionalFormatting>
  <conditionalFormatting sqref="CN54:CP54">
    <cfRule type="containsErrors" dxfId="78" priority="18">
      <formula>ISERROR(CN54)</formula>
    </cfRule>
  </conditionalFormatting>
  <conditionalFormatting sqref="CN70:CP70">
    <cfRule type="containsErrors" dxfId="77" priority="17">
      <formula>ISERROR(CN70)</formula>
    </cfRule>
  </conditionalFormatting>
  <conditionalFormatting sqref="CN86:CP86">
    <cfRule type="containsErrors" dxfId="76" priority="16">
      <formula>ISERROR(CN86)</formula>
    </cfRule>
  </conditionalFormatting>
  <conditionalFormatting sqref="E8:AN109">
    <cfRule type="containsErrors" dxfId="75" priority="31">
      <formula>ISERROR(E8)</formula>
    </cfRule>
  </conditionalFormatting>
  <conditionalFormatting sqref="E122:CL122">
    <cfRule type="containsErrors" dxfId="74" priority="14">
      <formula>ISERROR(E122)</formula>
    </cfRule>
  </conditionalFormatting>
  <conditionalFormatting sqref="CN122:CP122">
    <cfRule type="containsErrors" dxfId="73" priority="13">
      <formula>ISERROR(CN122)</formula>
    </cfRule>
  </conditionalFormatting>
  <conditionalFormatting sqref="E116:CL116 I117:CL117 E110:AN115 I118:AN125 E117:H125">
    <cfRule type="containsErrors" dxfId="72" priority="15">
      <formula>ISERROR(E110)</formula>
    </cfRule>
  </conditionalFormatting>
  <conditionalFormatting sqref="E127:AN127">
    <cfRule type="containsErrors" dxfId="71" priority="12">
      <formula>ISERROR(E127)</formula>
    </cfRule>
  </conditionalFormatting>
  <conditionalFormatting sqref="E128:AN130">
    <cfRule type="containsErrors" dxfId="70" priority="11">
      <formula>ISERROR(E128)</formula>
    </cfRule>
  </conditionalFormatting>
  <conditionalFormatting sqref="E132:AN136">
    <cfRule type="containsErrors" dxfId="69" priority="10">
      <formula>ISERROR(E132)</formula>
    </cfRule>
  </conditionalFormatting>
  <conditionalFormatting sqref="E138:AN140">
    <cfRule type="containsErrors" dxfId="68" priority="9">
      <formula>ISERROR(E138)</formula>
    </cfRule>
  </conditionalFormatting>
  <conditionalFormatting sqref="E137:AN137">
    <cfRule type="containsErrors" dxfId="67" priority="6">
      <formula>ISERROR(E137)</formula>
    </cfRule>
  </conditionalFormatting>
  <conditionalFormatting sqref="E126:AN126">
    <cfRule type="containsErrors" dxfId="66" priority="8">
      <formula>ISERROR(E126)</formula>
    </cfRule>
  </conditionalFormatting>
  <conditionalFormatting sqref="E131:AN131">
    <cfRule type="containsErrors" dxfId="65" priority="7">
      <formula>ISERROR(E131)</formula>
    </cfRule>
  </conditionalFormatting>
  <conditionalFormatting sqref="E150:AN150">
    <cfRule type="containsErrors" dxfId="64" priority="5">
      <formula>ISERROR(E150)</formula>
    </cfRule>
  </conditionalFormatting>
  <conditionalFormatting sqref="E162:CL162">
    <cfRule type="containsErrors" dxfId="63" priority="3">
      <formula>ISERROR(E162)</formula>
    </cfRule>
  </conditionalFormatting>
  <conditionalFormatting sqref="CN162:CP162">
    <cfRule type="containsErrors" dxfId="62" priority="2">
      <formula>ISERROR(CN162)</formula>
    </cfRule>
  </conditionalFormatting>
  <conditionalFormatting sqref="E151:AN165">
    <cfRule type="containsErrors" dxfId="61" priority="4">
      <formula>ISERROR(E151)</formula>
    </cfRule>
  </conditionalFormatting>
  <conditionalFormatting sqref="E141:AN141">
    <cfRule type="containsErrors" dxfId="60" priority="1">
      <formula>ISERROR(E141)</formula>
    </cfRule>
  </conditionalFormatting>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E0D2860-F54D-44BD-B7D4-4A3FFEDBE6BE}">
          <x14:formula1>
            <xm:f>Catalogues!$W$2:$W$3</xm:f>
          </x14:formula1>
          <xm:sqref>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499984740745262"/>
  </sheetPr>
  <dimension ref="A1:CP209"/>
  <sheetViews>
    <sheetView showGridLines="0" topLeftCell="A3" zoomScaleNormal="100" workbookViewId="0">
      <selection activeCell="A7" sqref="A7"/>
    </sheetView>
  </sheetViews>
  <sheetFormatPr defaultColWidth="0" defaultRowHeight="15.75" zeroHeight="1" outlineLevelRow="1" outlineLevelCol="2"/>
  <cols>
    <col min="1" max="1" width="12.85546875" style="41" customWidth="1"/>
    <col min="2" max="2" width="18.28515625" style="41" customWidth="1"/>
    <col min="3" max="3" width="7.140625" style="41" hidden="1" customWidth="1"/>
    <col min="4" max="4" width="20" style="41" hidden="1" customWidth="1"/>
    <col min="5" max="5" width="7.140625" style="363" customWidth="1"/>
    <col min="6" max="7" width="7.140625" style="363" hidden="1" customWidth="1" outlineLevel="1"/>
    <col min="8" max="8" width="7.140625" style="365" customWidth="1" collapsed="1"/>
    <col min="9" max="9" width="7.140625" style="363" hidden="1" customWidth="1" outlineLevel="1"/>
    <col min="10" max="10" width="7.140625" style="363" customWidth="1" collapsed="1"/>
    <col min="11" max="14" width="7.140625" style="363" hidden="1" customWidth="1" outlineLevel="1"/>
    <col min="15" max="15" width="7.140625" style="363" customWidth="1" collapsed="1"/>
    <col min="16" max="19" width="7.140625" style="363" hidden="1" customWidth="1" outlineLevel="1"/>
    <col min="20" max="20" width="7.140625" style="363" customWidth="1" collapsed="1"/>
    <col min="21" max="24" width="7.140625" style="363" hidden="1" customWidth="1" outlineLevel="1"/>
    <col min="25" max="25" width="7.140625" style="363" customWidth="1" collapsed="1"/>
    <col min="26" max="29" width="7.140625" style="363" hidden="1" customWidth="1" outlineLevel="1"/>
    <col min="30" max="30" width="7.140625" style="363" customWidth="1" collapsed="1"/>
    <col min="31" max="34" width="7.140625" style="363" hidden="1" customWidth="1" outlineLevel="1"/>
    <col min="35" max="35" width="7.140625" style="363" customWidth="1" collapsed="1"/>
    <col min="36" max="39" width="7.140625" style="363" hidden="1" customWidth="1" outlineLevel="1"/>
    <col min="40" max="40" width="7.140625" style="363" customWidth="1" collapsed="1"/>
    <col min="41" max="44" width="7.140625" style="363" hidden="1" customWidth="1" outlineLevel="1"/>
    <col min="45" max="45" width="7.140625" style="363" hidden="1" customWidth="1" outlineLevel="1" collapsed="1"/>
    <col min="46" max="49" width="7.140625" style="363" hidden="1" customWidth="1" outlineLevel="2"/>
    <col min="50" max="50" width="7.140625" style="363" hidden="1" customWidth="1" outlineLevel="1" collapsed="1"/>
    <col min="51" max="54" width="7.140625" style="363" hidden="1" customWidth="1" outlineLevel="2"/>
    <col min="55" max="55" width="7.140625" style="363" hidden="1" customWidth="1" outlineLevel="1" collapsed="1"/>
    <col min="56" max="59" width="7.140625" style="363" hidden="1" customWidth="1" outlineLevel="2"/>
    <col min="60" max="60" width="7.140625" style="363" hidden="1" customWidth="1" outlineLevel="1" collapsed="1"/>
    <col min="61" max="64" width="7.140625" style="363" hidden="1" customWidth="1" outlineLevel="2"/>
    <col min="65" max="65" width="7.140625" style="363" hidden="1" customWidth="1" outlineLevel="1" collapsed="1"/>
    <col min="66" max="69" width="7.140625" style="363" hidden="1" customWidth="1" outlineLevel="2"/>
    <col min="70" max="70" width="7.140625" style="363" hidden="1" customWidth="1" outlineLevel="1" collapsed="1"/>
    <col min="71" max="74" width="7.140625" style="363" hidden="1" customWidth="1" outlineLevel="2"/>
    <col min="75" max="75" width="7.140625" style="363" hidden="1" customWidth="1" outlineLevel="1" collapsed="1"/>
    <col min="76" max="79" width="7.140625" style="363" hidden="1" customWidth="1" outlineLevel="2"/>
    <col min="80" max="80" width="7.140625" style="363" hidden="1" customWidth="1" outlineLevel="1" collapsed="1"/>
    <col min="81" max="84" width="7.140625" style="363" hidden="1" customWidth="1" outlineLevel="2"/>
    <col min="85" max="85" width="7.140625" style="363" hidden="1" customWidth="1" outlineLevel="1" collapsed="1"/>
    <col min="86" max="89" width="7.140625" style="363" hidden="1" customWidth="1" outlineLevel="2"/>
    <col min="90" max="90" width="7.140625" style="363" hidden="1" customWidth="1" outlineLevel="1" collapsed="1"/>
    <col min="91" max="91" width="1.85546875" style="41" customWidth="1" collapsed="1"/>
    <col min="92" max="94" width="11.42578125" style="41" customWidth="1"/>
    <col min="95" max="16384" width="8.85546875" style="41" hidden="1"/>
  </cols>
  <sheetData>
    <row r="1" spans="1:94" s="362" customFormat="1" ht="21" hidden="1" customHeight="1">
      <c r="A1" s="641"/>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c r="BW1" s="641"/>
      <c r="BX1" s="641"/>
      <c r="BY1" s="641"/>
      <c r="BZ1" s="641"/>
      <c r="CA1" s="641"/>
      <c r="CB1" s="641"/>
      <c r="CC1" s="641"/>
      <c r="CD1" s="641"/>
      <c r="CE1" s="641"/>
      <c r="CF1" s="641"/>
      <c r="CG1" s="641"/>
      <c r="CH1" s="641"/>
      <c r="CI1" s="641"/>
      <c r="CJ1" s="641"/>
      <c r="CK1" s="641"/>
      <c r="CL1" s="641"/>
      <c r="CM1" s="641"/>
      <c r="CN1" s="641"/>
      <c r="CO1" s="641"/>
      <c r="CP1" s="641"/>
    </row>
    <row r="2" spans="1:94" s="362" customFormat="1" ht="21" hidden="1"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row>
    <row r="3" spans="1:94" ht="21" customHeight="1">
      <c r="A3" s="363" t="s">
        <v>162</v>
      </c>
      <c r="B3" s="364" t="str">
        <f>Airlines!E16</f>
        <v>1.5°C (Interim)</v>
      </c>
      <c r="Y3" s="366"/>
      <c r="AD3" s="366"/>
    </row>
    <row r="4" spans="1:94" ht="21" customHeight="1">
      <c r="A4" s="363" t="s">
        <v>278</v>
      </c>
      <c r="B4" s="367">
        <f>base</f>
        <v>2019</v>
      </c>
      <c r="C4" s="368" t="s">
        <v>279</v>
      </c>
      <c r="AN4" s="369"/>
    </row>
    <row r="5" spans="1:94" ht="21" customHeight="1">
      <c r="A5" s="363" t="s">
        <v>123</v>
      </c>
      <c r="B5" s="367">
        <v>2050</v>
      </c>
      <c r="C5" s="368" t="s">
        <v>275</v>
      </c>
      <c r="AN5" s="369"/>
    </row>
    <row r="6" spans="1:94" ht="21" customHeight="1">
      <c r="A6" s="363" t="s">
        <v>373</v>
      </c>
      <c r="B6" s="364" t="s">
        <v>376</v>
      </c>
      <c r="C6" s="368"/>
      <c r="AN6" s="369"/>
      <c r="CN6" s="370"/>
      <c r="CO6" s="370"/>
      <c r="CP6" s="370"/>
    </row>
    <row r="7" spans="1:94" s="362" customFormat="1" ht="21" customHeight="1">
      <c r="A7" s="371"/>
      <c r="C7" s="372"/>
      <c r="E7" s="371"/>
      <c r="F7" s="371"/>
      <c r="G7" s="371"/>
      <c r="H7" s="373"/>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4"/>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N7" s="375"/>
      <c r="CO7" s="375"/>
      <c r="CP7" s="375"/>
    </row>
    <row r="8" spans="1:94" ht="21" customHeight="1">
      <c r="A8" s="376" t="s">
        <v>287</v>
      </c>
      <c r="B8" s="376" t="s">
        <v>288</v>
      </c>
      <c r="C8" s="376" t="s">
        <v>286</v>
      </c>
      <c r="D8" s="376" t="s">
        <v>285</v>
      </c>
      <c r="E8" s="377">
        <v>2015</v>
      </c>
      <c r="F8" s="378">
        <f>E8+1</f>
        <v>2016</v>
      </c>
      <c r="G8" s="378">
        <f>F8+1</f>
        <v>2017</v>
      </c>
      <c r="H8" s="378">
        <f>G8+1</f>
        <v>2018</v>
      </c>
      <c r="I8" s="378">
        <f>H8+1</f>
        <v>2019</v>
      </c>
      <c r="J8" s="378">
        <f>E8+5</f>
        <v>2020</v>
      </c>
      <c r="K8" s="378">
        <f>J8+1</f>
        <v>2021</v>
      </c>
      <c r="L8" s="378">
        <f>K8+1</f>
        <v>2022</v>
      </c>
      <c r="M8" s="378">
        <f>L8+1</f>
        <v>2023</v>
      </c>
      <c r="N8" s="378">
        <f>M8+1</f>
        <v>2024</v>
      </c>
      <c r="O8" s="378">
        <f>J8+5</f>
        <v>2025</v>
      </c>
      <c r="P8" s="378">
        <f>O8+1</f>
        <v>2026</v>
      </c>
      <c r="Q8" s="378">
        <f>P8+1</f>
        <v>2027</v>
      </c>
      <c r="R8" s="378">
        <f>Q8+1</f>
        <v>2028</v>
      </c>
      <c r="S8" s="378">
        <f>R8+1</f>
        <v>2029</v>
      </c>
      <c r="T8" s="378">
        <f>O8+5</f>
        <v>2030</v>
      </c>
      <c r="U8" s="378">
        <f>T8+1</f>
        <v>2031</v>
      </c>
      <c r="V8" s="378">
        <f>U8+1</f>
        <v>2032</v>
      </c>
      <c r="W8" s="378">
        <f>V8+1</f>
        <v>2033</v>
      </c>
      <c r="X8" s="378">
        <f>W8+1</f>
        <v>2034</v>
      </c>
      <c r="Y8" s="378">
        <f>T8+5</f>
        <v>2035</v>
      </c>
      <c r="Z8" s="378">
        <f>Y8+1</f>
        <v>2036</v>
      </c>
      <c r="AA8" s="378">
        <f>Z8+1</f>
        <v>2037</v>
      </c>
      <c r="AB8" s="378">
        <f>AA8+1</f>
        <v>2038</v>
      </c>
      <c r="AC8" s="378">
        <f>AB8+1</f>
        <v>2039</v>
      </c>
      <c r="AD8" s="378">
        <f>Y8+5</f>
        <v>2040</v>
      </c>
      <c r="AE8" s="378">
        <f>AD8+1</f>
        <v>2041</v>
      </c>
      <c r="AF8" s="378">
        <f>AE8+1</f>
        <v>2042</v>
      </c>
      <c r="AG8" s="378">
        <f>AF8+1</f>
        <v>2043</v>
      </c>
      <c r="AH8" s="378">
        <f>AG8+1</f>
        <v>2044</v>
      </c>
      <c r="AI8" s="378">
        <f>AD8+5</f>
        <v>2045</v>
      </c>
      <c r="AJ8" s="378">
        <f>AI8+1</f>
        <v>2046</v>
      </c>
      <c r="AK8" s="378">
        <f>AJ8+1</f>
        <v>2047</v>
      </c>
      <c r="AL8" s="378">
        <f>AK8+1</f>
        <v>2048</v>
      </c>
      <c r="AM8" s="378">
        <f>AL8+1</f>
        <v>2049</v>
      </c>
      <c r="AN8" s="378">
        <f>AI8+5</f>
        <v>2050</v>
      </c>
      <c r="AO8" s="379">
        <f>AN8+1</f>
        <v>2051</v>
      </c>
      <c r="AP8" s="379">
        <f>AO8+1</f>
        <v>2052</v>
      </c>
      <c r="AQ8" s="379">
        <f>AP8+1</f>
        <v>2053</v>
      </c>
      <c r="AR8" s="379">
        <f>AQ8+1</f>
        <v>2054</v>
      </c>
      <c r="AS8" s="379">
        <f>AN8+5</f>
        <v>2055</v>
      </c>
      <c r="AT8" s="379">
        <f>AS8+1</f>
        <v>2056</v>
      </c>
      <c r="AU8" s="379">
        <f>AT8+1</f>
        <v>2057</v>
      </c>
      <c r="AV8" s="379">
        <f>AU8+1</f>
        <v>2058</v>
      </c>
      <c r="AW8" s="379">
        <f>AV8+1</f>
        <v>2059</v>
      </c>
      <c r="AX8" s="379">
        <f>AS8+5</f>
        <v>2060</v>
      </c>
      <c r="AY8" s="379">
        <f>AX8+1</f>
        <v>2061</v>
      </c>
      <c r="AZ8" s="379">
        <f>AY8+1</f>
        <v>2062</v>
      </c>
      <c r="BA8" s="379">
        <f>AZ8+1</f>
        <v>2063</v>
      </c>
      <c r="BB8" s="379">
        <f>BA8+1</f>
        <v>2064</v>
      </c>
      <c r="BC8" s="379">
        <f>AX8+5</f>
        <v>2065</v>
      </c>
      <c r="BD8" s="379">
        <f>BC8+1</f>
        <v>2066</v>
      </c>
      <c r="BE8" s="379">
        <f>BD8+1</f>
        <v>2067</v>
      </c>
      <c r="BF8" s="379">
        <f>BE8+1</f>
        <v>2068</v>
      </c>
      <c r="BG8" s="379">
        <f>BF8+1</f>
        <v>2069</v>
      </c>
      <c r="BH8" s="379">
        <f>BC8+5</f>
        <v>2070</v>
      </c>
      <c r="BI8" s="379">
        <f>BH8+1</f>
        <v>2071</v>
      </c>
      <c r="BJ8" s="379">
        <f>BI8+1</f>
        <v>2072</v>
      </c>
      <c r="BK8" s="379">
        <f>BJ8+1</f>
        <v>2073</v>
      </c>
      <c r="BL8" s="379">
        <f>BK8+1</f>
        <v>2074</v>
      </c>
      <c r="BM8" s="379">
        <f>BH8+5</f>
        <v>2075</v>
      </c>
      <c r="BN8" s="379">
        <f>BM8+1</f>
        <v>2076</v>
      </c>
      <c r="BO8" s="379">
        <f>BN8+1</f>
        <v>2077</v>
      </c>
      <c r="BP8" s="379">
        <f>BO8+1</f>
        <v>2078</v>
      </c>
      <c r="BQ8" s="379">
        <f>BP8+1</f>
        <v>2079</v>
      </c>
      <c r="BR8" s="379">
        <f>BM8+5</f>
        <v>2080</v>
      </c>
      <c r="BS8" s="379">
        <f>BR8+1</f>
        <v>2081</v>
      </c>
      <c r="BT8" s="379">
        <f>BS8+1</f>
        <v>2082</v>
      </c>
      <c r="BU8" s="379">
        <f>BT8+1</f>
        <v>2083</v>
      </c>
      <c r="BV8" s="379">
        <f>BU8+1</f>
        <v>2084</v>
      </c>
      <c r="BW8" s="379">
        <f>BR8+5</f>
        <v>2085</v>
      </c>
      <c r="BX8" s="379">
        <f>BW8+1</f>
        <v>2086</v>
      </c>
      <c r="BY8" s="379">
        <f>BX8+1</f>
        <v>2087</v>
      </c>
      <c r="BZ8" s="379">
        <f>BY8+1</f>
        <v>2088</v>
      </c>
      <c r="CA8" s="379">
        <f>BZ8+1</f>
        <v>2089</v>
      </c>
      <c r="CB8" s="379">
        <f>BW8+5</f>
        <v>2090</v>
      </c>
      <c r="CC8" s="379">
        <f>CB8+1</f>
        <v>2091</v>
      </c>
      <c r="CD8" s="379">
        <f>CC8+1</f>
        <v>2092</v>
      </c>
      <c r="CE8" s="379">
        <f>CD8+1</f>
        <v>2093</v>
      </c>
      <c r="CF8" s="379">
        <f>CE8+1</f>
        <v>2094</v>
      </c>
      <c r="CG8" s="379">
        <f>CB8+5</f>
        <v>2095</v>
      </c>
      <c r="CH8" s="379">
        <f>CG8+1</f>
        <v>2096</v>
      </c>
      <c r="CI8" s="379">
        <f>CH8+1</f>
        <v>2097</v>
      </c>
      <c r="CJ8" s="379">
        <f>CI8+1</f>
        <v>2098</v>
      </c>
      <c r="CK8" s="379">
        <f>CJ8+1</f>
        <v>2099</v>
      </c>
      <c r="CL8" s="379">
        <f>CG8+5</f>
        <v>2100</v>
      </c>
      <c r="CM8" s="380"/>
      <c r="CN8" s="381" t="s">
        <v>409</v>
      </c>
      <c r="CO8" s="381" t="s">
        <v>411</v>
      </c>
      <c r="CP8" s="381" t="s">
        <v>410</v>
      </c>
    </row>
    <row r="9" spans="1:94">
      <c r="A9" s="382" t="s">
        <v>492</v>
      </c>
      <c r="B9" s="376"/>
      <c r="C9" s="376"/>
      <c r="D9" s="376"/>
      <c r="E9" s="377"/>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80"/>
      <c r="CN9" s="381"/>
      <c r="CO9" s="381"/>
      <c r="CP9" s="381"/>
    </row>
    <row r="10" spans="1:94" ht="16.5" thickBot="1">
      <c r="A10" s="383" t="s">
        <v>153</v>
      </c>
      <c r="B10" s="384"/>
      <c r="C10" s="384"/>
      <c r="D10" s="384"/>
      <c r="E10" s="385">
        <v>2015</v>
      </c>
      <c r="F10" s="386">
        <f>E10+1</f>
        <v>2016</v>
      </c>
      <c r="G10" s="386">
        <f t="shared" ref="G10:I10" si="0">F10+1</f>
        <v>2017</v>
      </c>
      <c r="H10" s="386">
        <f t="shared" si="0"/>
        <v>2018</v>
      </c>
      <c r="I10" s="386">
        <f t="shared" si="0"/>
        <v>2019</v>
      </c>
      <c r="J10" s="386">
        <f>E10+5</f>
        <v>2020</v>
      </c>
      <c r="K10" s="386">
        <f>J10+1</f>
        <v>2021</v>
      </c>
      <c r="L10" s="386">
        <f t="shared" ref="L10:N10" si="1">K10+1</f>
        <v>2022</v>
      </c>
      <c r="M10" s="386">
        <f t="shared" si="1"/>
        <v>2023</v>
      </c>
      <c r="N10" s="386">
        <f t="shared" si="1"/>
        <v>2024</v>
      </c>
      <c r="O10" s="386">
        <f>J10+5</f>
        <v>2025</v>
      </c>
      <c r="P10" s="386">
        <f>O10+1</f>
        <v>2026</v>
      </c>
      <c r="Q10" s="386">
        <f t="shared" ref="Q10:S10" si="2">P10+1</f>
        <v>2027</v>
      </c>
      <c r="R10" s="386">
        <f t="shared" si="2"/>
        <v>2028</v>
      </c>
      <c r="S10" s="386">
        <f t="shared" si="2"/>
        <v>2029</v>
      </c>
      <c r="T10" s="386">
        <f>O10+5</f>
        <v>2030</v>
      </c>
      <c r="U10" s="386">
        <f>T10+1</f>
        <v>2031</v>
      </c>
      <c r="V10" s="386">
        <f t="shared" ref="V10:X10" si="3">U10+1</f>
        <v>2032</v>
      </c>
      <c r="W10" s="386">
        <f t="shared" si="3"/>
        <v>2033</v>
      </c>
      <c r="X10" s="386">
        <f t="shared" si="3"/>
        <v>2034</v>
      </c>
      <c r="Y10" s="386">
        <f>T10+5</f>
        <v>2035</v>
      </c>
      <c r="Z10" s="386">
        <f>Y10+1</f>
        <v>2036</v>
      </c>
      <c r="AA10" s="386">
        <f t="shared" ref="AA10:AC10" si="4">Z10+1</f>
        <v>2037</v>
      </c>
      <c r="AB10" s="386">
        <f t="shared" si="4"/>
        <v>2038</v>
      </c>
      <c r="AC10" s="386">
        <f t="shared" si="4"/>
        <v>2039</v>
      </c>
      <c r="AD10" s="386">
        <f>Y10+5</f>
        <v>2040</v>
      </c>
      <c r="AE10" s="386">
        <f>AD10+1</f>
        <v>2041</v>
      </c>
      <c r="AF10" s="386">
        <f t="shared" ref="AF10:AH10" si="5">AE10+1</f>
        <v>2042</v>
      </c>
      <c r="AG10" s="386">
        <f t="shared" si="5"/>
        <v>2043</v>
      </c>
      <c r="AH10" s="386">
        <f t="shared" si="5"/>
        <v>2044</v>
      </c>
      <c r="AI10" s="386">
        <f>AD10+5</f>
        <v>2045</v>
      </c>
      <c r="AJ10" s="386">
        <f>AI10+1</f>
        <v>2046</v>
      </c>
      <c r="AK10" s="386">
        <f t="shared" ref="AK10:AM10" si="6">AJ10+1</f>
        <v>2047</v>
      </c>
      <c r="AL10" s="386">
        <f t="shared" si="6"/>
        <v>2048</v>
      </c>
      <c r="AM10" s="386">
        <f t="shared" si="6"/>
        <v>2049</v>
      </c>
      <c r="AN10" s="386">
        <f>AI10+5</f>
        <v>2050</v>
      </c>
      <c r="AO10" s="386">
        <f>AN10+1</f>
        <v>2051</v>
      </c>
      <c r="AP10" s="386">
        <f t="shared" ref="AP10:AR10" si="7">AO10+1</f>
        <v>2052</v>
      </c>
      <c r="AQ10" s="386">
        <f t="shared" si="7"/>
        <v>2053</v>
      </c>
      <c r="AR10" s="386">
        <f t="shared" si="7"/>
        <v>2054</v>
      </c>
      <c r="AS10" s="386">
        <f>AN10+5</f>
        <v>2055</v>
      </c>
      <c r="AT10" s="386">
        <f>AS10+1</f>
        <v>2056</v>
      </c>
      <c r="AU10" s="386">
        <f t="shared" ref="AU10:AW10" si="8">AT10+1</f>
        <v>2057</v>
      </c>
      <c r="AV10" s="386">
        <f t="shared" si="8"/>
        <v>2058</v>
      </c>
      <c r="AW10" s="386">
        <f t="shared" si="8"/>
        <v>2059</v>
      </c>
      <c r="AX10" s="386">
        <f>AS10+5</f>
        <v>2060</v>
      </c>
      <c r="AY10" s="386">
        <f>AX10+1</f>
        <v>2061</v>
      </c>
      <c r="AZ10" s="386">
        <f t="shared" ref="AZ10:BB10" si="9">AY10+1</f>
        <v>2062</v>
      </c>
      <c r="BA10" s="386">
        <f t="shared" si="9"/>
        <v>2063</v>
      </c>
      <c r="BB10" s="386">
        <f t="shared" si="9"/>
        <v>2064</v>
      </c>
      <c r="BC10" s="386">
        <f>AX10+5</f>
        <v>2065</v>
      </c>
      <c r="BD10" s="386">
        <f>BC10+1</f>
        <v>2066</v>
      </c>
      <c r="BE10" s="386">
        <f t="shared" ref="BE10:BG10" si="10">BD10+1</f>
        <v>2067</v>
      </c>
      <c r="BF10" s="386">
        <f t="shared" si="10"/>
        <v>2068</v>
      </c>
      <c r="BG10" s="386">
        <f t="shared" si="10"/>
        <v>2069</v>
      </c>
      <c r="BH10" s="386">
        <f>BC10+5</f>
        <v>2070</v>
      </c>
      <c r="BI10" s="386">
        <f>BH10+1</f>
        <v>2071</v>
      </c>
      <c r="BJ10" s="386">
        <f t="shared" ref="BJ10:BL10" si="11">BI10+1</f>
        <v>2072</v>
      </c>
      <c r="BK10" s="386">
        <f t="shared" si="11"/>
        <v>2073</v>
      </c>
      <c r="BL10" s="386">
        <f t="shared" si="11"/>
        <v>2074</v>
      </c>
      <c r="BM10" s="386">
        <f>BH10+5</f>
        <v>2075</v>
      </c>
      <c r="BN10" s="386">
        <f>BM10+1</f>
        <v>2076</v>
      </c>
      <c r="BO10" s="386">
        <f t="shared" ref="BO10:BQ10" si="12">BN10+1</f>
        <v>2077</v>
      </c>
      <c r="BP10" s="386">
        <f t="shared" si="12"/>
        <v>2078</v>
      </c>
      <c r="BQ10" s="386">
        <f t="shared" si="12"/>
        <v>2079</v>
      </c>
      <c r="BR10" s="386">
        <f>BM10+5</f>
        <v>2080</v>
      </c>
      <c r="BS10" s="386">
        <f>BR10+1</f>
        <v>2081</v>
      </c>
      <c r="BT10" s="386">
        <f t="shared" ref="BT10:BV10" si="13">BS10+1</f>
        <v>2082</v>
      </c>
      <c r="BU10" s="386">
        <f t="shared" si="13"/>
        <v>2083</v>
      </c>
      <c r="BV10" s="386">
        <f t="shared" si="13"/>
        <v>2084</v>
      </c>
      <c r="BW10" s="386">
        <f>BR10+5</f>
        <v>2085</v>
      </c>
      <c r="BX10" s="386">
        <f>BW10+1</f>
        <v>2086</v>
      </c>
      <c r="BY10" s="386">
        <f t="shared" ref="BY10:CA10" si="14">BX10+1</f>
        <v>2087</v>
      </c>
      <c r="BZ10" s="386">
        <f t="shared" si="14"/>
        <v>2088</v>
      </c>
      <c r="CA10" s="386">
        <f t="shared" si="14"/>
        <v>2089</v>
      </c>
      <c r="CB10" s="386">
        <f>BW10+5</f>
        <v>2090</v>
      </c>
      <c r="CC10" s="386">
        <f>CB10+1</f>
        <v>2091</v>
      </c>
      <c r="CD10" s="386">
        <f t="shared" ref="CD10:CF10" si="15">CC10+1</f>
        <v>2092</v>
      </c>
      <c r="CE10" s="386">
        <f t="shared" si="15"/>
        <v>2093</v>
      </c>
      <c r="CF10" s="386">
        <f t="shared" si="15"/>
        <v>2094</v>
      </c>
      <c r="CG10" s="386">
        <f>CB10+5</f>
        <v>2095</v>
      </c>
      <c r="CH10" s="386">
        <f>CG10+1</f>
        <v>2096</v>
      </c>
      <c r="CI10" s="386">
        <f t="shared" ref="CI10:CK10" si="16">CH10+1</f>
        <v>2097</v>
      </c>
      <c r="CJ10" s="386">
        <f t="shared" si="16"/>
        <v>2098</v>
      </c>
      <c r="CK10" s="386">
        <f t="shared" si="16"/>
        <v>2099</v>
      </c>
      <c r="CL10" s="386">
        <f>CG10+5</f>
        <v>2100</v>
      </c>
      <c r="CN10" s="387" t="s">
        <v>409</v>
      </c>
      <c r="CO10" s="387" t="s">
        <v>411</v>
      </c>
      <c r="CP10" s="387" t="s">
        <v>410</v>
      </c>
    </row>
    <row r="11" spans="1:94" ht="16.5" hidden="1" outlineLevel="1" thickTop="1">
      <c r="A11" s="388" t="s">
        <v>152</v>
      </c>
      <c r="B11" s="388" t="str">
        <f>$A$10</f>
        <v>Ded-short</v>
      </c>
      <c r="C11" s="389" t="s">
        <v>289</v>
      </c>
      <c r="D11" s="389"/>
      <c r="E11" s="390">
        <f ca="1">'SDS Calc'!E11</f>
        <v>12.485861973024001</v>
      </c>
      <c r="F11" s="531">
        <f ca="1">'SDS Calc'!F11</f>
        <v>12.815999234496001</v>
      </c>
      <c r="G11" s="531">
        <f ca="1">'SDS Calc'!G11</f>
        <v>13.146136495968001</v>
      </c>
      <c r="H11" s="531">
        <f ca="1">'SDS Calc'!H11</f>
        <v>13.47627375744</v>
      </c>
      <c r="I11" s="531">
        <f ca="1">'SDS Calc'!I11</f>
        <v>12.787643404624001</v>
      </c>
      <c r="J11" s="531" t="e">
        <f ca="1">'SDS Calc'!J11</f>
        <v>#N/A</v>
      </c>
      <c r="K11" s="531" t="e">
        <f ca="1">'SDS Calc'!K11</f>
        <v>#N/A</v>
      </c>
      <c r="L11" s="531" t="e">
        <f ca="1">'SDS Calc'!L11</f>
        <v>#N/A</v>
      </c>
      <c r="M11" s="531">
        <f ca="1">'SDS Calc'!M11</f>
        <v>12.58386937069171</v>
      </c>
      <c r="N11" s="531">
        <f ca="1">'SDS Calc'!N11</f>
        <v>12.532925862208641</v>
      </c>
      <c r="O11" s="531">
        <f ca="1">'SDS Calc'!O11</f>
        <v>12.481982353725567</v>
      </c>
      <c r="P11" s="531">
        <f ca="1">'SDS Calc'!P11</f>
        <v>12.431038845242496</v>
      </c>
      <c r="Q11" s="531">
        <f ca="1">'SDS Calc'!Q11</f>
        <v>12.380095336759421</v>
      </c>
      <c r="R11" s="531">
        <f ca="1">'SDS Calc'!R11</f>
        <v>12.329151828276347</v>
      </c>
      <c r="S11" s="531">
        <f ca="1">'SDS Calc'!S11</f>
        <v>12.278208319793274</v>
      </c>
      <c r="T11" s="531">
        <f ca="1">'SDS Calc'!T11</f>
        <v>12.227264811310192</v>
      </c>
      <c r="U11" s="531">
        <f ca="1">'SDS Calc'!U11</f>
        <v>12.098785008657424</v>
      </c>
      <c r="V11" s="531">
        <f ca="1">IF($B$6="ON", IF(V10&gt;=covid_start, IF(V10&lt;covid_recovery,NA(),SUMIFS(INDIRECT("Data_main"&amp;"["&amp;V$8&amp;"]"),Data_main[Data],$A11, Data_main[Segment],$B11, Data_main[Scenario],$B$3)),SUMIFS(INDIRECT("Data_main"&amp;"["&amp;V$8&amp;"]"),Data_main[Data],$A11, Data_main[Segment],$B11, Data_main[Scenario],$B$3)),SUMIFS(INDIRECT("Data_main"&amp;"["&amp;V$8&amp;"]"),Data_main[Data],$A11, Data_main[Segment],$B11, Data_main[Scenario],$B$3))</f>
        <v>12.639224592814401</v>
      </c>
      <c r="W11" s="390">
        <f ca="1">IF($B$6="ON", IF(W10&gt;=covid_start, IF(W10&lt;covid_recovery,NA(),SUMIFS(INDIRECT("Data_main"&amp;"["&amp;W$8&amp;"]"),Data_main[Data],$A11, Data_main[Segment],$B11, Data_main[Scenario],$B$3)),SUMIFS(INDIRECT("Data_main"&amp;"["&amp;W$8&amp;"]"),Data_main[Data],$A11, Data_main[Segment],$B11, Data_main[Scenario],$B$3)),SUMIFS(INDIRECT("Data_main"&amp;"["&amp;W$8&amp;"]"),Data_main[Data],$A11, Data_main[Segment],$B11, Data_main[Scenario],$B$3))</f>
        <v>12.276277968963553</v>
      </c>
      <c r="X11" s="390">
        <f ca="1">IF($B$6="ON", IF(X10&gt;=covid_start, IF(X10&lt;covid_recovery,NA(),SUMIFS(INDIRECT("Data_main"&amp;"["&amp;X$8&amp;"]"),Data_main[Data],$A11, Data_main[Segment],$B11, Data_main[Scenario],$B$3)),SUMIFS(INDIRECT("Data_main"&amp;"["&amp;X$8&amp;"]"),Data_main[Data],$A11, Data_main[Segment],$B11, Data_main[Scenario],$B$3)),SUMIFS(INDIRECT("Data_main"&amp;"["&amp;X$8&amp;"]"),Data_main[Data],$A11, Data_main[Segment],$B11, Data_main[Scenario],$B$3))</f>
        <v>11.897454167933647</v>
      </c>
      <c r="Y11" s="390">
        <f ca="1">IF($B$6="ON", IF(Y10&gt;=covid_start, IF(Y10&lt;covid_recovery,NA(),SUMIFS(INDIRECT("Data_main"&amp;"["&amp;Y$8&amp;"]"),Data_main[Data],$A11, Data_main[Segment],$B11, Data_main[Scenario],$B$3)),SUMIFS(INDIRECT("Data_main"&amp;"["&amp;Y$8&amp;"]"),Data_main[Data],$A11, Data_main[Segment],$B11, Data_main[Scenario],$B$3)),SUMIFS(INDIRECT("Data_main"&amp;"["&amp;Y$8&amp;"]"),Data_main[Data],$A11, Data_main[Segment],$B11, Data_main[Scenario],$B$3))</f>
        <v>11.451679421298016</v>
      </c>
      <c r="Z11" s="390">
        <f ca="1">IF($B$6="ON", IF(Z10&gt;=covid_start, IF(Z10&lt;covid_recovery,NA(),SUMIFS(INDIRECT("Data_main"&amp;"["&amp;Z$8&amp;"]"),Data_main[Data],$A11, Data_main[Segment],$B11, Data_main[Scenario],$B$3)),SUMIFS(INDIRECT("Data_main"&amp;"["&amp;Z$8&amp;"]"),Data_main[Data],$A11, Data_main[Segment],$B11, Data_main[Scenario],$B$3)),SUMIFS(INDIRECT("Data_main"&amp;"["&amp;Z$8&amp;"]"),Data_main[Data],$A11, Data_main[Segment],$B11, Data_main[Scenario],$B$3))</f>
        <v>10.951867672970785</v>
      </c>
      <c r="AA11" s="390">
        <f ca="1">IF($B$6="ON", IF(AA10&gt;=covid_start, IF(AA10&lt;covid_recovery,NA(),SUMIFS(INDIRECT("Data_main"&amp;"["&amp;AA$8&amp;"]"),Data_main[Data],$A11, Data_main[Segment],$B11, Data_main[Scenario],$B$3)),SUMIFS(INDIRECT("Data_main"&amp;"["&amp;AA$8&amp;"]"),Data_main[Data],$A11, Data_main[Segment],$B11, Data_main[Scenario],$B$3)),SUMIFS(INDIRECT("Data_main"&amp;"["&amp;AA$8&amp;"]"),Data_main[Data],$A11, Data_main[Segment],$B11, Data_main[Scenario],$B$3))</f>
        <v>10.402442191664546</v>
      </c>
      <c r="AB11" s="390">
        <f ca="1">IF($B$6="ON", IF(AB10&gt;=covid_start, IF(AB10&lt;covid_recovery,NA(),SUMIFS(INDIRECT("Data_main"&amp;"["&amp;AB$8&amp;"]"),Data_main[Data],$A11, Data_main[Segment],$B11, Data_main[Scenario],$B$3)),SUMIFS(INDIRECT("Data_main"&amp;"["&amp;AB$8&amp;"]"),Data_main[Data],$A11, Data_main[Segment],$B11, Data_main[Scenario],$B$3)),SUMIFS(INDIRECT("Data_main"&amp;"["&amp;AB$8&amp;"]"),Data_main[Data],$A11, Data_main[Segment],$B11, Data_main[Scenario],$B$3))</f>
        <v>9.800470555112673</v>
      </c>
      <c r="AC11" s="390">
        <f ca="1">IF($B$6="ON", IF(AC10&gt;=covid_start, IF(AC10&lt;covid_recovery,NA(),SUMIFS(INDIRECT("Data_main"&amp;"["&amp;AC$8&amp;"]"),Data_main[Data],$A11, Data_main[Segment],$B11, Data_main[Scenario],$B$3)),SUMIFS(INDIRECT("Data_main"&amp;"["&amp;AC$8&amp;"]"),Data_main[Data],$A11, Data_main[Segment],$B11, Data_main[Scenario],$B$3)),SUMIFS(INDIRECT("Data_main"&amp;"["&amp;AC$8&amp;"]"),Data_main[Data],$A11, Data_main[Segment],$B11, Data_main[Scenario],$B$3))</f>
        <v>9.1440989703282565</v>
      </c>
      <c r="AD11" s="390">
        <f ca="1">IF($B$6="ON", IF(AD10&gt;=covid_start, IF(AD10&lt;covid_recovery,NA(),SUMIFS(INDIRECT("Data_main"&amp;"["&amp;AD$8&amp;"]"),Data_main[Data],$A11, Data_main[Segment],$B11, Data_main[Scenario],$B$3)),SUMIFS(INDIRECT("Data_main"&amp;"["&amp;AD$8&amp;"]"),Data_main[Data],$A11, Data_main[Segment],$B11, Data_main[Scenario],$B$3)),SUMIFS(INDIRECT("Data_main"&amp;"["&amp;AD$8&amp;"]"),Data_main[Data],$A11, Data_main[Segment],$B11, Data_main[Scenario],$B$3))</f>
        <v>8.4322925164713443</v>
      </c>
      <c r="AE11" s="390">
        <f ca="1">IF($B$6="ON", IF(AE10&gt;=covid_start, IF(AE10&lt;covid_recovery,NA(),SUMIFS(INDIRECT("Data_main"&amp;"["&amp;AE$8&amp;"]"),Data_main[Data],$A11, Data_main[Segment],$B11, Data_main[Scenario],$B$3)),SUMIFS(INDIRECT("Data_main"&amp;"["&amp;AE$8&amp;"]"),Data_main[Data],$A11, Data_main[Segment],$B11, Data_main[Scenario],$B$3)),SUMIFS(INDIRECT("Data_main"&amp;"["&amp;AE$8&amp;"]"),Data_main[Data],$A11, Data_main[Segment],$B11, Data_main[Scenario],$B$3))</f>
        <v>7.7826127572211048</v>
      </c>
      <c r="AF11" s="390">
        <f ca="1">IF($B$6="ON", IF(AF10&gt;=covid_start, IF(AF10&lt;covid_recovery,NA(),SUMIFS(INDIRECT("Data_main"&amp;"["&amp;AF$8&amp;"]"),Data_main[Data],$A11, Data_main[Segment],$B11, Data_main[Scenario],$B$3)),SUMIFS(INDIRECT("Data_main"&amp;"["&amp;AF$8&amp;"]"),Data_main[Data],$A11, Data_main[Segment],$B11, Data_main[Scenario],$B$3)),SUMIFS(INDIRECT("Data_main"&amp;"["&amp;AF$8&amp;"]"),Data_main[Data],$A11, Data_main[Segment],$B11, Data_main[Scenario],$B$3))</f>
        <v>7.085645998281505</v>
      </c>
      <c r="AG11" s="390">
        <f ca="1">IF($B$6="ON", IF(AG10&gt;=covid_start, IF(AG10&lt;covid_recovery,NA(),SUMIFS(INDIRECT("Data_main"&amp;"["&amp;AG$8&amp;"]"),Data_main[Data],$A11, Data_main[Segment],$B11, Data_main[Scenario],$B$3)),SUMIFS(INDIRECT("Data_main"&amp;"["&amp;AG$8&amp;"]"),Data_main[Data],$A11, Data_main[Segment],$B11, Data_main[Scenario],$B$3)),SUMIFS(INDIRECT("Data_main"&amp;"["&amp;AG$8&amp;"]"),Data_main[Data],$A11, Data_main[Segment],$B11, Data_main[Scenario],$B$3))</f>
        <v>6.3404240267576801</v>
      </c>
      <c r="AH11" s="390">
        <f ca="1">IF($B$6="ON", IF(AH10&gt;=covid_start, IF(AH10&lt;covid_recovery,NA(),SUMIFS(INDIRECT("Data_main"&amp;"["&amp;AH$8&amp;"]"),Data_main[Data],$A11, Data_main[Segment],$B11, Data_main[Scenario],$B$3)),SUMIFS(INDIRECT("Data_main"&amp;"["&amp;AH$8&amp;"]"),Data_main[Data],$A11, Data_main[Segment],$B11, Data_main[Scenario],$B$3)),SUMIFS(INDIRECT("Data_main"&amp;"["&amp;AH$8&amp;"]"),Data_main[Data],$A11, Data_main[Segment],$B11, Data_main[Scenario],$B$3))</f>
        <v>5.5452589576187039</v>
      </c>
      <c r="AI11" s="390">
        <f ca="1">IF($B$6="ON", IF(AI10&gt;=covid_start, IF(AI10&lt;covid_recovery,NA(),SUMIFS(INDIRECT("Data_main"&amp;"["&amp;AI$8&amp;"]"),Data_main[Data],$A11, Data_main[Segment],$B11, Data_main[Scenario],$B$3)),SUMIFS(INDIRECT("Data_main"&amp;"["&amp;AI$8&amp;"]"),Data_main[Data],$A11, Data_main[Segment],$B11, Data_main[Scenario],$B$3)),SUMIFS(INDIRECT("Data_main"&amp;"["&amp;AI$8&amp;"]"),Data_main[Data],$A11, Data_main[Segment],$B11, Data_main[Scenario],$B$3))</f>
        <v>4.6976964292342727</v>
      </c>
      <c r="AJ11" s="390">
        <f ca="1">IF($B$6="ON", IF(AJ10&gt;=covid_start, IF(AJ10&lt;covid_recovery,NA(),SUMIFS(INDIRECT("Data_main"&amp;"["&amp;AJ$8&amp;"]"),Data_main[Data],$A11, Data_main[Segment],$B11, Data_main[Scenario],$B$3)),SUMIFS(INDIRECT("Data_main"&amp;"["&amp;AJ$8&amp;"]"),Data_main[Data],$A11, Data_main[Segment],$B11, Data_main[Scenario],$B$3)),SUMIFS(INDIRECT("Data_main"&amp;"["&amp;AJ$8&amp;"]"),Data_main[Data],$A11, Data_main[Segment],$B11, Data_main[Scenario],$B$3))</f>
        <v>3.785030846850912</v>
      </c>
      <c r="AK11" s="390">
        <f ca="1">IF($B$6="ON", IF(AK10&gt;=covid_start, IF(AK10&lt;covid_recovery,NA(),SUMIFS(INDIRECT("Data_main"&amp;"["&amp;AK$8&amp;"]"),Data_main[Data],$A11, Data_main[Segment],$B11, Data_main[Scenario],$B$3)),SUMIFS(INDIRECT("Data_main"&amp;"["&amp;AK$8&amp;"]"),Data_main[Data],$A11, Data_main[Segment],$B11, Data_main[Scenario],$B$3)),SUMIFS(INDIRECT("Data_main"&amp;"["&amp;AK$8&amp;"]"),Data_main[Data],$A11, Data_main[Segment],$B11, Data_main[Scenario],$B$3))</f>
        <v>2.8116288800619205</v>
      </c>
      <c r="AL11" s="390">
        <f ca="1">IF($B$6="ON", IF(AL10&gt;=covid_start, IF(AL10&lt;covid_recovery,NA(),SUMIFS(INDIRECT("Data_main"&amp;"["&amp;AL$8&amp;"]"),Data_main[Data],$A11, Data_main[Segment],$B11, Data_main[Scenario],$B$3)),SUMIFS(INDIRECT("Data_main"&amp;"["&amp;AL$8&amp;"]"),Data_main[Data],$A11, Data_main[Segment],$B11, Data_main[Scenario],$B$3)),SUMIFS(INDIRECT("Data_main"&amp;"["&amp;AL$8&amp;"]"),Data_main[Data],$A11, Data_main[Segment],$B11, Data_main[Scenario],$B$3))</f>
        <v>1.7739786470958561</v>
      </c>
      <c r="AM11" s="390">
        <f ca="1">IF($B$6="ON", IF(AM10&gt;=covid_start, IF(AM10&lt;covid_recovery,NA(),SUMIFS(INDIRECT("Data_main"&amp;"["&amp;AM$8&amp;"]"),Data_main[Data],$A11, Data_main[Segment],$B11, Data_main[Scenario],$B$3)),SUMIFS(INDIRECT("Data_main"&amp;"["&amp;AM$8&amp;"]"),Data_main[Data],$A11, Data_main[Segment],$B11, Data_main[Scenario],$B$3)),SUMIFS(INDIRECT("Data_main"&amp;"["&amp;AM$8&amp;"]"),Data_main[Data],$A11, Data_main[Segment],$B11, Data_main[Scenario],$B$3))</f>
        <v>1.5272668596170655</v>
      </c>
      <c r="AN11" s="390">
        <f ca="1">IF($B$6="ON", IF(AN10&gt;=covid_start, IF(AN10&lt;covid_recovery,NA(),SUMIFS(INDIRECT("Data_main"&amp;"["&amp;AN$8&amp;"]"),Data_main[Data],$A11, Data_main[Segment],$B11, Data_main[Scenario],$B$3)),SUMIFS(INDIRECT("Data_main"&amp;"["&amp;AN$8&amp;"]"),Data_main[Data],$A11, Data_main[Segment],$B11, Data_main[Scenario],$B$3)),SUMIFS(INDIRECT("Data_main"&amp;"["&amp;AN$8&amp;"]"),Data_main[Data],$A11, Data_main[Segment],$B11, Data_main[Scenario],$B$3))</f>
        <v>1.5413435346987825</v>
      </c>
      <c r="AO11" s="390">
        <f ca="1">IF($B$6="ON", IF(AO10&gt;=covid_start, IF(AO10&lt;covid_recovery,NA(),SUMIFS(INDIRECT("Data_main"&amp;"["&amp;AO$8&amp;"]"),Data_main[Data],$A11, Data_main[Segment],$B11, Data_main[Scenario],$B$3)),SUMIFS(INDIRECT("Data_main"&amp;"["&amp;AO$8&amp;"]"),Data_main[Data],$A11, Data_main[Segment],$B11, Data_main[Scenario],$B$3)),SUMIFS(INDIRECT("Data_main"&amp;"["&amp;AO$8&amp;"]"),Data_main[Data],$A11, Data_main[Segment],$B11, Data_main[Scenario],$B$3))</f>
        <v>0</v>
      </c>
      <c r="AP11" s="390">
        <f ca="1">IF($B$6="ON", IF(AP10&gt;=covid_start, IF(AP10&lt;covid_recovery,NA(),SUMIFS(INDIRECT("Data_main"&amp;"["&amp;AP$8&amp;"]"),Data_main[Data],$A11, Data_main[Segment],$B11, Data_main[Scenario],$B$3)),SUMIFS(INDIRECT("Data_main"&amp;"["&amp;AP$8&amp;"]"),Data_main[Data],$A11, Data_main[Segment],$B11, Data_main[Scenario],$B$3)),SUMIFS(INDIRECT("Data_main"&amp;"["&amp;AP$8&amp;"]"),Data_main[Data],$A11, Data_main[Segment],$B11, Data_main[Scenario],$B$3))</f>
        <v>0</v>
      </c>
      <c r="AQ11" s="390">
        <f ca="1">IF($B$6="ON", IF(AQ10&gt;=covid_start, IF(AQ10&lt;covid_recovery,NA(),SUMIFS(INDIRECT("Data_main"&amp;"["&amp;AQ$8&amp;"]"),Data_main[Data],$A11, Data_main[Segment],$B11, Data_main[Scenario],$B$3)),SUMIFS(INDIRECT("Data_main"&amp;"["&amp;AQ$8&amp;"]"),Data_main[Data],$A11, Data_main[Segment],$B11, Data_main[Scenario],$B$3)),SUMIFS(INDIRECT("Data_main"&amp;"["&amp;AQ$8&amp;"]"),Data_main[Data],$A11, Data_main[Segment],$B11, Data_main[Scenario],$B$3))</f>
        <v>0</v>
      </c>
      <c r="AR11" s="390">
        <f ca="1">IF($B$6="ON", IF(AR10&gt;=covid_start, IF(AR10&lt;covid_recovery,NA(),SUMIFS(INDIRECT("Data_main"&amp;"["&amp;AR$8&amp;"]"),Data_main[Data],$A11, Data_main[Segment],$B11, Data_main[Scenario],$B$3)),SUMIFS(INDIRECT("Data_main"&amp;"["&amp;AR$8&amp;"]"),Data_main[Data],$A11, Data_main[Segment],$B11, Data_main[Scenario],$B$3)),SUMIFS(INDIRECT("Data_main"&amp;"["&amp;AR$8&amp;"]"),Data_main[Data],$A11, Data_main[Segment],$B11, Data_main[Scenario],$B$3))</f>
        <v>0</v>
      </c>
      <c r="AS11" s="390">
        <f ca="1">IF($B$6="ON", IF(AS10&gt;=covid_start, IF(AS10&lt;covid_recovery,NA(),SUMIFS(INDIRECT("Data_main"&amp;"["&amp;AS$8&amp;"]"),Data_main[Data],$A11, Data_main[Segment],$B11, Data_main[Scenario],$B$3)),SUMIFS(INDIRECT("Data_main"&amp;"["&amp;AS$8&amp;"]"),Data_main[Data],$A11, Data_main[Segment],$B11, Data_main[Scenario],$B$3)),SUMIFS(INDIRECT("Data_main"&amp;"["&amp;AS$8&amp;"]"),Data_main[Data],$A11, Data_main[Segment],$B11, Data_main[Scenario],$B$3))</f>
        <v>0</v>
      </c>
      <c r="AT11" s="390">
        <f ca="1">IF($B$6="ON", IF(AT10&gt;=covid_start, IF(AT10&lt;covid_recovery,NA(),SUMIFS(INDIRECT("Data_main"&amp;"["&amp;AT$8&amp;"]"),Data_main[Data],$A11, Data_main[Segment],$B11, Data_main[Scenario],$B$3)),SUMIFS(INDIRECT("Data_main"&amp;"["&amp;AT$8&amp;"]"),Data_main[Data],$A11, Data_main[Segment],$B11, Data_main[Scenario],$B$3)),SUMIFS(INDIRECT("Data_main"&amp;"["&amp;AT$8&amp;"]"),Data_main[Data],$A11, Data_main[Segment],$B11, Data_main[Scenario],$B$3))</f>
        <v>0</v>
      </c>
      <c r="AU11" s="390">
        <f ca="1">IF($B$6="ON", IF(AU10&gt;=covid_start, IF(AU10&lt;covid_recovery,NA(),SUMIFS(INDIRECT("Data_main"&amp;"["&amp;AU$8&amp;"]"),Data_main[Data],$A11, Data_main[Segment],$B11, Data_main[Scenario],$B$3)),SUMIFS(INDIRECT("Data_main"&amp;"["&amp;AU$8&amp;"]"),Data_main[Data],$A11, Data_main[Segment],$B11, Data_main[Scenario],$B$3)),SUMIFS(INDIRECT("Data_main"&amp;"["&amp;AU$8&amp;"]"),Data_main[Data],$A11, Data_main[Segment],$B11, Data_main[Scenario],$B$3))</f>
        <v>0</v>
      </c>
      <c r="AV11" s="390">
        <f ca="1">IF($B$6="ON", IF(AV10&gt;=covid_start, IF(AV10&lt;covid_recovery,NA(),SUMIFS(INDIRECT("Data_main"&amp;"["&amp;AV$8&amp;"]"),Data_main[Data],$A11, Data_main[Segment],$B11, Data_main[Scenario],$B$3)),SUMIFS(INDIRECT("Data_main"&amp;"["&amp;AV$8&amp;"]"),Data_main[Data],$A11, Data_main[Segment],$B11, Data_main[Scenario],$B$3)),SUMIFS(INDIRECT("Data_main"&amp;"["&amp;AV$8&amp;"]"),Data_main[Data],$A11, Data_main[Segment],$B11, Data_main[Scenario],$B$3))</f>
        <v>0</v>
      </c>
      <c r="AW11" s="390">
        <f ca="1">IF($B$6="ON", IF(AW10&gt;=covid_start, IF(AW10&lt;covid_recovery,NA(),SUMIFS(INDIRECT("Data_main"&amp;"["&amp;AW$8&amp;"]"),Data_main[Data],$A11, Data_main[Segment],$B11, Data_main[Scenario],$B$3)),SUMIFS(INDIRECT("Data_main"&amp;"["&amp;AW$8&amp;"]"),Data_main[Data],$A11, Data_main[Segment],$B11, Data_main[Scenario],$B$3)),SUMIFS(INDIRECT("Data_main"&amp;"["&amp;AW$8&amp;"]"),Data_main[Data],$A11, Data_main[Segment],$B11, Data_main[Scenario],$B$3))</f>
        <v>0</v>
      </c>
      <c r="AX11" s="390">
        <f ca="1">IF($B$6="ON", IF(AX10&gt;=covid_start, IF(AX10&lt;covid_recovery,NA(),SUMIFS(INDIRECT("Data_main"&amp;"["&amp;AX$8&amp;"]"),Data_main[Data],$A11, Data_main[Segment],$B11, Data_main[Scenario],$B$3)),SUMIFS(INDIRECT("Data_main"&amp;"["&amp;AX$8&amp;"]"),Data_main[Data],$A11, Data_main[Segment],$B11, Data_main[Scenario],$B$3)),SUMIFS(INDIRECT("Data_main"&amp;"["&amp;AX$8&amp;"]"),Data_main[Data],$A11, Data_main[Segment],$B11, Data_main[Scenario],$B$3))</f>
        <v>0</v>
      </c>
      <c r="AY11" s="390">
        <f ca="1">IF($B$6="ON", IF(AY10&gt;=covid_start, IF(AY10&lt;covid_recovery,NA(),SUMIFS(INDIRECT("Data_main"&amp;"["&amp;AY$8&amp;"]"),Data_main[Data],$A11, Data_main[Segment],$B11, Data_main[Scenario],$B$3)),SUMIFS(INDIRECT("Data_main"&amp;"["&amp;AY$8&amp;"]"),Data_main[Data],$A11, Data_main[Segment],$B11, Data_main[Scenario],$B$3)),SUMIFS(INDIRECT("Data_main"&amp;"["&amp;AY$8&amp;"]"),Data_main[Data],$A11, Data_main[Segment],$B11, Data_main[Scenario],$B$3))</f>
        <v>0</v>
      </c>
      <c r="AZ11" s="390">
        <f ca="1">IF($B$6="ON", IF(AZ10&gt;=covid_start, IF(AZ10&lt;covid_recovery,NA(),SUMIFS(INDIRECT("Data_main"&amp;"["&amp;AZ$8&amp;"]"),Data_main[Data],$A11, Data_main[Segment],$B11, Data_main[Scenario],$B$3)),SUMIFS(INDIRECT("Data_main"&amp;"["&amp;AZ$8&amp;"]"),Data_main[Data],$A11, Data_main[Segment],$B11, Data_main[Scenario],$B$3)),SUMIFS(INDIRECT("Data_main"&amp;"["&amp;AZ$8&amp;"]"),Data_main[Data],$A11, Data_main[Segment],$B11, Data_main[Scenario],$B$3))</f>
        <v>0</v>
      </c>
      <c r="BA11" s="390">
        <f ca="1">IF($B$6="ON", IF(BA10&gt;=covid_start, IF(BA10&lt;covid_recovery,NA(),SUMIFS(INDIRECT("Data_main"&amp;"["&amp;BA$8&amp;"]"),Data_main[Data],$A11, Data_main[Segment],$B11, Data_main[Scenario],$B$3)),SUMIFS(INDIRECT("Data_main"&amp;"["&amp;BA$8&amp;"]"),Data_main[Data],$A11, Data_main[Segment],$B11, Data_main[Scenario],$B$3)),SUMIFS(INDIRECT("Data_main"&amp;"["&amp;BA$8&amp;"]"),Data_main[Data],$A11, Data_main[Segment],$B11, Data_main[Scenario],$B$3))</f>
        <v>0</v>
      </c>
      <c r="BB11" s="390">
        <f ca="1">IF($B$6="ON", IF(BB10&gt;=covid_start, IF(BB10&lt;covid_recovery,NA(),SUMIFS(INDIRECT("Data_main"&amp;"["&amp;BB$8&amp;"]"),Data_main[Data],$A11, Data_main[Segment],$B11, Data_main[Scenario],$B$3)),SUMIFS(INDIRECT("Data_main"&amp;"["&amp;BB$8&amp;"]"),Data_main[Data],$A11, Data_main[Segment],$B11, Data_main[Scenario],$B$3)),SUMIFS(INDIRECT("Data_main"&amp;"["&amp;BB$8&amp;"]"),Data_main[Data],$A11, Data_main[Segment],$B11, Data_main[Scenario],$B$3))</f>
        <v>0</v>
      </c>
      <c r="BC11" s="390">
        <f ca="1">IF($B$6="ON", IF(BC10&gt;=covid_start, IF(BC10&lt;covid_recovery,NA(),SUMIFS(INDIRECT("Data_main"&amp;"["&amp;BC$8&amp;"]"),Data_main[Data],$A11, Data_main[Segment],$B11, Data_main[Scenario],$B$3)),SUMIFS(INDIRECT("Data_main"&amp;"["&amp;BC$8&amp;"]"),Data_main[Data],$A11, Data_main[Segment],$B11, Data_main[Scenario],$B$3)),SUMIFS(INDIRECT("Data_main"&amp;"["&amp;BC$8&amp;"]"),Data_main[Data],$A11, Data_main[Segment],$B11, Data_main[Scenario],$B$3))</f>
        <v>0</v>
      </c>
      <c r="BD11" s="390">
        <f ca="1">IF($B$6="ON", IF(BD10&gt;=covid_start, IF(BD10&lt;covid_recovery,NA(),SUMIFS(INDIRECT("Data_main"&amp;"["&amp;BD$8&amp;"]"),Data_main[Data],$A11, Data_main[Segment],$B11, Data_main[Scenario],$B$3)),SUMIFS(INDIRECT("Data_main"&amp;"["&amp;BD$8&amp;"]"),Data_main[Data],$A11, Data_main[Segment],$B11, Data_main[Scenario],$B$3)),SUMIFS(INDIRECT("Data_main"&amp;"["&amp;BD$8&amp;"]"),Data_main[Data],$A11, Data_main[Segment],$B11, Data_main[Scenario],$B$3))</f>
        <v>0</v>
      </c>
      <c r="BE11" s="390">
        <f ca="1">IF($B$6="ON", IF(BE10&gt;=covid_start, IF(BE10&lt;covid_recovery,NA(),SUMIFS(INDIRECT("Data_main"&amp;"["&amp;BE$8&amp;"]"),Data_main[Data],$A11, Data_main[Segment],$B11, Data_main[Scenario],$B$3)),SUMIFS(INDIRECT("Data_main"&amp;"["&amp;BE$8&amp;"]"),Data_main[Data],$A11, Data_main[Segment],$B11, Data_main[Scenario],$B$3)),SUMIFS(INDIRECT("Data_main"&amp;"["&amp;BE$8&amp;"]"),Data_main[Data],$A11, Data_main[Segment],$B11, Data_main[Scenario],$B$3))</f>
        <v>0</v>
      </c>
      <c r="BF11" s="390">
        <f ca="1">IF($B$6="ON", IF(BF10&gt;=covid_start, IF(BF10&lt;covid_recovery,NA(),SUMIFS(INDIRECT("Data_main"&amp;"["&amp;BF$8&amp;"]"),Data_main[Data],$A11, Data_main[Segment],$B11, Data_main[Scenario],$B$3)),SUMIFS(INDIRECT("Data_main"&amp;"["&amp;BF$8&amp;"]"),Data_main[Data],$A11, Data_main[Segment],$B11, Data_main[Scenario],$B$3)),SUMIFS(INDIRECT("Data_main"&amp;"["&amp;BF$8&amp;"]"),Data_main[Data],$A11, Data_main[Segment],$B11, Data_main[Scenario],$B$3))</f>
        <v>0</v>
      </c>
      <c r="BG11" s="390">
        <f ca="1">IF($B$6="ON", IF(BG10&gt;=covid_start, IF(BG10&lt;covid_recovery,NA(),SUMIFS(INDIRECT("Data_main"&amp;"["&amp;BG$8&amp;"]"),Data_main[Data],$A11, Data_main[Segment],$B11, Data_main[Scenario],$B$3)),SUMIFS(INDIRECT("Data_main"&amp;"["&amp;BG$8&amp;"]"),Data_main[Data],$A11, Data_main[Segment],$B11, Data_main[Scenario],$B$3)),SUMIFS(INDIRECT("Data_main"&amp;"["&amp;BG$8&amp;"]"),Data_main[Data],$A11, Data_main[Segment],$B11, Data_main[Scenario],$B$3))</f>
        <v>0</v>
      </c>
      <c r="BH11" s="390">
        <f ca="1">IF($B$6="ON", IF(BH10&gt;=covid_start, IF(BH10&lt;covid_recovery,NA(),SUMIFS(INDIRECT("Data_main"&amp;"["&amp;BH$8&amp;"]"),Data_main[Data],$A11, Data_main[Segment],$B11, Data_main[Scenario],$B$3)),SUMIFS(INDIRECT("Data_main"&amp;"["&amp;BH$8&amp;"]"),Data_main[Data],$A11, Data_main[Segment],$B11, Data_main[Scenario],$B$3)),SUMIFS(INDIRECT("Data_main"&amp;"["&amp;BH$8&amp;"]"),Data_main[Data],$A11, Data_main[Segment],$B11, Data_main[Scenario],$B$3))</f>
        <v>0</v>
      </c>
      <c r="BI11" s="390">
        <f ca="1">IF($B$6="ON", IF(BI10&gt;=covid_start, IF(BI10&lt;covid_recovery,NA(),SUMIFS(INDIRECT("Data_main"&amp;"["&amp;BI$8&amp;"]"),Data_main[Data],$A11, Data_main[Segment],$B11, Data_main[Scenario],$B$3)),SUMIFS(INDIRECT("Data_main"&amp;"["&amp;BI$8&amp;"]"),Data_main[Data],$A11, Data_main[Segment],$B11, Data_main[Scenario],$B$3)),SUMIFS(INDIRECT("Data_main"&amp;"["&amp;BI$8&amp;"]"),Data_main[Data],$A11, Data_main[Segment],$B11, Data_main[Scenario],$B$3))</f>
        <v>0</v>
      </c>
      <c r="BJ11" s="390">
        <f ca="1">IF($B$6="ON", IF(BJ10&gt;=covid_start, IF(BJ10&lt;covid_recovery,NA(),SUMIFS(INDIRECT("Data_main"&amp;"["&amp;BJ$8&amp;"]"),Data_main[Data],$A11, Data_main[Segment],$B11, Data_main[Scenario],$B$3)),SUMIFS(INDIRECT("Data_main"&amp;"["&amp;BJ$8&amp;"]"),Data_main[Data],$A11, Data_main[Segment],$B11, Data_main[Scenario],$B$3)),SUMIFS(INDIRECT("Data_main"&amp;"["&amp;BJ$8&amp;"]"),Data_main[Data],$A11, Data_main[Segment],$B11, Data_main[Scenario],$B$3))</f>
        <v>0</v>
      </c>
      <c r="BK11" s="390">
        <f ca="1">IF($B$6="ON", IF(BK10&gt;=covid_start, IF(BK10&lt;covid_recovery,NA(),SUMIFS(INDIRECT("Data_main"&amp;"["&amp;BK$8&amp;"]"),Data_main[Data],$A11, Data_main[Segment],$B11, Data_main[Scenario],$B$3)),SUMIFS(INDIRECT("Data_main"&amp;"["&amp;BK$8&amp;"]"),Data_main[Data],$A11, Data_main[Segment],$B11, Data_main[Scenario],$B$3)),SUMIFS(INDIRECT("Data_main"&amp;"["&amp;BK$8&amp;"]"),Data_main[Data],$A11, Data_main[Segment],$B11, Data_main[Scenario],$B$3))</f>
        <v>0</v>
      </c>
      <c r="BL11" s="390">
        <f ca="1">IF($B$6="ON", IF(BL10&gt;=covid_start, IF(BL10&lt;covid_recovery,NA(),SUMIFS(INDIRECT("Data_main"&amp;"["&amp;BL$8&amp;"]"),Data_main[Data],$A11, Data_main[Segment],$B11, Data_main[Scenario],$B$3)),SUMIFS(INDIRECT("Data_main"&amp;"["&amp;BL$8&amp;"]"),Data_main[Data],$A11, Data_main[Segment],$B11, Data_main[Scenario],$B$3)),SUMIFS(INDIRECT("Data_main"&amp;"["&amp;BL$8&amp;"]"),Data_main[Data],$A11, Data_main[Segment],$B11, Data_main[Scenario],$B$3))</f>
        <v>0</v>
      </c>
      <c r="BM11" s="390">
        <f ca="1">IF($B$6="ON", IF(BM10&gt;=covid_start, IF(BM10&lt;covid_recovery,NA(),SUMIFS(INDIRECT("Data_main"&amp;"["&amp;BM$8&amp;"]"),Data_main[Data],$A11, Data_main[Segment],$B11, Data_main[Scenario],$B$3)),SUMIFS(INDIRECT("Data_main"&amp;"["&amp;BM$8&amp;"]"),Data_main[Data],$A11, Data_main[Segment],$B11, Data_main[Scenario],$B$3)),SUMIFS(INDIRECT("Data_main"&amp;"["&amp;BM$8&amp;"]"),Data_main[Data],$A11, Data_main[Segment],$B11, Data_main[Scenario],$B$3))</f>
        <v>0</v>
      </c>
      <c r="BN11" s="390">
        <f ca="1">IF($B$6="ON", IF(BN10&gt;=covid_start, IF(BN10&lt;covid_recovery,NA(),SUMIFS(INDIRECT("Data_main"&amp;"["&amp;BN$8&amp;"]"),Data_main[Data],$A11, Data_main[Segment],$B11, Data_main[Scenario],$B$3)),SUMIFS(INDIRECT("Data_main"&amp;"["&amp;BN$8&amp;"]"),Data_main[Data],$A11, Data_main[Segment],$B11, Data_main[Scenario],$B$3)),SUMIFS(INDIRECT("Data_main"&amp;"["&amp;BN$8&amp;"]"),Data_main[Data],$A11, Data_main[Segment],$B11, Data_main[Scenario],$B$3))</f>
        <v>0</v>
      </c>
      <c r="BO11" s="390">
        <f ca="1">IF($B$6="ON", IF(BO10&gt;=covid_start, IF(BO10&lt;covid_recovery,NA(),SUMIFS(INDIRECT("Data_main"&amp;"["&amp;BO$8&amp;"]"),Data_main[Data],$A11, Data_main[Segment],$B11, Data_main[Scenario],$B$3)),SUMIFS(INDIRECT("Data_main"&amp;"["&amp;BO$8&amp;"]"),Data_main[Data],$A11, Data_main[Segment],$B11, Data_main[Scenario],$B$3)),SUMIFS(INDIRECT("Data_main"&amp;"["&amp;BO$8&amp;"]"),Data_main[Data],$A11, Data_main[Segment],$B11, Data_main[Scenario],$B$3))</f>
        <v>0</v>
      </c>
      <c r="BP11" s="390">
        <f ca="1">IF($B$6="ON", IF(BP10&gt;=covid_start, IF(BP10&lt;covid_recovery,NA(),SUMIFS(INDIRECT("Data_main"&amp;"["&amp;BP$8&amp;"]"),Data_main[Data],$A11, Data_main[Segment],$B11, Data_main[Scenario],$B$3)),SUMIFS(INDIRECT("Data_main"&amp;"["&amp;BP$8&amp;"]"),Data_main[Data],$A11, Data_main[Segment],$B11, Data_main[Scenario],$B$3)),SUMIFS(INDIRECT("Data_main"&amp;"["&amp;BP$8&amp;"]"),Data_main[Data],$A11, Data_main[Segment],$B11, Data_main[Scenario],$B$3))</f>
        <v>0</v>
      </c>
      <c r="BQ11" s="390">
        <f ca="1">IF($B$6="ON", IF(BQ10&gt;=covid_start, IF(BQ10&lt;covid_recovery,NA(),SUMIFS(INDIRECT("Data_main"&amp;"["&amp;BQ$8&amp;"]"),Data_main[Data],$A11, Data_main[Segment],$B11, Data_main[Scenario],$B$3)),SUMIFS(INDIRECT("Data_main"&amp;"["&amp;BQ$8&amp;"]"),Data_main[Data],$A11, Data_main[Segment],$B11, Data_main[Scenario],$B$3)),SUMIFS(INDIRECT("Data_main"&amp;"["&amp;BQ$8&amp;"]"),Data_main[Data],$A11, Data_main[Segment],$B11, Data_main[Scenario],$B$3))</f>
        <v>0</v>
      </c>
      <c r="BR11" s="390">
        <f ca="1">IF($B$6="ON", IF(BR10&gt;=covid_start, IF(BR10&lt;covid_recovery,NA(),SUMIFS(INDIRECT("Data_main"&amp;"["&amp;BR$8&amp;"]"),Data_main[Data],$A11, Data_main[Segment],$B11, Data_main[Scenario],$B$3)),SUMIFS(INDIRECT("Data_main"&amp;"["&amp;BR$8&amp;"]"),Data_main[Data],$A11, Data_main[Segment],$B11, Data_main[Scenario],$B$3)),SUMIFS(INDIRECT("Data_main"&amp;"["&amp;BR$8&amp;"]"),Data_main[Data],$A11, Data_main[Segment],$B11, Data_main[Scenario],$B$3))</f>
        <v>0</v>
      </c>
      <c r="BS11" s="390">
        <f ca="1">IF($B$6="ON", IF(BS10&gt;=covid_start, IF(BS10&lt;covid_recovery,NA(),SUMIFS(INDIRECT("Data_main"&amp;"["&amp;BS$8&amp;"]"),Data_main[Data],$A11, Data_main[Segment],$B11, Data_main[Scenario],$B$3)),SUMIFS(INDIRECT("Data_main"&amp;"["&amp;BS$8&amp;"]"),Data_main[Data],$A11, Data_main[Segment],$B11, Data_main[Scenario],$B$3)),SUMIFS(INDIRECT("Data_main"&amp;"["&amp;BS$8&amp;"]"),Data_main[Data],$A11, Data_main[Segment],$B11, Data_main[Scenario],$B$3))</f>
        <v>0</v>
      </c>
      <c r="BT11" s="390">
        <f ca="1">IF($B$6="ON", IF(BT10&gt;=covid_start, IF(BT10&lt;covid_recovery,NA(),SUMIFS(INDIRECT("Data_main"&amp;"["&amp;BT$8&amp;"]"),Data_main[Data],$A11, Data_main[Segment],$B11, Data_main[Scenario],$B$3)),SUMIFS(INDIRECT("Data_main"&amp;"["&amp;BT$8&amp;"]"),Data_main[Data],$A11, Data_main[Segment],$B11, Data_main[Scenario],$B$3)),SUMIFS(INDIRECT("Data_main"&amp;"["&amp;BT$8&amp;"]"),Data_main[Data],$A11, Data_main[Segment],$B11, Data_main[Scenario],$B$3))</f>
        <v>0</v>
      </c>
      <c r="BU11" s="390">
        <f ca="1">IF($B$6="ON", IF(BU10&gt;=covid_start, IF(BU10&lt;covid_recovery,NA(),SUMIFS(INDIRECT("Data_main"&amp;"["&amp;BU$8&amp;"]"),Data_main[Data],$A11, Data_main[Segment],$B11, Data_main[Scenario],$B$3)),SUMIFS(INDIRECT("Data_main"&amp;"["&amp;BU$8&amp;"]"),Data_main[Data],$A11, Data_main[Segment],$B11, Data_main[Scenario],$B$3)),SUMIFS(INDIRECT("Data_main"&amp;"["&amp;BU$8&amp;"]"),Data_main[Data],$A11, Data_main[Segment],$B11, Data_main[Scenario],$B$3))</f>
        <v>0</v>
      </c>
      <c r="BV11" s="390">
        <f ca="1">IF($B$6="ON", IF(BV10&gt;=covid_start, IF(BV10&lt;covid_recovery,NA(),SUMIFS(INDIRECT("Data_main"&amp;"["&amp;BV$8&amp;"]"),Data_main[Data],$A11, Data_main[Segment],$B11, Data_main[Scenario],$B$3)),SUMIFS(INDIRECT("Data_main"&amp;"["&amp;BV$8&amp;"]"),Data_main[Data],$A11, Data_main[Segment],$B11, Data_main[Scenario],$B$3)),SUMIFS(INDIRECT("Data_main"&amp;"["&amp;BV$8&amp;"]"),Data_main[Data],$A11, Data_main[Segment],$B11, Data_main[Scenario],$B$3))</f>
        <v>0</v>
      </c>
      <c r="BW11" s="390">
        <f ca="1">IF($B$6="ON", IF(BW10&gt;=covid_start, IF(BW10&lt;covid_recovery,NA(),SUMIFS(INDIRECT("Data_main"&amp;"["&amp;BW$8&amp;"]"),Data_main[Data],$A11, Data_main[Segment],$B11, Data_main[Scenario],$B$3)),SUMIFS(INDIRECT("Data_main"&amp;"["&amp;BW$8&amp;"]"),Data_main[Data],$A11, Data_main[Segment],$B11, Data_main[Scenario],$B$3)),SUMIFS(INDIRECT("Data_main"&amp;"["&amp;BW$8&amp;"]"),Data_main[Data],$A11, Data_main[Segment],$B11, Data_main[Scenario],$B$3))</f>
        <v>0</v>
      </c>
      <c r="BX11" s="390">
        <f ca="1">IF($B$6="ON", IF(BX10&gt;=covid_start, IF(BX10&lt;covid_recovery,NA(),SUMIFS(INDIRECT("Data_main"&amp;"["&amp;BX$8&amp;"]"),Data_main[Data],$A11, Data_main[Segment],$B11, Data_main[Scenario],$B$3)),SUMIFS(INDIRECT("Data_main"&amp;"["&amp;BX$8&amp;"]"),Data_main[Data],$A11, Data_main[Segment],$B11, Data_main[Scenario],$B$3)),SUMIFS(INDIRECT("Data_main"&amp;"["&amp;BX$8&amp;"]"),Data_main[Data],$A11, Data_main[Segment],$B11, Data_main[Scenario],$B$3))</f>
        <v>0</v>
      </c>
      <c r="BY11" s="390">
        <f ca="1">IF($B$6="ON", IF(BY10&gt;=covid_start, IF(BY10&lt;covid_recovery,NA(),SUMIFS(INDIRECT("Data_main"&amp;"["&amp;BY$8&amp;"]"),Data_main[Data],$A11, Data_main[Segment],$B11, Data_main[Scenario],$B$3)),SUMIFS(INDIRECT("Data_main"&amp;"["&amp;BY$8&amp;"]"),Data_main[Data],$A11, Data_main[Segment],$B11, Data_main[Scenario],$B$3)),SUMIFS(INDIRECT("Data_main"&amp;"["&amp;BY$8&amp;"]"),Data_main[Data],$A11, Data_main[Segment],$B11, Data_main[Scenario],$B$3))</f>
        <v>0</v>
      </c>
      <c r="BZ11" s="390">
        <f ca="1">IF($B$6="ON", IF(BZ10&gt;=covid_start, IF(BZ10&lt;covid_recovery,NA(),SUMIFS(INDIRECT("Data_main"&amp;"["&amp;BZ$8&amp;"]"),Data_main[Data],$A11, Data_main[Segment],$B11, Data_main[Scenario],$B$3)),SUMIFS(INDIRECT("Data_main"&amp;"["&amp;BZ$8&amp;"]"),Data_main[Data],$A11, Data_main[Segment],$B11, Data_main[Scenario],$B$3)),SUMIFS(INDIRECT("Data_main"&amp;"["&amp;BZ$8&amp;"]"),Data_main[Data],$A11, Data_main[Segment],$B11, Data_main[Scenario],$B$3))</f>
        <v>0</v>
      </c>
      <c r="CA11" s="390">
        <f ca="1">IF($B$6="ON", IF(CA10&gt;=covid_start, IF(CA10&lt;covid_recovery,NA(),SUMIFS(INDIRECT("Data_main"&amp;"["&amp;CA$8&amp;"]"),Data_main[Data],$A11, Data_main[Segment],$B11, Data_main[Scenario],$B$3)),SUMIFS(INDIRECT("Data_main"&amp;"["&amp;CA$8&amp;"]"),Data_main[Data],$A11, Data_main[Segment],$B11, Data_main[Scenario],$B$3)),SUMIFS(INDIRECT("Data_main"&amp;"["&amp;CA$8&amp;"]"),Data_main[Data],$A11, Data_main[Segment],$B11, Data_main[Scenario],$B$3))</f>
        <v>0</v>
      </c>
      <c r="CB11" s="390">
        <f ca="1">IF($B$6="ON", IF(CB10&gt;=covid_start, IF(CB10&lt;covid_recovery,NA(),SUMIFS(INDIRECT("Data_main"&amp;"["&amp;CB$8&amp;"]"),Data_main[Data],$A11, Data_main[Segment],$B11, Data_main[Scenario],$B$3)),SUMIFS(INDIRECT("Data_main"&amp;"["&amp;CB$8&amp;"]"),Data_main[Data],$A11, Data_main[Segment],$B11, Data_main[Scenario],$B$3)),SUMIFS(INDIRECT("Data_main"&amp;"["&amp;CB$8&amp;"]"),Data_main[Data],$A11, Data_main[Segment],$B11, Data_main[Scenario],$B$3))</f>
        <v>0</v>
      </c>
      <c r="CC11" s="390">
        <f ca="1">IF($B$6="ON", IF(CC10&gt;=covid_start, IF(CC10&lt;covid_recovery,NA(),SUMIFS(INDIRECT("Data_main"&amp;"["&amp;CC$8&amp;"]"),Data_main[Data],$A11, Data_main[Segment],$B11, Data_main[Scenario],$B$3)),SUMIFS(INDIRECT("Data_main"&amp;"["&amp;CC$8&amp;"]"),Data_main[Data],$A11, Data_main[Segment],$B11, Data_main[Scenario],$B$3)),SUMIFS(INDIRECT("Data_main"&amp;"["&amp;CC$8&amp;"]"),Data_main[Data],$A11, Data_main[Segment],$B11, Data_main[Scenario],$B$3))</f>
        <v>0</v>
      </c>
      <c r="CD11" s="390">
        <f ca="1">IF($B$6="ON", IF(CD10&gt;=covid_start, IF(CD10&lt;covid_recovery,NA(),SUMIFS(INDIRECT("Data_main"&amp;"["&amp;CD$8&amp;"]"),Data_main[Data],$A11, Data_main[Segment],$B11, Data_main[Scenario],$B$3)),SUMIFS(INDIRECT("Data_main"&amp;"["&amp;CD$8&amp;"]"),Data_main[Data],$A11, Data_main[Segment],$B11, Data_main[Scenario],$B$3)),SUMIFS(INDIRECT("Data_main"&amp;"["&amp;CD$8&amp;"]"),Data_main[Data],$A11, Data_main[Segment],$B11, Data_main[Scenario],$B$3))</f>
        <v>0</v>
      </c>
      <c r="CE11" s="390">
        <f ca="1">IF($B$6="ON", IF(CE10&gt;=covid_start, IF(CE10&lt;covid_recovery,NA(),SUMIFS(INDIRECT("Data_main"&amp;"["&amp;CE$8&amp;"]"),Data_main[Data],$A11, Data_main[Segment],$B11, Data_main[Scenario],$B$3)),SUMIFS(INDIRECT("Data_main"&amp;"["&amp;CE$8&amp;"]"),Data_main[Data],$A11, Data_main[Segment],$B11, Data_main[Scenario],$B$3)),SUMIFS(INDIRECT("Data_main"&amp;"["&amp;CE$8&amp;"]"),Data_main[Data],$A11, Data_main[Segment],$B11, Data_main[Scenario],$B$3))</f>
        <v>0</v>
      </c>
      <c r="CF11" s="390">
        <f ca="1">IF($B$6="ON", IF(CF10&gt;=covid_start, IF(CF10&lt;covid_recovery,NA(),SUMIFS(INDIRECT("Data_main"&amp;"["&amp;CF$8&amp;"]"),Data_main[Data],$A11, Data_main[Segment],$B11, Data_main[Scenario],$B$3)),SUMIFS(INDIRECT("Data_main"&amp;"["&amp;CF$8&amp;"]"),Data_main[Data],$A11, Data_main[Segment],$B11, Data_main[Scenario],$B$3)),SUMIFS(INDIRECT("Data_main"&amp;"["&amp;CF$8&amp;"]"),Data_main[Data],$A11, Data_main[Segment],$B11, Data_main[Scenario],$B$3))</f>
        <v>0</v>
      </c>
      <c r="CG11" s="390">
        <f ca="1">IF($B$6="ON", IF(CG10&gt;=covid_start, IF(CG10&lt;covid_recovery,NA(),SUMIFS(INDIRECT("Data_main"&amp;"["&amp;CG$8&amp;"]"),Data_main[Data],$A11, Data_main[Segment],$B11, Data_main[Scenario],$B$3)),SUMIFS(INDIRECT("Data_main"&amp;"["&amp;CG$8&amp;"]"),Data_main[Data],$A11, Data_main[Segment],$B11, Data_main[Scenario],$B$3)),SUMIFS(INDIRECT("Data_main"&amp;"["&amp;CG$8&amp;"]"),Data_main[Data],$A11, Data_main[Segment],$B11, Data_main[Scenario],$B$3))</f>
        <v>0</v>
      </c>
      <c r="CH11" s="390">
        <f ca="1">IF($B$6="ON", IF(CH10&gt;=covid_start, IF(CH10&lt;covid_recovery,NA(),SUMIFS(INDIRECT("Data_main"&amp;"["&amp;CH$8&amp;"]"),Data_main[Data],$A11, Data_main[Segment],$B11, Data_main[Scenario],$B$3)),SUMIFS(INDIRECT("Data_main"&amp;"["&amp;CH$8&amp;"]"),Data_main[Data],$A11, Data_main[Segment],$B11, Data_main[Scenario],$B$3)),SUMIFS(INDIRECT("Data_main"&amp;"["&amp;CH$8&amp;"]"),Data_main[Data],$A11, Data_main[Segment],$B11, Data_main[Scenario],$B$3))</f>
        <v>0</v>
      </c>
      <c r="CI11" s="390">
        <f ca="1">IF($B$6="ON", IF(CI10&gt;=covid_start, IF(CI10&lt;covid_recovery,NA(),SUMIFS(INDIRECT("Data_main"&amp;"["&amp;CI$8&amp;"]"),Data_main[Data],$A11, Data_main[Segment],$B11, Data_main[Scenario],$B$3)),SUMIFS(INDIRECT("Data_main"&amp;"["&amp;CI$8&amp;"]"),Data_main[Data],$A11, Data_main[Segment],$B11, Data_main[Scenario],$B$3)),SUMIFS(INDIRECT("Data_main"&amp;"["&amp;CI$8&amp;"]"),Data_main[Data],$A11, Data_main[Segment],$B11, Data_main[Scenario],$B$3))</f>
        <v>0</v>
      </c>
      <c r="CJ11" s="390">
        <f ca="1">IF($B$6="ON", IF(CJ10&gt;=covid_start, IF(CJ10&lt;covid_recovery,NA(),SUMIFS(INDIRECT("Data_main"&amp;"["&amp;CJ$8&amp;"]"),Data_main[Data],$A11, Data_main[Segment],$B11, Data_main[Scenario],$B$3)),SUMIFS(INDIRECT("Data_main"&amp;"["&amp;CJ$8&amp;"]"),Data_main[Data],$A11, Data_main[Segment],$B11, Data_main[Scenario],$B$3)),SUMIFS(INDIRECT("Data_main"&amp;"["&amp;CJ$8&amp;"]"),Data_main[Data],$A11, Data_main[Segment],$B11, Data_main[Scenario],$B$3))</f>
        <v>0</v>
      </c>
      <c r="CK11" s="390">
        <f ca="1">IF($B$6="ON", IF(CK10&gt;=covid_start, IF(CK10&lt;covid_recovery,NA(),SUMIFS(INDIRECT("Data_main"&amp;"["&amp;CK$8&amp;"]"),Data_main[Data],$A11, Data_main[Segment],$B11, Data_main[Scenario],$B$3)),SUMIFS(INDIRECT("Data_main"&amp;"["&amp;CK$8&amp;"]"),Data_main[Data],$A11, Data_main[Segment],$B11, Data_main[Scenario],$B$3)),SUMIFS(INDIRECT("Data_main"&amp;"["&amp;CK$8&amp;"]"),Data_main[Data],$A11, Data_main[Segment],$B11, Data_main[Scenario],$B$3))</f>
        <v>0</v>
      </c>
      <c r="CL11" s="390">
        <f ca="1">IF($B$6="ON", IF(CL10&gt;=covid_start, IF(CL10&lt;covid_recovery,NA(),SUMIFS(INDIRECT("Data_main"&amp;"["&amp;CL$8&amp;"]"),Data_main[Data],$A11, Data_main[Segment],$B11, Data_main[Scenario],$B$3)),SUMIFS(INDIRECT("Data_main"&amp;"["&amp;CL$8&amp;"]"),Data_main[Data],$A11, Data_main[Segment],$B11, Data_main[Scenario],$B$3)),SUMIFS(INDIRECT("Data_main"&amp;"["&amp;CL$8&amp;"]"),Data_main[Data],$A11, Data_main[Segment],$B11, Data_main[Scenario],$B$3))</f>
        <v>0</v>
      </c>
      <c r="CN11" s="391">
        <f ca="1">IFERROR((Y11/H11)^(1/17)-1,"")</f>
        <v>-9.5304269845940537E-3</v>
      </c>
      <c r="CO11" s="391">
        <f ca="1">IFERROR((AN11/Y11)^(1/15)-1,"")</f>
        <v>-0.12514646524939466</v>
      </c>
      <c r="CP11" s="391">
        <f ca="1">IFERROR((AN11/H11)^(1/32)-1,"")</f>
        <v>-6.5513997297573789E-2</v>
      </c>
    </row>
    <row r="12" spans="1:94" hidden="1" outlineLevel="1">
      <c r="A12" s="392" t="s">
        <v>157</v>
      </c>
      <c r="B12" s="392" t="str">
        <f t="shared" ref="B12:B13" si="17">$A$10</f>
        <v>Ded-short</v>
      </c>
      <c r="C12" s="393" t="s">
        <v>290</v>
      </c>
      <c r="D12" s="389"/>
      <c r="E12" s="390">
        <f ca="1">'SDS Calc'!E12</f>
        <v>10.494758196395999</v>
      </c>
      <c r="F12" s="531">
        <f ca="1">'SDS Calc'!F12</f>
        <v>11.166156049643998</v>
      </c>
      <c r="G12" s="531">
        <f ca="1">'SDS Calc'!G12</f>
        <v>11.837553902891999</v>
      </c>
      <c r="H12" s="531">
        <f ca="1">'SDS Calc'!H12</f>
        <v>12.50895175614</v>
      </c>
      <c r="I12" s="531">
        <f ca="1">'SDS Calc'!I12</f>
        <v>11.35083326877</v>
      </c>
      <c r="J12" s="531" t="e">
        <f ca="1">'SDS Calc'!J12</f>
        <v>#N/A</v>
      </c>
      <c r="K12" s="531" t="e">
        <f ca="1">'SDS Calc'!K12</f>
        <v>#N/A</v>
      </c>
      <c r="L12" s="531" t="e">
        <f ca="1">'SDS Calc'!L12</f>
        <v>#N/A</v>
      </c>
      <c r="M12" s="531">
        <f ca="1">'SDS Calc'!M12</f>
        <v>12.826392207029572</v>
      </c>
      <c r="N12" s="531">
        <f ca="1">'SDS Calc'!N12</f>
        <v>13.195281941594471</v>
      </c>
      <c r="O12" s="531">
        <f ca="1">'SDS Calc'!O12</f>
        <v>13.564171676159368</v>
      </c>
      <c r="P12" s="531">
        <f ca="1">'SDS Calc'!P12</f>
        <v>13.933061410724248</v>
      </c>
      <c r="Q12" s="531">
        <f ca="1">'SDS Calc'!Q12</f>
        <v>14.301951145289147</v>
      </c>
      <c r="R12" s="531">
        <f ca="1">'SDS Calc'!R12</f>
        <v>14.670840879854044</v>
      </c>
      <c r="S12" s="531">
        <f ca="1">'SDS Calc'!S12</f>
        <v>15.039730614418939</v>
      </c>
      <c r="T12" s="531">
        <f ca="1">'SDS Calc'!T12</f>
        <v>15.408620348983838</v>
      </c>
      <c r="U12" s="531">
        <f ca="1">'SDS Calc'!U12</f>
        <v>15.876398520354687</v>
      </c>
      <c r="V12" s="531">
        <f ca="1">IF($B$6="ON", IF(V10&gt;=covid_start, IF(V10&lt;covid_recovery,NA(),SUMIFS(INDIRECT("Data_main"&amp;"["&amp;V$8&amp;"]"),Data_main[Data],$A12, Data_main[Segment],$B12, Data_main[Scenario],$B$3)),SUMIFS(INDIRECT("Data_main"&amp;"["&amp;V$8&amp;"]"),Data_main[Data],$A12, Data_main[Segment],$B12, Data_main[Scenario],$B$3)),SUMIFS(INDIRECT("Data_main"&amp;"["&amp;V$8&amp;"]"),Data_main[Data],$A12, Data_main[Segment],$B12, Data_main[Scenario],$B$3))</f>
        <v>18.726085734749638</v>
      </c>
      <c r="W12" s="390">
        <f ca="1">IF($B$6="ON", IF(W10&gt;=covid_start, IF(W10&lt;covid_recovery,NA(),SUMIFS(INDIRECT("Data_main"&amp;"["&amp;W$8&amp;"]"),Data_main[Data],$A12, Data_main[Segment],$B12, Data_main[Scenario],$B$3)),SUMIFS(INDIRECT("Data_main"&amp;"["&amp;W$8&amp;"]"),Data_main[Data],$A12, Data_main[Segment],$B12, Data_main[Scenario],$B$3)),SUMIFS(INDIRECT("Data_main"&amp;"["&amp;W$8&amp;"]"),Data_main[Data],$A12, Data_main[Segment],$B12, Data_main[Scenario],$B$3))</f>
        <v>19.528145792808029</v>
      </c>
      <c r="X12" s="390">
        <f ca="1">IF($B$6="ON", IF(X10&gt;=covid_start, IF(X10&lt;covid_recovery,NA(),SUMIFS(INDIRECT("Data_main"&amp;"["&amp;X$8&amp;"]"),Data_main[Data],$A12, Data_main[Segment],$B12, Data_main[Scenario],$B$3)),SUMIFS(INDIRECT("Data_main"&amp;"["&amp;X$8&amp;"]"),Data_main[Data],$A12, Data_main[Segment],$B12, Data_main[Scenario],$B$3)),SUMIFS(INDIRECT("Data_main"&amp;"["&amp;X$8&amp;"]"),Data_main[Data],$A12, Data_main[Segment],$B12, Data_main[Scenario],$B$3))</f>
        <v>20.362261682977291</v>
      </c>
      <c r="Y12" s="390">
        <f ca="1">IF($B$6="ON", IF(Y10&gt;=covid_start, IF(Y10&lt;covid_recovery,NA(),SUMIFS(INDIRECT("Data_main"&amp;"["&amp;Y$8&amp;"]"),Data_main[Data],$A12, Data_main[Segment],$B12, Data_main[Scenario],$B$3)),SUMIFS(INDIRECT("Data_main"&amp;"["&amp;Y$8&amp;"]"),Data_main[Data],$A12, Data_main[Segment],$B12, Data_main[Scenario],$B$3)),SUMIFS(INDIRECT("Data_main"&amp;"["&amp;Y$8&amp;"]"),Data_main[Data],$A12, Data_main[Segment],$B12, Data_main[Scenario],$B$3))</f>
        <v>21.26483132065767</v>
      </c>
      <c r="Z12" s="390">
        <f ca="1">IF($B$6="ON", IF(Z10&gt;=covid_start, IF(Z10&lt;covid_recovery,NA(),SUMIFS(INDIRECT("Data_main"&amp;"["&amp;Z$8&amp;"]"),Data_main[Data],$A12, Data_main[Segment],$B12, Data_main[Scenario],$B$3)),SUMIFS(INDIRECT("Data_main"&amp;"["&amp;Z$8&amp;"]"),Data_main[Data],$A12, Data_main[Segment],$B12, Data_main[Scenario],$B$3)),SUMIFS(INDIRECT("Data_main"&amp;"["&amp;Z$8&amp;"]"),Data_main[Data],$A12, Data_main[Segment],$B12, Data_main[Scenario],$B$3))</f>
        <v>22.210022098264051</v>
      </c>
      <c r="AA12" s="390">
        <f ca="1">IF($B$6="ON", IF(AA10&gt;=covid_start, IF(AA10&lt;covid_recovery,NA(),SUMIFS(INDIRECT("Data_main"&amp;"["&amp;AA$8&amp;"]"),Data_main[Data],$A12, Data_main[Segment],$B12, Data_main[Scenario],$B$3)),SUMIFS(INDIRECT("Data_main"&amp;"["&amp;AA$8&amp;"]"),Data_main[Data],$A12, Data_main[Segment],$B12, Data_main[Scenario],$B$3)),SUMIFS(INDIRECT("Data_main"&amp;"["&amp;AA$8&amp;"]"),Data_main[Data],$A12, Data_main[Segment],$B12, Data_main[Scenario],$B$3))</f>
        <v>23.200576553328659</v>
      </c>
      <c r="AB12" s="390">
        <f ca="1">IF($B$6="ON", IF(AB10&gt;=covid_start, IF(AB10&lt;covid_recovery,NA(),SUMIFS(INDIRECT("Data_main"&amp;"["&amp;AB$8&amp;"]"),Data_main[Data],$A12, Data_main[Segment],$B12, Data_main[Scenario],$B$3)),SUMIFS(INDIRECT("Data_main"&amp;"["&amp;AB$8&amp;"]"),Data_main[Data],$A12, Data_main[Segment],$B12, Data_main[Scenario],$B$3)),SUMIFS(INDIRECT("Data_main"&amp;"["&amp;AB$8&amp;"]"),Data_main[Data],$A12, Data_main[Segment],$B12, Data_main[Scenario],$B$3))</f>
        <v>24.237975725433177</v>
      </c>
      <c r="AC12" s="390">
        <f ca="1">IF($B$6="ON", IF(AC10&gt;=covid_start, IF(AC10&lt;covid_recovery,NA(),SUMIFS(INDIRECT("Data_main"&amp;"["&amp;AC$8&amp;"]"),Data_main[Data],$A12, Data_main[Segment],$B12, Data_main[Scenario],$B$3)),SUMIFS(INDIRECT("Data_main"&amp;"["&amp;AC$8&amp;"]"),Data_main[Data],$A12, Data_main[Segment],$B12, Data_main[Scenario],$B$3)),SUMIFS(INDIRECT("Data_main"&amp;"["&amp;AC$8&amp;"]"),Data_main[Data],$A12, Data_main[Segment],$B12, Data_main[Scenario],$B$3))</f>
        <v>25.323694137803344</v>
      </c>
      <c r="AD12" s="390">
        <f ca="1">IF($B$6="ON", IF(AD10&gt;=covid_start, IF(AD10&lt;covid_recovery,NA(),SUMIFS(INDIRECT("Data_main"&amp;"["&amp;AD$8&amp;"]"),Data_main[Data],$A12, Data_main[Segment],$B12, Data_main[Scenario],$B$3)),SUMIFS(INDIRECT("Data_main"&amp;"["&amp;AD$8&amp;"]"),Data_main[Data],$A12, Data_main[Segment],$B12, Data_main[Scenario],$B$3)),SUMIFS(INDIRECT("Data_main"&amp;"["&amp;AD$8&amp;"]"),Data_main[Data],$A12, Data_main[Segment],$B12, Data_main[Scenario],$B$3))</f>
        <v>26.459236195811279</v>
      </c>
      <c r="AE12" s="390">
        <f ca="1">IF($B$6="ON", IF(AE10&gt;=covid_start, IF(AE10&lt;covid_recovery,NA(),SUMIFS(INDIRECT("Data_main"&amp;"["&amp;AE$8&amp;"]"),Data_main[Data],$A12, Data_main[Segment],$B12, Data_main[Scenario],$B$3)),SUMIFS(INDIRECT("Data_main"&amp;"["&amp;AE$8&amp;"]"),Data_main[Data],$A12, Data_main[Segment],$B12, Data_main[Scenario],$B$3)),SUMIFS(INDIRECT("Data_main"&amp;"["&amp;AE$8&amp;"]"),Data_main[Data],$A12, Data_main[Segment],$B12, Data_main[Scenario],$B$3))</f>
        <v>27.646179651266127</v>
      </c>
      <c r="AF12" s="390">
        <f ca="1">IF($B$6="ON", IF(AF10&gt;=covid_start, IF(AF10&lt;covid_recovery,NA(),SUMIFS(INDIRECT("Data_main"&amp;"["&amp;AF$8&amp;"]"),Data_main[Data],$A12, Data_main[Segment],$B12, Data_main[Scenario],$B$3)),SUMIFS(INDIRECT("Data_main"&amp;"["&amp;AF$8&amp;"]"),Data_main[Data],$A12, Data_main[Segment],$B12, Data_main[Scenario],$B$3)),SUMIFS(INDIRECT("Data_main"&amp;"["&amp;AF$8&amp;"]"),Data_main[Data],$A12, Data_main[Segment],$B12, Data_main[Scenario],$B$3))</f>
        <v>28.886141909455471</v>
      </c>
      <c r="AG12" s="390">
        <f ca="1">IF($B$6="ON", IF(AG10&gt;=covid_start, IF(AG10&lt;covid_recovery,NA(),SUMIFS(INDIRECT("Data_main"&amp;"["&amp;AG$8&amp;"]"),Data_main[Data],$A12, Data_main[Segment],$B12, Data_main[Scenario],$B$3)),SUMIFS(INDIRECT("Data_main"&amp;"["&amp;AG$8&amp;"]"),Data_main[Data],$A12, Data_main[Segment],$B12, Data_main[Scenario],$B$3)),SUMIFS(INDIRECT("Data_main"&amp;"["&amp;AG$8&amp;"]"),Data_main[Data],$A12, Data_main[Segment],$B12, Data_main[Scenario],$B$3))</f>
        <v>30.18089807412462</v>
      </c>
      <c r="AH12" s="390">
        <f ca="1">IF($B$6="ON", IF(AH10&gt;=covid_start, IF(AH10&lt;covid_recovery,NA(),SUMIFS(INDIRECT("Data_main"&amp;"["&amp;AH$8&amp;"]"),Data_main[Data],$A12, Data_main[Segment],$B12, Data_main[Scenario],$B$3)),SUMIFS(INDIRECT("Data_main"&amp;"["&amp;AH$8&amp;"]"),Data_main[Data],$A12, Data_main[Segment],$B12, Data_main[Scenario],$B$3)),SUMIFS(INDIRECT("Data_main"&amp;"["&amp;AH$8&amp;"]"),Data_main[Data],$A12, Data_main[Segment],$B12, Data_main[Scenario],$B$3))</f>
        <v>31.532382877929209</v>
      </c>
      <c r="AI12" s="390">
        <f ca="1">IF($B$6="ON", IF(AI10&gt;=covid_start, IF(AI10&lt;covid_recovery,NA(),SUMIFS(INDIRECT("Data_main"&amp;"["&amp;AI$8&amp;"]"),Data_main[Data],$A12, Data_main[Segment],$B12, Data_main[Scenario],$B$3)),SUMIFS(INDIRECT("Data_main"&amp;"["&amp;AI$8&amp;"]"),Data_main[Data],$A12, Data_main[Segment],$B12, Data_main[Scenario],$B$3)),SUMIFS(INDIRECT("Data_main"&amp;"["&amp;AI$8&amp;"]"),Data_main[Data],$A12, Data_main[Segment],$B12, Data_main[Scenario],$B$3))</f>
        <v>32.942679823618192</v>
      </c>
      <c r="AJ12" s="390">
        <f ca="1">IF($B$6="ON", IF(AJ10&gt;=covid_start, IF(AJ10&lt;covid_recovery,NA(),SUMIFS(INDIRECT("Data_main"&amp;"["&amp;AJ$8&amp;"]"),Data_main[Data],$A12, Data_main[Segment],$B12, Data_main[Scenario],$B$3)),SUMIFS(INDIRECT("Data_main"&amp;"["&amp;AJ$8&amp;"]"),Data_main[Data],$A12, Data_main[Segment],$B12, Data_main[Scenario],$B$3)),SUMIFS(INDIRECT("Data_main"&amp;"["&amp;AJ$8&amp;"]"),Data_main[Data],$A12, Data_main[Segment],$B12, Data_main[Scenario],$B$3))</f>
        <v>34.41399153786594</v>
      </c>
      <c r="AK12" s="390">
        <f ca="1">IF($B$6="ON", IF(AK10&gt;=covid_start, IF(AK10&lt;covid_recovery,NA(),SUMIFS(INDIRECT("Data_main"&amp;"["&amp;AK$8&amp;"]"),Data_main[Data],$A12, Data_main[Segment],$B12, Data_main[Scenario],$B$3)),SUMIFS(INDIRECT("Data_main"&amp;"["&amp;AK$8&amp;"]"),Data_main[Data],$A12, Data_main[Segment],$B12, Data_main[Scenario],$B$3)),SUMIFS(INDIRECT("Data_main"&amp;"["&amp;AK$8&amp;"]"),Data_main[Data],$A12, Data_main[Segment],$B12, Data_main[Scenario],$B$3))</f>
        <v>35.948595298304248</v>
      </c>
      <c r="AL12" s="390">
        <f ca="1">IF($B$6="ON", IF(AL10&gt;=covid_start, IF(AL10&lt;covid_recovery,NA(),SUMIFS(INDIRECT("Data_main"&amp;"["&amp;AL$8&amp;"]"),Data_main[Data],$A12, Data_main[Segment],$B12, Data_main[Scenario],$B$3)),SUMIFS(INDIRECT("Data_main"&amp;"["&amp;AL$8&amp;"]"),Data_main[Data],$A12, Data_main[Segment],$B12, Data_main[Scenario],$B$3)),SUMIFS(INDIRECT("Data_main"&amp;"["&amp;AL$8&amp;"]"),Data_main[Data],$A12, Data_main[Segment],$B12, Data_main[Scenario],$B$3))</f>
        <v>37.548796455245245</v>
      </c>
      <c r="AM12" s="390">
        <f ca="1">IF($B$6="ON", IF(AM10&gt;=covid_start, IF(AM10&lt;covid_recovery,NA(),SUMIFS(INDIRECT("Data_main"&amp;"["&amp;AM$8&amp;"]"),Data_main[Data],$A12, Data_main[Segment],$B12, Data_main[Scenario],$B$3)),SUMIFS(INDIRECT("Data_main"&amp;"["&amp;AM$8&amp;"]"),Data_main[Data],$A12, Data_main[Segment],$B12, Data_main[Scenario],$B$3)),SUMIFS(INDIRECT("Data_main"&amp;"["&amp;AM$8&amp;"]"),Data_main[Data],$A12, Data_main[Segment],$B12, Data_main[Scenario],$B$3))</f>
        <v>39.216874747196883</v>
      </c>
      <c r="AN12" s="390">
        <f ca="1">IF($B$6="ON", IF(AN10&gt;=covid_start, IF(AN10&lt;covid_recovery,NA(),SUMIFS(INDIRECT("Data_main"&amp;"["&amp;AN$8&amp;"]"),Data_main[Data],$A12, Data_main[Segment],$B12, Data_main[Scenario],$B$3)),SUMIFS(INDIRECT("Data_main"&amp;"["&amp;AN$8&amp;"]"),Data_main[Data],$A12, Data_main[Segment],$B12, Data_main[Scenario],$B$3)),SUMIFS(INDIRECT("Data_main"&amp;"["&amp;AN$8&amp;"]"),Data_main[Data],$A12, Data_main[Segment],$B12, Data_main[Scenario],$B$3))</f>
        <v>40.953789251048427</v>
      </c>
      <c r="AO12" s="390">
        <f ca="1">IF($B$6="ON", IF(AO10&gt;=covid_start, IF(AO10&lt;covid_recovery,NA(),SUMIFS(INDIRECT("Data_main"&amp;"["&amp;AO$8&amp;"]"),Data_main[Data],$A12, Data_main[Segment],$B12, Data_main[Scenario],$B$3)),SUMIFS(INDIRECT("Data_main"&amp;"["&amp;AO$8&amp;"]"),Data_main[Data],$A12, Data_main[Segment],$B12, Data_main[Scenario],$B$3)),SUMIFS(INDIRECT("Data_main"&amp;"["&amp;AO$8&amp;"]"),Data_main[Data],$A12, Data_main[Segment],$B12, Data_main[Scenario],$B$3))</f>
        <v>0</v>
      </c>
      <c r="AP12" s="390">
        <f ca="1">IF($B$6="ON", IF(AP10&gt;=covid_start, IF(AP10&lt;covid_recovery,NA(),SUMIFS(INDIRECT("Data_main"&amp;"["&amp;AP$8&amp;"]"),Data_main[Data],$A12, Data_main[Segment],$B12, Data_main[Scenario],$B$3)),SUMIFS(INDIRECT("Data_main"&amp;"["&amp;AP$8&amp;"]"),Data_main[Data],$A12, Data_main[Segment],$B12, Data_main[Scenario],$B$3)),SUMIFS(INDIRECT("Data_main"&amp;"["&amp;AP$8&amp;"]"),Data_main[Data],$A12, Data_main[Segment],$B12, Data_main[Scenario],$B$3))</f>
        <v>0</v>
      </c>
      <c r="AQ12" s="390">
        <f ca="1">IF($B$6="ON", IF(AQ10&gt;=covid_start, IF(AQ10&lt;covid_recovery,NA(),SUMIFS(INDIRECT("Data_main"&amp;"["&amp;AQ$8&amp;"]"),Data_main[Data],$A12, Data_main[Segment],$B12, Data_main[Scenario],$B$3)),SUMIFS(INDIRECT("Data_main"&amp;"["&amp;AQ$8&amp;"]"),Data_main[Data],$A12, Data_main[Segment],$B12, Data_main[Scenario],$B$3)),SUMIFS(INDIRECT("Data_main"&amp;"["&amp;AQ$8&amp;"]"),Data_main[Data],$A12, Data_main[Segment],$B12, Data_main[Scenario],$B$3))</f>
        <v>0</v>
      </c>
      <c r="AR12" s="390">
        <f ca="1">IF($B$6="ON", IF(AR10&gt;=covid_start, IF(AR10&lt;covid_recovery,NA(),SUMIFS(INDIRECT("Data_main"&amp;"["&amp;AR$8&amp;"]"),Data_main[Data],$A12, Data_main[Segment],$B12, Data_main[Scenario],$B$3)),SUMIFS(INDIRECT("Data_main"&amp;"["&amp;AR$8&amp;"]"),Data_main[Data],$A12, Data_main[Segment],$B12, Data_main[Scenario],$B$3)),SUMIFS(INDIRECT("Data_main"&amp;"["&amp;AR$8&amp;"]"),Data_main[Data],$A12, Data_main[Segment],$B12, Data_main[Scenario],$B$3))</f>
        <v>0</v>
      </c>
      <c r="AS12" s="390">
        <f ca="1">IF($B$6="ON", IF(AS10&gt;=covid_start, IF(AS10&lt;covid_recovery,NA(),SUMIFS(INDIRECT("Data_main"&amp;"["&amp;AS$8&amp;"]"),Data_main[Data],$A12, Data_main[Segment],$B12, Data_main[Scenario],$B$3)),SUMIFS(INDIRECT("Data_main"&amp;"["&amp;AS$8&amp;"]"),Data_main[Data],$A12, Data_main[Segment],$B12, Data_main[Scenario],$B$3)),SUMIFS(INDIRECT("Data_main"&amp;"["&amp;AS$8&amp;"]"),Data_main[Data],$A12, Data_main[Segment],$B12, Data_main[Scenario],$B$3))</f>
        <v>0</v>
      </c>
      <c r="AT12" s="390">
        <f ca="1">IF($B$6="ON", IF(AT10&gt;=covid_start, IF(AT10&lt;covid_recovery,NA(),SUMIFS(INDIRECT("Data_main"&amp;"["&amp;AT$8&amp;"]"),Data_main[Data],$A12, Data_main[Segment],$B12, Data_main[Scenario],$B$3)),SUMIFS(INDIRECT("Data_main"&amp;"["&amp;AT$8&amp;"]"),Data_main[Data],$A12, Data_main[Segment],$B12, Data_main[Scenario],$B$3)),SUMIFS(INDIRECT("Data_main"&amp;"["&amp;AT$8&amp;"]"),Data_main[Data],$A12, Data_main[Segment],$B12, Data_main[Scenario],$B$3))</f>
        <v>0</v>
      </c>
      <c r="AU12" s="390">
        <f ca="1">IF($B$6="ON", IF(AU10&gt;=covid_start, IF(AU10&lt;covid_recovery,NA(),SUMIFS(INDIRECT("Data_main"&amp;"["&amp;AU$8&amp;"]"),Data_main[Data],$A12, Data_main[Segment],$B12, Data_main[Scenario],$B$3)),SUMIFS(INDIRECT("Data_main"&amp;"["&amp;AU$8&amp;"]"),Data_main[Data],$A12, Data_main[Segment],$B12, Data_main[Scenario],$B$3)),SUMIFS(INDIRECT("Data_main"&amp;"["&amp;AU$8&amp;"]"),Data_main[Data],$A12, Data_main[Segment],$B12, Data_main[Scenario],$B$3))</f>
        <v>0</v>
      </c>
      <c r="AV12" s="390">
        <f ca="1">IF($B$6="ON", IF(AV10&gt;=covid_start, IF(AV10&lt;covid_recovery,NA(),SUMIFS(INDIRECT("Data_main"&amp;"["&amp;AV$8&amp;"]"),Data_main[Data],$A12, Data_main[Segment],$B12, Data_main[Scenario],$B$3)),SUMIFS(INDIRECT("Data_main"&amp;"["&amp;AV$8&amp;"]"),Data_main[Data],$A12, Data_main[Segment],$B12, Data_main[Scenario],$B$3)),SUMIFS(INDIRECT("Data_main"&amp;"["&amp;AV$8&amp;"]"),Data_main[Data],$A12, Data_main[Segment],$B12, Data_main[Scenario],$B$3))</f>
        <v>0</v>
      </c>
      <c r="AW12" s="390">
        <f ca="1">IF($B$6="ON", IF(AW10&gt;=covid_start, IF(AW10&lt;covid_recovery,NA(),SUMIFS(INDIRECT("Data_main"&amp;"["&amp;AW$8&amp;"]"),Data_main[Data],$A12, Data_main[Segment],$B12, Data_main[Scenario],$B$3)),SUMIFS(INDIRECT("Data_main"&amp;"["&amp;AW$8&amp;"]"),Data_main[Data],$A12, Data_main[Segment],$B12, Data_main[Scenario],$B$3)),SUMIFS(INDIRECT("Data_main"&amp;"["&amp;AW$8&amp;"]"),Data_main[Data],$A12, Data_main[Segment],$B12, Data_main[Scenario],$B$3))</f>
        <v>0</v>
      </c>
      <c r="AX12" s="390">
        <f ca="1">IF($B$6="ON", IF(AX10&gt;=covid_start, IF(AX10&lt;covid_recovery,NA(),SUMIFS(INDIRECT("Data_main"&amp;"["&amp;AX$8&amp;"]"),Data_main[Data],$A12, Data_main[Segment],$B12, Data_main[Scenario],$B$3)),SUMIFS(INDIRECT("Data_main"&amp;"["&amp;AX$8&amp;"]"),Data_main[Data],$A12, Data_main[Segment],$B12, Data_main[Scenario],$B$3)),SUMIFS(INDIRECT("Data_main"&amp;"["&amp;AX$8&amp;"]"),Data_main[Data],$A12, Data_main[Segment],$B12, Data_main[Scenario],$B$3))</f>
        <v>0</v>
      </c>
      <c r="AY12" s="390">
        <f ca="1">IF($B$6="ON", IF(AY10&gt;=covid_start, IF(AY10&lt;covid_recovery,NA(),SUMIFS(INDIRECT("Data_main"&amp;"["&amp;AY$8&amp;"]"),Data_main[Data],$A12, Data_main[Segment],$B12, Data_main[Scenario],$B$3)),SUMIFS(INDIRECT("Data_main"&amp;"["&amp;AY$8&amp;"]"),Data_main[Data],$A12, Data_main[Segment],$B12, Data_main[Scenario],$B$3)),SUMIFS(INDIRECT("Data_main"&amp;"["&amp;AY$8&amp;"]"),Data_main[Data],$A12, Data_main[Segment],$B12, Data_main[Scenario],$B$3))</f>
        <v>0</v>
      </c>
      <c r="AZ12" s="390">
        <f ca="1">IF($B$6="ON", IF(AZ10&gt;=covid_start, IF(AZ10&lt;covid_recovery,NA(),SUMIFS(INDIRECT("Data_main"&amp;"["&amp;AZ$8&amp;"]"),Data_main[Data],$A12, Data_main[Segment],$B12, Data_main[Scenario],$B$3)),SUMIFS(INDIRECT("Data_main"&amp;"["&amp;AZ$8&amp;"]"),Data_main[Data],$A12, Data_main[Segment],$B12, Data_main[Scenario],$B$3)),SUMIFS(INDIRECT("Data_main"&amp;"["&amp;AZ$8&amp;"]"),Data_main[Data],$A12, Data_main[Segment],$B12, Data_main[Scenario],$B$3))</f>
        <v>0</v>
      </c>
      <c r="BA12" s="390">
        <f ca="1">IF($B$6="ON", IF(BA10&gt;=covid_start, IF(BA10&lt;covid_recovery,NA(),SUMIFS(INDIRECT("Data_main"&amp;"["&amp;BA$8&amp;"]"),Data_main[Data],$A12, Data_main[Segment],$B12, Data_main[Scenario],$B$3)),SUMIFS(INDIRECT("Data_main"&amp;"["&amp;BA$8&amp;"]"),Data_main[Data],$A12, Data_main[Segment],$B12, Data_main[Scenario],$B$3)),SUMIFS(INDIRECT("Data_main"&amp;"["&amp;BA$8&amp;"]"),Data_main[Data],$A12, Data_main[Segment],$B12, Data_main[Scenario],$B$3))</f>
        <v>0</v>
      </c>
      <c r="BB12" s="390">
        <f ca="1">IF($B$6="ON", IF(BB10&gt;=covid_start, IF(BB10&lt;covid_recovery,NA(),SUMIFS(INDIRECT("Data_main"&amp;"["&amp;BB$8&amp;"]"),Data_main[Data],$A12, Data_main[Segment],$B12, Data_main[Scenario],$B$3)),SUMIFS(INDIRECT("Data_main"&amp;"["&amp;BB$8&amp;"]"),Data_main[Data],$A12, Data_main[Segment],$B12, Data_main[Scenario],$B$3)),SUMIFS(INDIRECT("Data_main"&amp;"["&amp;BB$8&amp;"]"),Data_main[Data],$A12, Data_main[Segment],$B12, Data_main[Scenario],$B$3))</f>
        <v>0</v>
      </c>
      <c r="BC12" s="390">
        <f ca="1">IF($B$6="ON", IF(BC10&gt;=covid_start, IF(BC10&lt;covid_recovery,NA(),SUMIFS(INDIRECT("Data_main"&amp;"["&amp;BC$8&amp;"]"),Data_main[Data],$A12, Data_main[Segment],$B12, Data_main[Scenario],$B$3)),SUMIFS(INDIRECT("Data_main"&amp;"["&amp;BC$8&amp;"]"),Data_main[Data],$A12, Data_main[Segment],$B12, Data_main[Scenario],$B$3)),SUMIFS(INDIRECT("Data_main"&amp;"["&amp;BC$8&amp;"]"),Data_main[Data],$A12, Data_main[Segment],$B12, Data_main[Scenario],$B$3))</f>
        <v>0</v>
      </c>
      <c r="BD12" s="390">
        <f ca="1">IF($B$6="ON", IF(BD10&gt;=covid_start, IF(BD10&lt;covid_recovery,NA(),SUMIFS(INDIRECT("Data_main"&amp;"["&amp;BD$8&amp;"]"),Data_main[Data],$A12, Data_main[Segment],$B12, Data_main[Scenario],$B$3)),SUMIFS(INDIRECT("Data_main"&amp;"["&amp;BD$8&amp;"]"),Data_main[Data],$A12, Data_main[Segment],$B12, Data_main[Scenario],$B$3)),SUMIFS(INDIRECT("Data_main"&amp;"["&amp;BD$8&amp;"]"),Data_main[Data],$A12, Data_main[Segment],$B12, Data_main[Scenario],$B$3))</f>
        <v>0</v>
      </c>
      <c r="BE12" s="390">
        <f ca="1">IF($B$6="ON", IF(BE10&gt;=covid_start, IF(BE10&lt;covid_recovery,NA(),SUMIFS(INDIRECT("Data_main"&amp;"["&amp;BE$8&amp;"]"),Data_main[Data],$A12, Data_main[Segment],$B12, Data_main[Scenario],$B$3)),SUMIFS(INDIRECT("Data_main"&amp;"["&amp;BE$8&amp;"]"),Data_main[Data],$A12, Data_main[Segment],$B12, Data_main[Scenario],$B$3)),SUMIFS(INDIRECT("Data_main"&amp;"["&amp;BE$8&amp;"]"),Data_main[Data],$A12, Data_main[Segment],$B12, Data_main[Scenario],$B$3))</f>
        <v>0</v>
      </c>
      <c r="BF12" s="390">
        <f ca="1">IF($B$6="ON", IF(BF10&gt;=covid_start, IF(BF10&lt;covid_recovery,NA(),SUMIFS(INDIRECT("Data_main"&amp;"["&amp;BF$8&amp;"]"),Data_main[Data],$A12, Data_main[Segment],$B12, Data_main[Scenario],$B$3)),SUMIFS(INDIRECT("Data_main"&amp;"["&amp;BF$8&amp;"]"),Data_main[Data],$A12, Data_main[Segment],$B12, Data_main[Scenario],$B$3)),SUMIFS(INDIRECT("Data_main"&amp;"["&amp;BF$8&amp;"]"),Data_main[Data],$A12, Data_main[Segment],$B12, Data_main[Scenario],$B$3))</f>
        <v>0</v>
      </c>
      <c r="BG12" s="390">
        <f ca="1">IF($B$6="ON", IF(BG10&gt;=covid_start, IF(BG10&lt;covid_recovery,NA(),SUMIFS(INDIRECT("Data_main"&amp;"["&amp;BG$8&amp;"]"),Data_main[Data],$A12, Data_main[Segment],$B12, Data_main[Scenario],$B$3)),SUMIFS(INDIRECT("Data_main"&amp;"["&amp;BG$8&amp;"]"),Data_main[Data],$A12, Data_main[Segment],$B12, Data_main[Scenario],$B$3)),SUMIFS(INDIRECT("Data_main"&amp;"["&amp;BG$8&amp;"]"),Data_main[Data],$A12, Data_main[Segment],$B12, Data_main[Scenario],$B$3))</f>
        <v>0</v>
      </c>
      <c r="BH12" s="390">
        <f ca="1">IF($B$6="ON", IF(BH10&gt;=covid_start, IF(BH10&lt;covid_recovery,NA(),SUMIFS(INDIRECT("Data_main"&amp;"["&amp;BH$8&amp;"]"),Data_main[Data],$A12, Data_main[Segment],$B12, Data_main[Scenario],$B$3)),SUMIFS(INDIRECT("Data_main"&amp;"["&amp;BH$8&amp;"]"),Data_main[Data],$A12, Data_main[Segment],$B12, Data_main[Scenario],$B$3)),SUMIFS(INDIRECT("Data_main"&amp;"["&amp;BH$8&amp;"]"),Data_main[Data],$A12, Data_main[Segment],$B12, Data_main[Scenario],$B$3))</f>
        <v>0</v>
      </c>
      <c r="BI12" s="390">
        <f ca="1">IF($B$6="ON", IF(BI10&gt;=covid_start, IF(BI10&lt;covid_recovery,NA(),SUMIFS(INDIRECT("Data_main"&amp;"["&amp;BI$8&amp;"]"),Data_main[Data],$A12, Data_main[Segment],$B12, Data_main[Scenario],$B$3)),SUMIFS(INDIRECT("Data_main"&amp;"["&amp;BI$8&amp;"]"),Data_main[Data],$A12, Data_main[Segment],$B12, Data_main[Scenario],$B$3)),SUMIFS(INDIRECT("Data_main"&amp;"["&amp;BI$8&amp;"]"),Data_main[Data],$A12, Data_main[Segment],$B12, Data_main[Scenario],$B$3))</f>
        <v>0</v>
      </c>
      <c r="BJ12" s="390">
        <f ca="1">IF($B$6="ON", IF(BJ10&gt;=covid_start, IF(BJ10&lt;covid_recovery,NA(),SUMIFS(INDIRECT("Data_main"&amp;"["&amp;BJ$8&amp;"]"),Data_main[Data],$A12, Data_main[Segment],$B12, Data_main[Scenario],$B$3)),SUMIFS(INDIRECT("Data_main"&amp;"["&amp;BJ$8&amp;"]"),Data_main[Data],$A12, Data_main[Segment],$B12, Data_main[Scenario],$B$3)),SUMIFS(INDIRECT("Data_main"&amp;"["&amp;BJ$8&amp;"]"),Data_main[Data],$A12, Data_main[Segment],$B12, Data_main[Scenario],$B$3))</f>
        <v>0</v>
      </c>
      <c r="BK12" s="390">
        <f ca="1">IF($B$6="ON", IF(BK10&gt;=covid_start, IF(BK10&lt;covid_recovery,NA(),SUMIFS(INDIRECT("Data_main"&amp;"["&amp;BK$8&amp;"]"),Data_main[Data],$A12, Data_main[Segment],$B12, Data_main[Scenario],$B$3)),SUMIFS(INDIRECT("Data_main"&amp;"["&amp;BK$8&amp;"]"),Data_main[Data],$A12, Data_main[Segment],$B12, Data_main[Scenario],$B$3)),SUMIFS(INDIRECT("Data_main"&amp;"["&amp;BK$8&amp;"]"),Data_main[Data],$A12, Data_main[Segment],$B12, Data_main[Scenario],$B$3))</f>
        <v>0</v>
      </c>
      <c r="BL12" s="390">
        <f ca="1">IF($B$6="ON", IF(BL10&gt;=covid_start, IF(BL10&lt;covid_recovery,NA(),SUMIFS(INDIRECT("Data_main"&amp;"["&amp;BL$8&amp;"]"),Data_main[Data],$A12, Data_main[Segment],$B12, Data_main[Scenario],$B$3)),SUMIFS(INDIRECT("Data_main"&amp;"["&amp;BL$8&amp;"]"),Data_main[Data],$A12, Data_main[Segment],$B12, Data_main[Scenario],$B$3)),SUMIFS(INDIRECT("Data_main"&amp;"["&amp;BL$8&amp;"]"),Data_main[Data],$A12, Data_main[Segment],$B12, Data_main[Scenario],$B$3))</f>
        <v>0</v>
      </c>
      <c r="BM12" s="390">
        <f ca="1">IF($B$6="ON", IF(BM10&gt;=covid_start, IF(BM10&lt;covid_recovery,NA(),SUMIFS(INDIRECT("Data_main"&amp;"["&amp;BM$8&amp;"]"),Data_main[Data],$A12, Data_main[Segment],$B12, Data_main[Scenario],$B$3)),SUMIFS(INDIRECT("Data_main"&amp;"["&amp;BM$8&amp;"]"),Data_main[Data],$A12, Data_main[Segment],$B12, Data_main[Scenario],$B$3)),SUMIFS(INDIRECT("Data_main"&amp;"["&amp;BM$8&amp;"]"),Data_main[Data],$A12, Data_main[Segment],$B12, Data_main[Scenario],$B$3))</f>
        <v>0</v>
      </c>
      <c r="BN12" s="390">
        <f ca="1">IF($B$6="ON", IF(BN10&gt;=covid_start, IF(BN10&lt;covid_recovery,NA(),SUMIFS(INDIRECT("Data_main"&amp;"["&amp;BN$8&amp;"]"),Data_main[Data],$A12, Data_main[Segment],$B12, Data_main[Scenario],$B$3)),SUMIFS(INDIRECT("Data_main"&amp;"["&amp;BN$8&amp;"]"),Data_main[Data],$A12, Data_main[Segment],$B12, Data_main[Scenario],$B$3)),SUMIFS(INDIRECT("Data_main"&amp;"["&amp;BN$8&amp;"]"),Data_main[Data],$A12, Data_main[Segment],$B12, Data_main[Scenario],$B$3))</f>
        <v>0</v>
      </c>
      <c r="BO12" s="390">
        <f ca="1">IF($B$6="ON", IF(BO10&gt;=covid_start, IF(BO10&lt;covid_recovery,NA(),SUMIFS(INDIRECT("Data_main"&amp;"["&amp;BO$8&amp;"]"),Data_main[Data],$A12, Data_main[Segment],$B12, Data_main[Scenario],$B$3)),SUMIFS(INDIRECT("Data_main"&amp;"["&amp;BO$8&amp;"]"),Data_main[Data],$A12, Data_main[Segment],$B12, Data_main[Scenario],$B$3)),SUMIFS(INDIRECT("Data_main"&amp;"["&amp;BO$8&amp;"]"),Data_main[Data],$A12, Data_main[Segment],$B12, Data_main[Scenario],$B$3))</f>
        <v>0</v>
      </c>
      <c r="BP12" s="390">
        <f ca="1">IF($B$6="ON", IF(BP10&gt;=covid_start, IF(BP10&lt;covid_recovery,NA(),SUMIFS(INDIRECT("Data_main"&amp;"["&amp;BP$8&amp;"]"),Data_main[Data],$A12, Data_main[Segment],$B12, Data_main[Scenario],$B$3)),SUMIFS(INDIRECT("Data_main"&amp;"["&amp;BP$8&amp;"]"),Data_main[Data],$A12, Data_main[Segment],$B12, Data_main[Scenario],$B$3)),SUMIFS(INDIRECT("Data_main"&amp;"["&amp;BP$8&amp;"]"),Data_main[Data],$A12, Data_main[Segment],$B12, Data_main[Scenario],$B$3))</f>
        <v>0</v>
      </c>
      <c r="BQ12" s="390">
        <f ca="1">IF($B$6="ON", IF(BQ10&gt;=covid_start, IF(BQ10&lt;covid_recovery,NA(),SUMIFS(INDIRECT("Data_main"&amp;"["&amp;BQ$8&amp;"]"),Data_main[Data],$A12, Data_main[Segment],$B12, Data_main[Scenario],$B$3)),SUMIFS(INDIRECT("Data_main"&amp;"["&amp;BQ$8&amp;"]"),Data_main[Data],$A12, Data_main[Segment],$B12, Data_main[Scenario],$B$3)),SUMIFS(INDIRECT("Data_main"&amp;"["&amp;BQ$8&amp;"]"),Data_main[Data],$A12, Data_main[Segment],$B12, Data_main[Scenario],$B$3))</f>
        <v>0</v>
      </c>
      <c r="BR12" s="390">
        <f ca="1">IF($B$6="ON", IF(BR10&gt;=covid_start, IF(BR10&lt;covid_recovery,NA(),SUMIFS(INDIRECT("Data_main"&amp;"["&amp;BR$8&amp;"]"),Data_main[Data],$A12, Data_main[Segment],$B12, Data_main[Scenario],$B$3)),SUMIFS(INDIRECT("Data_main"&amp;"["&amp;BR$8&amp;"]"),Data_main[Data],$A12, Data_main[Segment],$B12, Data_main[Scenario],$B$3)),SUMIFS(INDIRECT("Data_main"&amp;"["&amp;BR$8&amp;"]"),Data_main[Data],$A12, Data_main[Segment],$B12, Data_main[Scenario],$B$3))</f>
        <v>0</v>
      </c>
      <c r="BS12" s="390">
        <f ca="1">IF($B$6="ON", IF(BS10&gt;=covid_start, IF(BS10&lt;covid_recovery,NA(),SUMIFS(INDIRECT("Data_main"&amp;"["&amp;BS$8&amp;"]"),Data_main[Data],$A12, Data_main[Segment],$B12, Data_main[Scenario],$B$3)),SUMIFS(INDIRECT("Data_main"&amp;"["&amp;BS$8&amp;"]"),Data_main[Data],$A12, Data_main[Segment],$B12, Data_main[Scenario],$B$3)),SUMIFS(INDIRECT("Data_main"&amp;"["&amp;BS$8&amp;"]"),Data_main[Data],$A12, Data_main[Segment],$B12, Data_main[Scenario],$B$3))</f>
        <v>0</v>
      </c>
      <c r="BT12" s="390">
        <f ca="1">IF($B$6="ON", IF(BT10&gt;=covid_start, IF(BT10&lt;covid_recovery,NA(),SUMIFS(INDIRECT("Data_main"&amp;"["&amp;BT$8&amp;"]"),Data_main[Data],$A12, Data_main[Segment],$B12, Data_main[Scenario],$B$3)),SUMIFS(INDIRECT("Data_main"&amp;"["&amp;BT$8&amp;"]"),Data_main[Data],$A12, Data_main[Segment],$B12, Data_main[Scenario],$B$3)),SUMIFS(INDIRECT("Data_main"&amp;"["&amp;BT$8&amp;"]"),Data_main[Data],$A12, Data_main[Segment],$B12, Data_main[Scenario],$B$3))</f>
        <v>0</v>
      </c>
      <c r="BU12" s="390">
        <f ca="1">IF($B$6="ON", IF(BU10&gt;=covid_start, IF(BU10&lt;covid_recovery,NA(),SUMIFS(INDIRECT("Data_main"&amp;"["&amp;BU$8&amp;"]"),Data_main[Data],$A12, Data_main[Segment],$B12, Data_main[Scenario],$B$3)),SUMIFS(INDIRECT("Data_main"&amp;"["&amp;BU$8&amp;"]"),Data_main[Data],$A12, Data_main[Segment],$B12, Data_main[Scenario],$B$3)),SUMIFS(INDIRECT("Data_main"&amp;"["&amp;BU$8&amp;"]"),Data_main[Data],$A12, Data_main[Segment],$B12, Data_main[Scenario],$B$3))</f>
        <v>0</v>
      </c>
      <c r="BV12" s="390">
        <f ca="1">IF($B$6="ON", IF(BV10&gt;=covid_start, IF(BV10&lt;covid_recovery,NA(),SUMIFS(INDIRECT("Data_main"&amp;"["&amp;BV$8&amp;"]"),Data_main[Data],$A12, Data_main[Segment],$B12, Data_main[Scenario],$B$3)),SUMIFS(INDIRECT("Data_main"&amp;"["&amp;BV$8&amp;"]"),Data_main[Data],$A12, Data_main[Segment],$B12, Data_main[Scenario],$B$3)),SUMIFS(INDIRECT("Data_main"&amp;"["&amp;BV$8&amp;"]"),Data_main[Data],$A12, Data_main[Segment],$B12, Data_main[Scenario],$B$3))</f>
        <v>0</v>
      </c>
      <c r="BW12" s="390">
        <f ca="1">IF($B$6="ON", IF(BW10&gt;=covid_start, IF(BW10&lt;covid_recovery,NA(),SUMIFS(INDIRECT("Data_main"&amp;"["&amp;BW$8&amp;"]"),Data_main[Data],$A12, Data_main[Segment],$B12, Data_main[Scenario],$B$3)),SUMIFS(INDIRECT("Data_main"&amp;"["&amp;BW$8&amp;"]"),Data_main[Data],$A12, Data_main[Segment],$B12, Data_main[Scenario],$B$3)),SUMIFS(INDIRECT("Data_main"&amp;"["&amp;BW$8&amp;"]"),Data_main[Data],$A12, Data_main[Segment],$B12, Data_main[Scenario],$B$3))</f>
        <v>0</v>
      </c>
      <c r="BX12" s="390">
        <f ca="1">IF($B$6="ON", IF(BX10&gt;=covid_start, IF(BX10&lt;covid_recovery,NA(),SUMIFS(INDIRECT("Data_main"&amp;"["&amp;BX$8&amp;"]"),Data_main[Data],$A12, Data_main[Segment],$B12, Data_main[Scenario],$B$3)),SUMIFS(INDIRECT("Data_main"&amp;"["&amp;BX$8&amp;"]"),Data_main[Data],$A12, Data_main[Segment],$B12, Data_main[Scenario],$B$3)),SUMIFS(INDIRECT("Data_main"&amp;"["&amp;BX$8&amp;"]"),Data_main[Data],$A12, Data_main[Segment],$B12, Data_main[Scenario],$B$3))</f>
        <v>0</v>
      </c>
      <c r="BY12" s="390">
        <f ca="1">IF($B$6="ON", IF(BY10&gt;=covid_start, IF(BY10&lt;covid_recovery,NA(),SUMIFS(INDIRECT("Data_main"&amp;"["&amp;BY$8&amp;"]"),Data_main[Data],$A12, Data_main[Segment],$B12, Data_main[Scenario],$B$3)),SUMIFS(INDIRECT("Data_main"&amp;"["&amp;BY$8&amp;"]"),Data_main[Data],$A12, Data_main[Segment],$B12, Data_main[Scenario],$B$3)),SUMIFS(INDIRECT("Data_main"&amp;"["&amp;BY$8&amp;"]"),Data_main[Data],$A12, Data_main[Segment],$B12, Data_main[Scenario],$B$3))</f>
        <v>0</v>
      </c>
      <c r="BZ12" s="390">
        <f ca="1">IF($B$6="ON", IF(BZ10&gt;=covid_start, IF(BZ10&lt;covid_recovery,NA(),SUMIFS(INDIRECT("Data_main"&amp;"["&amp;BZ$8&amp;"]"),Data_main[Data],$A12, Data_main[Segment],$B12, Data_main[Scenario],$B$3)),SUMIFS(INDIRECT("Data_main"&amp;"["&amp;BZ$8&amp;"]"),Data_main[Data],$A12, Data_main[Segment],$B12, Data_main[Scenario],$B$3)),SUMIFS(INDIRECT("Data_main"&amp;"["&amp;BZ$8&amp;"]"),Data_main[Data],$A12, Data_main[Segment],$B12, Data_main[Scenario],$B$3))</f>
        <v>0</v>
      </c>
      <c r="CA12" s="390">
        <f ca="1">IF($B$6="ON", IF(CA10&gt;=covid_start, IF(CA10&lt;covid_recovery,NA(),SUMIFS(INDIRECT("Data_main"&amp;"["&amp;CA$8&amp;"]"),Data_main[Data],$A12, Data_main[Segment],$B12, Data_main[Scenario],$B$3)),SUMIFS(INDIRECT("Data_main"&amp;"["&amp;CA$8&amp;"]"),Data_main[Data],$A12, Data_main[Segment],$B12, Data_main[Scenario],$B$3)),SUMIFS(INDIRECT("Data_main"&amp;"["&amp;CA$8&amp;"]"),Data_main[Data],$A12, Data_main[Segment],$B12, Data_main[Scenario],$B$3))</f>
        <v>0</v>
      </c>
      <c r="CB12" s="390">
        <f ca="1">IF($B$6="ON", IF(CB10&gt;=covid_start, IF(CB10&lt;covid_recovery,NA(),SUMIFS(INDIRECT("Data_main"&amp;"["&amp;CB$8&amp;"]"),Data_main[Data],$A12, Data_main[Segment],$B12, Data_main[Scenario],$B$3)),SUMIFS(INDIRECT("Data_main"&amp;"["&amp;CB$8&amp;"]"),Data_main[Data],$A12, Data_main[Segment],$B12, Data_main[Scenario],$B$3)),SUMIFS(INDIRECT("Data_main"&amp;"["&amp;CB$8&amp;"]"),Data_main[Data],$A12, Data_main[Segment],$B12, Data_main[Scenario],$B$3))</f>
        <v>0</v>
      </c>
      <c r="CC12" s="390">
        <f ca="1">IF($B$6="ON", IF(CC10&gt;=covid_start, IF(CC10&lt;covid_recovery,NA(),SUMIFS(INDIRECT("Data_main"&amp;"["&amp;CC$8&amp;"]"),Data_main[Data],$A12, Data_main[Segment],$B12, Data_main[Scenario],$B$3)),SUMIFS(INDIRECT("Data_main"&amp;"["&amp;CC$8&amp;"]"),Data_main[Data],$A12, Data_main[Segment],$B12, Data_main[Scenario],$B$3)),SUMIFS(INDIRECT("Data_main"&amp;"["&amp;CC$8&amp;"]"),Data_main[Data],$A12, Data_main[Segment],$B12, Data_main[Scenario],$B$3))</f>
        <v>0</v>
      </c>
      <c r="CD12" s="390">
        <f ca="1">IF($B$6="ON", IF(CD10&gt;=covid_start, IF(CD10&lt;covid_recovery,NA(),SUMIFS(INDIRECT("Data_main"&amp;"["&amp;CD$8&amp;"]"),Data_main[Data],$A12, Data_main[Segment],$B12, Data_main[Scenario],$B$3)),SUMIFS(INDIRECT("Data_main"&amp;"["&amp;CD$8&amp;"]"),Data_main[Data],$A12, Data_main[Segment],$B12, Data_main[Scenario],$B$3)),SUMIFS(INDIRECT("Data_main"&amp;"["&amp;CD$8&amp;"]"),Data_main[Data],$A12, Data_main[Segment],$B12, Data_main[Scenario],$B$3))</f>
        <v>0</v>
      </c>
      <c r="CE12" s="390">
        <f ca="1">IF($B$6="ON", IF(CE10&gt;=covid_start, IF(CE10&lt;covid_recovery,NA(),SUMIFS(INDIRECT("Data_main"&amp;"["&amp;CE$8&amp;"]"),Data_main[Data],$A12, Data_main[Segment],$B12, Data_main[Scenario],$B$3)),SUMIFS(INDIRECT("Data_main"&amp;"["&amp;CE$8&amp;"]"),Data_main[Data],$A12, Data_main[Segment],$B12, Data_main[Scenario],$B$3)),SUMIFS(INDIRECT("Data_main"&amp;"["&amp;CE$8&amp;"]"),Data_main[Data],$A12, Data_main[Segment],$B12, Data_main[Scenario],$B$3))</f>
        <v>0</v>
      </c>
      <c r="CF12" s="390">
        <f ca="1">IF($B$6="ON", IF(CF10&gt;=covid_start, IF(CF10&lt;covid_recovery,NA(),SUMIFS(INDIRECT("Data_main"&amp;"["&amp;CF$8&amp;"]"),Data_main[Data],$A12, Data_main[Segment],$B12, Data_main[Scenario],$B$3)),SUMIFS(INDIRECT("Data_main"&amp;"["&amp;CF$8&amp;"]"),Data_main[Data],$A12, Data_main[Segment],$B12, Data_main[Scenario],$B$3)),SUMIFS(INDIRECT("Data_main"&amp;"["&amp;CF$8&amp;"]"),Data_main[Data],$A12, Data_main[Segment],$B12, Data_main[Scenario],$B$3))</f>
        <v>0</v>
      </c>
      <c r="CG12" s="390">
        <f ca="1">IF($B$6="ON", IF(CG10&gt;=covid_start, IF(CG10&lt;covid_recovery,NA(),SUMIFS(INDIRECT("Data_main"&amp;"["&amp;CG$8&amp;"]"),Data_main[Data],$A12, Data_main[Segment],$B12, Data_main[Scenario],$B$3)),SUMIFS(INDIRECT("Data_main"&amp;"["&amp;CG$8&amp;"]"),Data_main[Data],$A12, Data_main[Segment],$B12, Data_main[Scenario],$B$3)),SUMIFS(INDIRECT("Data_main"&amp;"["&amp;CG$8&amp;"]"),Data_main[Data],$A12, Data_main[Segment],$B12, Data_main[Scenario],$B$3))</f>
        <v>0</v>
      </c>
      <c r="CH12" s="390">
        <f ca="1">IF($B$6="ON", IF(CH10&gt;=covid_start, IF(CH10&lt;covid_recovery,NA(),SUMIFS(INDIRECT("Data_main"&amp;"["&amp;CH$8&amp;"]"),Data_main[Data],$A12, Data_main[Segment],$B12, Data_main[Scenario],$B$3)),SUMIFS(INDIRECT("Data_main"&amp;"["&amp;CH$8&amp;"]"),Data_main[Data],$A12, Data_main[Segment],$B12, Data_main[Scenario],$B$3)),SUMIFS(INDIRECT("Data_main"&amp;"["&amp;CH$8&amp;"]"),Data_main[Data],$A12, Data_main[Segment],$B12, Data_main[Scenario],$B$3))</f>
        <v>0</v>
      </c>
      <c r="CI12" s="390">
        <f ca="1">IF($B$6="ON", IF(CI10&gt;=covid_start, IF(CI10&lt;covid_recovery,NA(),SUMIFS(INDIRECT("Data_main"&amp;"["&amp;CI$8&amp;"]"),Data_main[Data],$A12, Data_main[Segment],$B12, Data_main[Scenario],$B$3)),SUMIFS(INDIRECT("Data_main"&amp;"["&amp;CI$8&amp;"]"),Data_main[Data],$A12, Data_main[Segment],$B12, Data_main[Scenario],$B$3)),SUMIFS(INDIRECT("Data_main"&amp;"["&amp;CI$8&amp;"]"),Data_main[Data],$A12, Data_main[Segment],$B12, Data_main[Scenario],$B$3))</f>
        <v>0</v>
      </c>
      <c r="CJ12" s="390">
        <f ca="1">IF($B$6="ON", IF(CJ10&gt;=covid_start, IF(CJ10&lt;covid_recovery,NA(),SUMIFS(INDIRECT("Data_main"&amp;"["&amp;CJ$8&amp;"]"),Data_main[Data],$A12, Data_main[Segment],$B12, Data_main[Scenario],$B$3)),SUMIFS(INDIRECT("Data_main"&amp;"["&amp;CJ$8&amp;"]"),Data_main[Data],$A12, Data_main[Segment],$B12, Data_main[Scenario],$B$3)),SUMIFS(INDIRECT("Data_main"&amp;"["&amp;CJ$8&amp;"]"),Data_main[Data],$A12, Data_main[Segment],$B12, Data_main[Scenario],$B$3))</f>
        <v>0</v>
      </c>
      <c r="CK12" s="390">
        <f ca="1">IF($B$6="ON", IF(CK10&gt;=covid_start, IF(CK10&lt;covid_recovery,NA(),SUMIFS(INDIRECT("Data_main"&amp;"["&amp;CK$8&amp;"]"),Data_main[Data],$A12, Data_main[Segment],$B12, Data_main[Scenario],$B$3)),SUMIFS(INDIRECT("Data_main"&amp;"["&amp;CK$8&amp;"]"),Data_main[Data],$A12, Data_main[Segment],$B12, Data_main[Scenario],$B$3)),SUMIFS(INDIRECT("Data_main"&amp;"["&amp;CK$8&amp;"]"),Data_main[Data],$A12, Data_main[Segment],$B12, Data_main[Scenario],$B$3))</f>
        <v>0</v>
      </c>
      <c r="CL12" s="390">
        <f ca="1">IF($B$6="ON", IF(CL10&gt;=covid_start, IF(CL10&lt;covid_recovery,NA(),SUMIFS(INDIRECT("Data_main"&amp;"["&amp;CL$8&amp;"]"),Data_main[Data],$A12, Data_main[Segment],$B12, Data_main[Scenario],$B$3)),SUMIFS(INDIRECT("Data_main"&amp;"["&amp;CL$8&amp;"]"),Data_main[Data],$A12, Data_main[Segment],$B12, Data_main[Scenario],$B$3)),SUMIFS(INDIRECT("Data_main"&amp;"["&amp;CL$8&amp;"]"),Data_main[Data],$A12, Data_main[Segment],$B12, Data_main[Scenario],$B$3))</f>
        <v>0</v>
      </c>
      <c r="CN12" s="391">
        <f ca="1">IFERROR((Y12/H12)^(1/17)-1,"")</f>
        <v>3.1704570247980568E-2</v>
      </c>
      <c r="CO12" s="391">
        <f ca="1">IFERROR((AN12/Y12)^(1/15)-1,"")</f>
        <v>4.4661228439600631E-2</v>
      </c>
      <c r="CP12" s="391">
        <f ca="1">IFERROR((AN12/H12)^(1/32)-1,"")</f>
        <v>3.7757872553640492E-2</v>
      </c>
    </row>
    <row r="13" spans="1:94" hidden="1" outlineLevel="1">
      <c r="A13" s="392" t="s">
        <v>158</v>
      </c>
      <c r="B13" s="392" t="str">
        <f t="shared" si="17"/>
        <v>Ded-short</v>
      </c>
      <c r="C13" s="393" t="s">
        <v>291</v>
      </c>
      <c r="D13" s="389" t="s">
        <v>292</v>
      </c>
      <c r="E13" s="390">
        <f ca="1">'SDS Calc'!E13</f>
        <v>1189.7236448298318</v>
      </c>
      <c r="F13" s="531">
        <f ca="1">'SDS Calc'!F13</f>
        <v>1147.7539072100469</v>
      </c>
      <c r="G13" s="531">
        <f ca="1">'SDS Calc'!G13</f>
        <v>1110.5450166318824</v>
      </c>
      <c r="H13" s="531">
        <f ca="1">'SDS Calc'!H13</f>
        <v>1077.33038068719</v>
      </c>
      <c r="I13" s="531">
        <f ca="1">'SDS Calc'!I13</f>
        <v>1126.5819082910111</v>
      </c>
      <c r="J13" s="531" t="e">
        <f ca="1">'SDS Calc'!J13</f>
        <v>#N/A</v>
      </c>
      <c r="K13" s="531" t="e">
        <f ca="1">'SDS Calc'!K13</f>
        <v>#N/A</v>
      </c>
      <c r="L13" s="531" t="e">
        <f ca="1">'SDS Calc'!L13</f>
        <v>#N/A</v>
      </c>
      <c r="M13" s="531">
        <f ca="1">'SDS Calc'!M13</f>
        <v>981.09188987648861</v>
      </c>
      <c r="N13" s="531">
        <f ca="1">'SDS Calc'!N13</f>
        <v>949.80356749347379</v>
      </c>
      <c r="O13" s="531">
        <f ca="1">'SDS Calc'!O13</f>
        <v>920.21707272137542</v>
      </c>
      <c r="P13" s="531">
        <f ca="1">'SDS Calc'!P13</f>
        <v>892.19723352933408</v>
      </c>
      <c r="Q13" s="531">
        <f ca="1">'SDS Calc'!Q13</f>
        <v>865.62282383667934</v>
      </c>
      <c r="R13" s="531">
        <f ca="1">'SDS Calc'!R13</f>
        <v>840.38481019903247</v>
      </c>
      <c r="S13" s="531">
        <f ca="1">'SDS Calc'!S13</f>
        <v>816.38485652275381</v>
      </c>
      <c r="T13" s="531">
        <f ca="1">'SDS Calc'!T13</f>
        <v>793.53404356649946</v>
      </c>
      <c r="U13" s="531">
        <f ca="1">'SDS Calc'!U13</f>
        <v>762.06105516600064</v>
      </c>
      <c r="V13" s="531">
        <f ca="1">IF($B$6="ON", IF(V10&gt;=covid_start, IF(V10&lt;covid_recovery,NA(),SUMIFS(INDIRECT("Data_main"&amp;"["&amp;V$8&amp;"]"),Data_main[Data],$A13, Data_main[Segment],$B13, Data_main[Scenario],$B$3)),SUMIFS(INDIRECT("Data_main"&amp;"["&amp;V$8&amp;"]"),Data_main[Data],$A13, Data_main[Segment],$B13, Data_main[Scenario],$B$3)),SUMIFS(INDIRECT("Data_main"&amp;"["&amp;V$8&amp;"]"),Data_main[Data],$A13, Data_main[Segment],$B13, Data_main[Scenario],$B$3))</f>
        <v>674.95283167266689</v>
      </c>
      <c r="W13" s="390">
        <f ca="1">IF($B$6="ON", IF(W10&gt;=covid_start, IF(W10&lt;covid_recovery,NA(),SUMIFS(INDIRECT("Data_main"&amp;"["&amp;W$8&amp;"]"),Data_main[Data],$A13, Data_main[Segment],$B13, Data_main[Scenario],$B$3)),SUMIFS(INDIRECT("Data_main"&amp;"["&amp;W$8&amp;"]"),Data_main[Data],$A13, Data_main[Segment],$B13, Data_main[Scenario],$B$3)),SUMIFS(INDIRECT("Data_main"&amp;"["&amp;W$8&amp;"]"),Data_main[Data],$A13, Data_main[Segment],$B13, Data_main[Scenario],$B$3))</f>
        <v>628.64534601563412</v>
      </c>
      <c r="X13" s="390">
        <f ca="1">IF($B$6="ON", IF(X10&gt;=covid_start, IF(X10&lt;covid_recovery,NA(),SUMIFS(INDIRECT("Data_main"&amp;"["&amp;X$8&amp;"]"),Data_main[Data],$A13, Data_main[Segment],$B13, Data_main[Scenario],$B$3)),SUMIFS(INDIRECT("Data_main"&amp;"["&amp;X$8&amp;"]"),Data_main[Data],$A13, Data_main[Segment],$B13, Data_main[Scenario],$B$3)),SUMIFS(INDIRECT("Data_main"&amp;"["&amp;X$8&amp;"]"),Data_main[Data],$A13, Data_main[Segment],$B13, Data_main[Scenario],$B$3))</f>
        <v>584.28942487660083</v>
      </c>
      <c r="Y13" s="390">
        <f ca="1">IF($B$6="ON", IF(Y10&gt;=covid_start, IF(Y10&lt;covid_recovery,NA(),SUMIFS(INDIRECT("Data_main"&amp;"["&amp;Y$8&amp;"]"),Data_main[Data],$A13, Data_main[Segment],$B13, Data_main[Scenario],$B$3)),SUMIFS(INDIRECT("Data_main"&amp;"["&amp;Y$8&amp;"]"),Data_main[Data],$A13, Data_main[Segment],$B13, Data_main[Scenario],$B$3)),SUMIFS(INDIRECT("Data_main"&amp;"["&amp;Y$8&amp;"]"),Data_main[Data],$A13, Data_main[Segment],$B13, Data_main[Scenario],$B$3))</f>
        <v>538.52669925358441</v>
      </c>
      <c r="Z13" s="390">
        <f ca="1">IF($B$6="ON", IF(Z10&gt;=covid_start, IF(Z10&lt;covid_recovery,NA(),SUMIFS(INDIRECT("Data_main"&amp;"["&amp;Z$8&amp;"]"),Data_main[Data],$A13, Data_main[Segment],$B13, Data_main[Scenario],$B$3)),SUMIFS(INDIRECT("Data_main"&amp;"["&amp;Z$8&amp;"]"),Data_main[Data],$A13, Data_main[Segment],$B13, Data_main[Scenario],$B$3)),SUMIFS(INDIRECT("Data_main"&amp;"["&amp;Z$8&amp;"]"),Data_main[Data],$A13, Data_main[Segment],$B13, Data_main[Scenario],$B$3))</f>
        <v>493.10476254892103</v>
      </c>
      <c r="AA13" s="390">
        <f ca="1">IF($B$6="ON", IF(AA10&gt;=covid_start, IF(AA10&lt;covid_recovery,NA(),SUMIFS(INDIRECT("Data_main"&amp;"["&amp;AA$8&amp;"]"),Data_main[Data],$A13, Data_main[Segment],$B13, Data_main[Scenario],$B$3)),SUMIFS(INDIRECT("Data_main"&amp;"["&amp;AA$8&amp;"]"),Data_main[Data],$A13, Data_main[Segment],$B13, Data_main[Scenario],$B$3)),SUMIFS(INDIRECT("Data_main"&amp;"["&amp;AA$8&amp;"]"),Data_main[Data],$A13, Data_main[Segment],$B13, Data_main[Scenario],$B$3))</f>
        <v>448.36998631277874</v>
      </c>
      <c r="AB13" s="390">
        <f ca="1">IF($B$6="ON", IF(AB10&gt;=covid_start, IF(AB10&lt;covid_recovery,NA(),SUMIFS(INDIRECT("Data_main"&amp;"["&amp;AB$8&amp;"]"),Data_main[Data],$A13, Data_main[Segment],$B13, Data_main[Scenario],$B$3)),SUMIFS(INDIRECT("Data_main"&amp;"["&amp;AB$8&amp;"]"),Data_main[Data],$A13, Data_main[Segment],$B13, Data_main[Scenario],$B$3)),SUMIFS(INDIRECT("Data_main"&amp;"["&amp;AB$8&amp;"]"),Data_main[Data],$A13, Data_main[Segment],$B13, Data_main[Scenario],$B$3))</f>
        <v>404.34360798657497</v>
      </c>
      <c r="AC13" s="390">
        <f ca="1">IF($B$6="ON", IF(AC10&gt;=covid_start, IF(AC10&lt;covid_recovery,NA(),SUMIFS(INDIRECT("Data_main"&amp;"["&amp;AC$8&amp;"]"),Data_main[Data],$A13, Data_main[Segment],$B13, Data_main[Scenario],$B$3)),SUMIFS(INDIRECT("Data_main"&amp;"["&amp;AC$8&amp;"]"),Data_main[Data],$A13, Data_main[Segment],$B13, Data_main[Scenario],$B$3)),SUMIFS(INDIRECT("Data_main"&amp;"["&amp;AC$8&amp;"]"),Data_main[Data],$A13, Data_main[Segment],$B13, Data_main[Scenario],$B$3))</f>
        <v>361.08866741830911</v>
      </c>
      <c r="AD13" s="390">
        <f ca="1">IF($B$6="ON", IF(AD10&gt;=covid_start, IF(AD10&lt;covid_recovery,NA(),SUMIFS(INDIRECT("Data_main"&amp;"["&amp;AD$8&amp;"]"),Data_main[Data],$A13, Data_main[Segment],$B13, Data_main[Scenario],$B$3)),SUMIFS(INDIRECT("Data_main"&amp;"["&amp;AD$8&amp;"]"),Data_main[Data],$A13, Data_main[Segment],$B13, Data_main[Scenario],$B$3)),SUMIFS(INDIRECT("Data_main"&amp;"["&amp;AD$8&amp;"]"),Data_main[Data],$A13, Data_main[Segment],$B13, Data_main[Scenario],$B$3))</f>
        <v>318.68994456484904</v>
      </c>
      <c r="AE13" s="390">
        <f ca="1">IF($B$6="ON", IF(AE10&gt;=covid_start, IF(AE10&lt;covid_recovery,NA(),SUMIFS(INDIRECT("Data_main"&amp;"["&amp;AE$8&amp;"]"),Data_main[Data],$A13, Data_main[Segment],$B13, Data_main[Scenario],$B$3)),SUMIFS(INDIRECT("Data_main"&amp;"["&amp;AE$8&amp;"]"),Data_main[Data],$A13, Data_main[Segment],$B13, Data_main[Scenario],$B$3)),SUMIFS(INDIRECT("Data_main"&amp;"["&amp;AE$8&amp;"]"),Data_main[Data],$A13, Data_main[Segment],$B13, Data_main[Scenario],$B$3))</f>
        <v>281.50771120611881</v>
      </c>
      <c r="AF13" s="390">
        <f ca="1">IF($B$6="ON", IF(AF10&gt;=covid_start, IF(AF10&lt;covid_recovery,NA(),SUMIFS(INDIRECT("Data_main"&amp;"["&amp;AF$8&amp;"]"),Data_main[Data],$A13, Data_main[Segment],$B13, Data_main[Scenario],$B$3)),SUMIFS(INDIRECT("Data_main"&amp;"["&amp;AF$8&amp;"]"),Data_main[Data],$A13, Data_main[Segment],$B13, Data_main[Scenario],$B$3)),SUMIFS(INDIRECT("Data_main"&amp;"["&amp;AF$8&amp;"]"),Data_main[Data],$A13, Data_main[Segment],$B13, Data_main[Scenario],$B$3))</f>
        <v>245.2956860937569</v>
      </c>
      <c r="AG13" s="390">
        <f ca="1">IF($B$6="ON", IF(AG10&gt;=covid_start, IF(AG10&lt;covid_recovery,NA(),SUMIFS(INDIRECT("Data_main"&amp;"["&amp;AG$8&amp;"]"),Data_main[Data],$A13, Data_main[Segment],$B13, Data_main[Scenario],$B$3)),SUMIFS(INDIRECT("Data_main"&amp;"["&amp;AG$8&amp;"]"),Data_main[Data],$A13, Data_main[Segment],$B13, Data_main[Scenario],$B$3)),SUMIFS(INDIRECT("Data_main"&amp;"["&amp;AG$8&amp;"]"),Data_main[Data],$A13, Data_main[Segment],$B13, Data_main[Scenario],$B$3))</f>
        <v>210.08069445731962</v>
      </c>
      <c r="AH13" s="390">
        <f ca="1">IF($B$6="ON", IF(AH10&gt;=covid_start, IF(AH10&lt;covid_recovery,NA(),SUMIFS(INDIRECT("Data_main"&amp;"["&amp;AH$8&amp;"]"),Data_main[Data],$A13, Data_main[Segment],$B13, Data_main[Scenario],$B$3)),SUMIFS(INDIRECT("Data_main"&amp;"["&amp;AH$8&amp;"]"),Data_main[Data],$A13, Data_main[Segment],$B13, Data_main[Scenario],$B$3)),SUMIFS(INDIRECT("Data_main"&amp;"["&amp;AH$8&amp;"]"),Data_main[Data],$A13, Data_main[Segment],$B13, Data_main[Scenario],$B$3))</f>
        <v>175.85917877142279</v>
      </c>
      <c r="AI13" s="390">
        <f ca="1">IF($B$6="ON", IF(AI10&gt;=covid_start, IF(AI10&lt;covid_recovery,NA(),SUMIFS(INDIRECT("Data_main"&amp;"["&amp;AI$8&amp;"]"),Data_main[Data],$A13, Data_main[Segment],$B13, Data_main[Scenario],$B$3)),SUMIFS(INDIRECT("Data_main"&amp;"["&amp;AI$8&amp;"]"),Data_main[Data],$A13, Data_main[Segment],$B13, Data_main[Scenario],$B$3)),SUMIFS(INDIRECT("Data_main"&amp;"["&amp;AI$8&amp;"]"),Data_main[Data],$A13, Data_main[Segment],$B13, Data_main[Scenario],$B$3))</f>
        <v>142.60213359649836</v>
      </c>
      <c r="AJ13" s="390">
        <f ca="1">IF($B$6="ON", IF(AJ10&gt;=covid_start, IF(AJ10&lt;covid_recovery,NA(),SUMIFS(INDIRECT("Data_main"&amp;"["&amp;AJ$8&amp;"]"),Data_main[Data],$A13, Data_main[Segment],$B13, Data_main[Scenario],$B$3)),SUMIFS(INDIRECT("Data_main"&amp;"["&amp;AJ$8&amp;"]"),Data_main[Data],$A13, Data_main[Segment],$B13, Data_main[Scenario],$B$3)),SUMIFS(INDIRECT("Data_main"&amp;"["&amp;AJ$8&amp;"]"),Data_main[Data],$A13, Data_main[Segment],$B13, Data_main[Scenario],$B$3))</f>
        <v>109.98523210207156</v>
      </c>
      <c r="AK13" s="390">
        <f ca="1">IF($B$6="ON", IF(AK10&gt;=covid_start, IF(AK10&lt;covid_recovery,NA(),SUMIFS(INDIRECT("Data_main"&amp;"["&amp;AK$8&amp;"]"),Data_main[Data],$A13, Data_main[Segment],$B13, Data_main[Scenario],$B$3)),SUMIFS(INDIRECT("Data_main"&amp;"["&amp;AK$8&amp;"]"),Data_main[Data],$A13, Data_main[Segment],$B13, Data_main[Scenario],$B$3)),SUMIFS(INDIRECT("Data_main"&amp;"["&amp;AK$8&amp;"]"),Data_main[Data],$A13, Data_main[Segment],$B13, Data_main[Scenario],$B$3))</f>
        <v>78.212482483134721</v>
      </c>
      <c r="AL13" s="390">
        <f ca="1">IF($B$6="ON", IF(AL10&gt;=covid_start, IF(AL10&lt;covid_recovery,NA(),SUMIFS(INDIRECT("Data_main"&amp;"["&amp;AL$8&amp;"]"),Data_main[Data],$A13, Data_main[Segment],$B13, Data_main[Scenario],$B$3)),SUMIFS(INDIRECT("Data_main"&amp;"["&amp;AL$8&amp;"]"),Data_main[Data],$A13, Data_main[Segment],$B13, Data_main[Scenario],$B$3)),SUMIFS(INDIRECT("Data_main"&amp;"["&amp;AL$8&amp;"]"),Data_main[Data],$A13, Data_main[Segment],$B13, Data_main[Scenario],$B$3))</f>
        <v>47.244620722005763</v>
      </c>
      <c r="AM13" s="390">
        <f ca="1">IF($B$6="ON", IF(AM10&gt;=covid_start, IF(AM10&lt;covid_recovery,NA(),SUMIFS(INDIRECT("Data_main"&amp;"["&amp;AM$8&amp;"]"),Data_main[Data],$A13, Data_main[Segment],$B13, Data_main[Scenario],$B$3)),SUMIFS(INDIRECT("Data_main"&amp;"["&amp;AM$8&amp;"]"),Data_main[Data],$A13, Data_main[Segment],$B13, Data_main[Scenario],$B$3)),SUMIFS(INDIRECT("Data_main"&amp;"["&amp;AM$8&amp;"]"),Data_main[Data],$A13, Data_main[Segment],$B13, Data_main[Scenario],$B$3))</f>
        <v>38.944124677508384</v>
      </c>
      <c r="AN13" s="390">
        <f ca="1">IF($B$6="ON", IF(AN10&gt;=covid_start, IF(AN10&lt;covid_recovery,NA(),SUMIFS(INDIRECT("Data_main"&amp;"["&amp;AN$8&amp;"]"),Data_main[Data],$A13, Data_main[Segment],$B13, Data_main[Scenario],$B$3)),SUMIFS(INDIRECT("Data_main"&amp;"["&amp;AN$8&amp;"]"),Data_main[Data],$A13, Data_main[Segment],$B13, Data_main[Scenario],$B$3)),SUMIFS(INDIRECT("Data_main"&amp;"["&amp;AN$8&amp;"]"),Data_main[Data],$A13, Data_main[Segment],$B13, Data_main[Scenario],$B$3))</f>
        <v>37.636164147114265</v>
      </c>
      <c r="AO13" s="390">
        <f ca="1">IF($B$6="ON", IF(AO10&gt;=covid_start, IF(AO10&lt;covid_recovery,NA(),SUMIFS(INDIRECT("Data_main"&amp;"["&amp;AO$8&amp;"]"),Data_main[Data],$A13, Data_main[Segment],$B13, Data_main[Scenario],$B$3)),SUMIFS(INDIRECT("Data_main"&amp;"["&amp;AO$8&amp;"]"),Data_main[Data],$A13, Data_main[Segment],$B13, Data_main[Scenario],$B$3)),SUMIFS(INDIRECT("Data_main"&amp;"["&amp;AO$8&amp;"]"),Data_main[Data],$A13, Data_main[Segment],$B13, Data_main[Scenario],$B$3))</f>
        <v>0</v>
      </c>
      <c r="AP13" s="390">
        <f ca="1">IF($B$6="ON", IF(AP10&gt;=covid_start, IF(AP10&lt;covid_recovery,NA(),SUMIFS(INDIRECT("Data_main"&amp;"["&amp;AP$8&amp;"]"),Data_main[Data],$A13, Data_main[Segment],$B13, Data_main[Scenario],$B$3)),SUMIFS(INDIRECT("Data_main"&amp;"["&amp;AP$8&amp;"]"),Data_main[Data],$A13, Data_main[Segment],$B13, Data_main[Scenario],$B$3)),SUMIFS(INDIRECT("Data_main"&amp;"["&amp;AP$8&amp;"]"),Data_main[Data],$A13, Data_main[Segment],$B13, Data_main[Scenario],$B$3))</f>
        <v>0</v>
      </c>
      <c r="AQ13" s="390">
        <f ca="1">IF($B$6="ON", IF(AQ10&gt;=covid_start, IF(AQ10&lt;covid_recovery,NA(),SUMIFS(INDIRECT("Data_main"&amp;"["&amp;AQ$8&amp;"]"),Data_main[Data],$A13, Data_main[Segment],$B13, Data_main[Scenario],$B$3)),SUMIFS(INDIRECT("Data_main"&amp;"["&amp;AQ$8&amp;"]"),Data_main[Data],$A13, Data_main[Segment],$B13, Data_main[Scenario],$B$3)),SUMIFS(INDIRECT("Data_main"&amp;"["&amp;AQ$8&amp;"]"),Data_main[Data],$A13, Data_main[Segment],$B13, Data_main[Scenario],$B$3))</f>
        <v>0</v>
      </c>
      <c r="AR13" s="390">
        <f ca="1">IF($B$6="ON", IF(AR10&gt;=covid_start, IF(AR10&lt;covid_recovery,NA(),SUMIFS(INDIRECT("Data_main"&amp;"["&amp;AR$8&amp;"]"),Data_main[Data],$A13, Data_main[Segment],$B13, Data_main[Scenario],$B$3)),SUMIFS(INDIRECT("Data_main"&amp;"["&amp;AR$8&amp;"]"),Data_main[Data],$A13, Data_main[Segment],$B13, Data_main[Scenario],$B$3)),SUMIFS(INDIRECT("Data_main"&amp;"["&amp;AR$8&amp;"]"),Data_main[Data],$A13, Data_main[Segment],$B13, Data_main[Scenario],$B$3))</f>
        <v>0</v>
      </c>
      <c r="AS13" s="390">
        <f ca="1">IF($B$6="ON", IF(AS10&gt;=covid_start, IF(AS10&lt;covid_recovery,NA(),SUMIFS(INDIRECT("Data_main"&amp;"["&amp;AS$8&amp;"]"),Data_main[Data],$A13, Data_main[Segment],$B13, Data_main[Scenario],$B$3)),SUMIFS(INDIRECT("Data_main"&amp;"["&amp;AS$8&amp;"]"),Data_main[Data],$A13, Data_main[Segment],$B13, Data_main[Scenario],$B$3)),SUMIFS(INDIRECT("Data_main"&amp;"["&amp;AS$8&amp;"]"),Data_main[Data],$A13, Data_main[Segment],$B13, Data_main[Scenario],$B$3))</f>
        <v>0</v>
      </c>
      <c r="AT13" s="390">
        <f ca="1">IF($B$6="ON", IF(AT10&gt;=covid_start, IF(AT10&lt;covid_recovery,NA(),SUMIFS(INDIRECT("Data_main"&amp;"["&amp;AT$8&amp;"]"),Data_main[Data],$A13, Data_main[Segment],$B13, Data_main[Scenario],$B$3)),SUMIFS(INDIRECT("Data_main"&amp;"["&amp;AT$8&amp;"]"),Data_main[Data],$A13, Data_main[Segment],$B13, Data_main[Scenario],$B$3)),SUMIFS(INDIRECT("Data_main"&amp;"["&amp;AT$8&amp;"]"),Data_main[Data],$A13, Data_main[Segment],$B13, Data_main[Scenario],$B$3))</f>
        <v>0</v>
      </c>
      <c r="AU13" s="390">
        <f ca="1">IF($B$6="ON", IF(AU10&gt;=covid_start, IF(AU10&lt;covid_recovery,NA(),SUMIFS(INDIRECT("Data_main"&amp;"["&amp;AU$8&amp;"]"),Data_main[Data],$A13, Data_main[Segment],$B13, Data_main[Scenario],$B$3)),SUMIFS(INDIRECT("Data_main"&amp;"["&amp;AU$8&amp;"]"),Data_main[Data],$A13, Data_main[Segment],$B13, Data_main[Scenario],$B$3)),SUMIFS(INDIRECT("Data_main"&amp;"["&amp;AU$8&amp;"]"),Data_main[Data],$A13, Data_main[Segment],$B13, Data_main[Scenario],$B$3))</f>
        <v>0</v>
      </c>
      <c r="AV13" s="390">
        <f ca="1">IF($B$6="ON", IF(AV10&gt;=covid_start, IF(AV10&lt;covid_recovery,NA(),SUMIFS(INDIRECT("Data_main"&amp;"["&amp;AV$8&amp;"]"),Data_main[Data],$A13, Data_main[Segment],$B13, Data_main[Scenario],$B$3)),SUMIFS(INDIRECT("Data_main"&amp;"["&amp;AV$8&amp;"]"),Data_main[Data],$A13, Data_main[Segment],$B13, Data_main[Scenario],$B$3)),SUMIFS(INDIRECT("Data_main"&amp;"["&amp;AV$8&amp;"]"),Data_main[Data],$A13, Data_main[Segment],$B13, Data_main[Scenario],$B$3))</f>
        <v>0</v>
      </c>
      <c r="AW13" s="390">
        <f ca="1">IF($B$6="ON", IF(AW10&gt;=covid_start, IF(AW10&lt;covid_recovery,NA(),SUMIFS(INDIRECT("Data_main"&amp;"["&amp;AW$8&amp;"]"),Data_main[Data],$A13, Data_main[Segment],$B13, Data_main[Scenario],$B$3)),SUMIFS(INDIRECT("Data_main"&amp;"["&amp;AW$8&amp;"]"),Data_main[Data],$A13, Data_main[Segment],$B13, Data_main[Scenario],$B$3)),SUMIFS(INDIRECT("Data_main"&amp;"["&amp;AW$8&amp;"]"),Data_main[Data],$A13, Data_main[Segment],$B13, Data_main[Scenario],$B$3))</f>
        <v>0</v>
      </c>
      <c r="AX13" s="390">
        <f ca="1">IF($B$6="ON", IF(AX10&gt;=covid_start, IF(AX10&lt;covid_recovery,NA(),SUMIFS(INDIRECT("Data_main"&amp;"["&amp;AX$8&amp;"]"),Data_main[Data],$A13, Data_main[Segment],$B13, Data_main[Scenario],$B$3)),SUMIFS(INDIRECT("Data_main"&amp;"["&amp;AX$8&amp;"]"),Data_main[Data],$A13, Data_main[Segment],$B13, Data_main[Scenario],$B$3)),SUMIFS(INDIRECT("Data_main"&amp;"["&amp;AX$8&amp;"]"),Data_main[Data],$A13, Data_main[Segment],$B13, Data_main[Scenario],$B$3))</f>
        <v>0</v>
      </c>
      <c r="AY13" s="390">
        <f ca="1">IF($B$6="ON", IF(AY10&gt;=covid_start, IF(AY10&lt;covid_recovery,NA(),SUMIFS(INDIRECT("Data_main"&amp;"["&amp;AY$8&amp;"]"),Data_main[Data],$A13, Data_main[Segment],$B13, Data_main[Scenario],$B$3)),SUMIFS(INDIRECT("Data_main"&amp;"["&amp;AY$8&amp;"]"),Data_main[Data],$A13, Data_main[Segment],$B13, Data_main[Scenario],$B$3)),SUMIFS(INDIRECT("Data_main"&amp;"["&amp;AY$8&amp;"]"),Data_main[Data],$A13, Data_main[Segment],$B13, Data_main[Scenario],$B$3))</f>
        <v>0</v>
      </c>
      <c r="AZ13" s="390">
        <f ca="1">IF($B$6="ON", IF(AZ10&gt;=covid_start, IF(AZ10&lt;covid_recovery,NA(),SUMIFS(INDIRECT("Data_main"&amp;"["&amp;AZ$8&amp;"]"),Data_main[Data],$A13, Data_main[Segment],$B13, Data_main[Scenario],$B$3)),SUMIFS(INDIRECT("Data_main"&amp;"["&amp;AZ$8&amp;"]"),Data_main[Data],$A13, Data_main[Segment],$B13, Data_main[Scenario],$B$3)),SUMIFS(INDIRECT("Data_main"&amp;"["&amp;AZ$8&amp;"]"),Data_main[Data],$A13, Data_main[Segment],$B13, Data_main[Scenario],$B$3))</f>
        <v>0</v>
      </c>
      <c r="BA13" s="390">
        <f ca="1">IF($B$6="ON", IF(BA10&gt;=covid_start, IF(BA10&lt;covid_recovery,NA(),SUMIFS(INDIRECT("Data_main"&amp;"["&amp;BA$8&amp;"]"),Data_main[Data],$A13, Data_main[Segment],$B13, Data_main[Scenario],$B$3)),SUMIFS(INDIRECT("Data_main"&amp;"["&amp;BA$8&amp;"]"),Data_main[Data],$A13, Data_main[Segment],$B13, Data_main[Scenario],$B$3)),SUMIFS(INDIRECT("Data_main"&amp;"["&amp;BA$8&amp;"]"),Data_main[Data],$A13, Data_main[Segment],$B13, Data_main[Scenario],$B$3))</f>
        <v>0</v>
      </c>
      <c r="BB13" s="390">
        <f ca="1">IF($B$6="ON", IF(BB10&gt;=covid_start, IF(BB10&lt;covid_recovery,NA(),SUMIFS(INDIRECT("Data_main"&amp;"["&amp;BB$8&amp;"]"),Data_main[Data],$A13, Data_main[Segment],$B13, Data_main[Scenario],$B$3)),SUMIFS(INDIRECT("Data_main"&amp;"["&amp;BB$8&amp;"]"),Data_main[Data],$A13, Data_main[Segment],$B13, Data_main[Scenario],$B$3)),SUMIFS(INDIRECT("Data_main"&amp;"["&amp;BB$8&amp;"]"),Data_main[Data],$A13, Data_main[Segment],$B13, Data_main[Scenario],$B$3))</f>
        <v>0</v>
      </c>
      <c r="BC13" s="390">
        <f ca="1">IF($B$6="ON", IF(BC10&gt;=covid_start, IF(BC10&lt;covid_recovery,NA(),SUMIFS(INDIRECT("Data_main"&amp;"["&amp;BC$8&amp;"]"),Data_main[Data],$A13, Data_main[Segment],$B13, Data_main[Scenario],$B$3)),SUMIFS(INDIRECT("Data_main"&amp;"["&amp;BC$8&amp;"]"),Data_main[Data],$A13, Data_main[Segment],$B13, Data_main[Scenario],$B$3)),SUMIFS(INDIRECT("Data_main"&amp;"["&amp;BC$8&amp;"]"),Data_main[Data],$A13, Data_main[Segment],$B13, Data_main[Scenario],$B$3))</f>
        <v>0</v>
      </c>
      <c r="BD13" s="390">
        <f ca="1">IF($B$6="ON", IF(BD10&gt;=covid_start, IF(BD10&lt;covid_recovery,NA(),SUMIFS(INDIRECT("Data_main"&amp;"["&amp;BD$8&amp;"]"),Data_main[Data],$A13, Data_main[Segment],$B13, Data_main[Scenario],$B$3)),SUMIFS(INDIRECT("Data_main"&amp;"["&amp;BD$8&amp;"]"),Data_main[Data],$A13, Data_main[Segment],$B13, Data_main[Scenario],$B$3)),SUMIFS(INDIRECT("Data_main"&amp;"["&amp;BD$8&amp;"]"),Data_main[Data],$A13, Data_main[Segment],$B13, Data_main[Scenario],$B$3))</f>
        <v>0</v>
      </c>
      <c r="BE13" s="390">
        <f ca="1">IF($B$6="ON", IF(BE10&gt;=covid_start, IF(BE10&lt;covid_recovery,NA(),SUMIFS(INDIRECT("Data_main"&amp;"["&amp;BE$8&amp;"]"),Data_main[Data],$A13, Data_main[Segment],$B13, Data_main[Scenario],$B$3)),SUMIFS(INDIRECT("Data_main"&amp;"["&amp;BE$8&amp;"]"),Data_main[Data],$A13, Data_main[Segment],$B13, Data_main[Scenario],$B$3)),SUMIFS(INDIRECT("Data_main"&amp;"["&amp;BE$8&amp;"]"),Data_main[Data],$A13, Data_main[Segment],$B13, Data_main[Scenario],$B$3))</f>
        <v>0</v>
      </c>
      <c r="BF13" s="390">
        <f ca="1">IF($B$6="ON", IF(BF10&gt;=covid_start, IF(BF10&lt;covid_recovery,NA(),SUMIFS(INDIRECT("Data_main"&amp;"["&amp;BF$8&amp;"]"),Data_main[Data],$A13, Data_main[Segment],$B13, Data_main[Scenario],$B$3)),SUMIFS(INDIRECT("Data_main"&amp;"["&amp;BF$8&amp;"]"),Data_main[Data],$A13, Data_main[Segment],$B13, Data_main[Scenario],$B$3)),SUMIFS(INDIRECT("Data_main"&amp;"["&amp;BF$8&amp;"]"),Data_main[Data],$A13, Data_main[Segment],$B13, Data_main[Scenario],$B$3))</f>
        <v>0</v>
      </c>
      <c r="BG13" s="390">
        <f ca="1">IF($B$6="ON", IF(BG10&gt;=covid_start, IF(BG10&lt;covid_recovery,NA(),SUMIFS(INDIRECT("Data_main"&amp;"["&amp;BG$8&amp;"]"),Data_main[Data],$A13, Data_main[Segment],$B13, Data_main[Scenario],$B$3)),SUMIFS(INDIRECT("Data_main"&amp;"["&amp;BG$8&amp;"]"),Data_main[Data],$A13, Data_main[Segment],$B13, Data_main[Scenario],$B$3)),SUMIFS(INDIRECT("Data_main"&amp;"["&amp;BG$8&amp;"]"),Data_main[Data],$A13, Data_main[Segment],$B13, Data_main[Scenario],$B$3))</f>
        <v>0</v>
      </c>
      <c r="BH13" s="390">
        <f ca="1">IF($B$6="ON", IF(BH10&gt;=covid_start, IF(BH10&lt;covid_recovery,NA(),SUMIFS(INDIRECT("Data_main"&amp;"["&amp;BH$8&amp;"]"),Data_main[Data],$A13, Data_main[Segment],$B13, Data_main[Scenario],$B$3)),SUMIFS(INDIRECT("Data_main"&amp;"["&amp;BH$8&amp;"]"),Data_main[Data],$A13, Data_main[Segment],$B13, Data_main[Scenario],$B$3)),SUMIFS(INDIRECT("Data_main"&amp;"["&amp;BH$8&amp;"]"),Data_main[Data],$A13, Data_main[Segment],$B13, Data_main[Scenario],$B$3))</f>
        <v>0</v>
      </c>
      <c r="BI13" s="390">
        <f ca="1">IF($B$6="ON", IF(BI10&gt;=covid_start, IF(BI10&lt;covid_recovery,NA(),SUMIFS(INDIRECT("Data_main"&amp;"["&amp;BI$8&amp;"]"),Data_main[Data],$A13, Data_main[Segment],$B13, Data_main[Scenario],$B$3)),SUMIFS(INDIRECT("Data_main"&amp;"["&amp;BI$8&amp;"]"),Data_main[Data],$A13, Data_main[Segment],$B13, Data_main[Scenario],$B$3)),SUMIFS(INDIRECT("Data_main"&amp;"["&amp;BI$8&amp;"]"),Data_main[Data],$A13, Data_main[Segment],$B13, Data_main[Scenario],$B$3))</f>
        <v>0</v>
      </c>
      <c r="BJ13" s="390">
        <f ca="1">IF($B$6="ON", IF(BJ10&gt;=covid_start, IF(BJ10&lt;covid_recovery,NA(),SUMIFS(INDIRECT("Data_main"&amp;"["&amp;BJ$8&amp;"]"),Data_main[Data],$A13, Data_main[Segment],$B13, Data_main[Scenario],$B$3)),SUMIFS(INDIRECT("Data_main"&amp;"["&amp;BJ$8&amp;"]"),Data_main[Data],$A13, Data_main[Segment],$B13, Data_main[Scenario],$B$3)),SUMIFS(INDIRECT("Data_main"&amp;"["&amp;BJ$8&amp;"]"),Data_main[Data],$A13, Data_main[Segment],$B13, Data_main[Scenario],$B$3))</f>
        <v>0</v>
      </c>
      <c r="BK13" s="390">
        <f ca="1">IF($B$6="ON", IF(BK10&gt;=covid_start, IF(BK10&lt;covid_recovery,NA(),SUMIFS(INDIRECT("Data_main"&amp;"["&amp;BK$8&amp;"]"),Data_main[Data],$A13, Data_main[Segment],$B13, Data_main[Scenario],$B$3)),SUMIFS(INDIRECT("Data_main"&amp;"["&amp;BK$8&amp;"]"),Data_main[Data],$A13, Data_main[Segment],$B13, Data_main[Scenario],$B$3)),SUMIFS(INDIRECT("Data_main"&amp;"["&amp;BK$8&amp;"]"),Data_main[Data],$A13, Data_main[Segment],$B13, Data_main[Scenario],$B$3))</f>
        <v>0</v>
      </c>
      <c r="BL13" s="390">
        <f ca="1">IF($B$6="ON", IF(BL10&gt;=covid_start, IF(BL10&lt;covid_recovery,NA(),SUMIFS(INDIRECT("Data_main"&amp;"["&amp;BL$8&amp;"]"),Data_main[Data],$A13, Data_main[Segment],$B13, Data_main[Scenario],$B$3)),SUMIFS(INDIRECT("Data_main"&amp;"["&amp;BL$8&amp;"]"),Data_main[Data],$A13, Data_main[Segment],$B13, Data_main[Scenario],$B$3)),SUMIFS(INDIRECT("Data_main"&amp;"["&amp;BL$8&amp;"]"),Data_main[Data],$A13, Data_main[Segment],$B13, Data_main[Scenario],$B$3))</f>
        <v>0</v>
      </c>
      <c r="BM13" s="390">
        <f ca="1">IF($B$6="ON", IF(BM10&gt;=covid_start, IF(BM10&lt;covid_recovery,NA(),SUMIFS(INDIRECT("Data_main"&amp;"["&amp;BM$8&amp;"]"),Data_main[Data],$A13, Data_main[Segment],$B13, Data_main[Scenario],$B$3)),SUMIFS(INDIRECT("Data_main"&amp;"["&amp;BM$8&amp;"]"),Data_main[Data],$A13, Data_main[Segment],$B13, Data_main[Scenario],$B$3)),SUMIFS(INDIRECT("Data_main"&amp;"["&amp;BM$8&amp;"]"),Data_main[Data],$A13, Data_main[Segment],$B13, Data_main[Scenario],$B$3))</f>
        <v>0</v>
      </c>
      <c r="BN13" s="390">
        <f ca="1">IF($B$6="ON", IF(BN10&gt;=covid_start, IF(BN10&lt;covid_recovery,NA(),SUMIFS(INDIRECT("Data_main"&amp;"["&amp;BN$8&amp;"]"),Data_main[Data],$A13, Data_main[Segment],$B13, Data_main[Scenario],$B$3)),SUMIFS(INDIRECT("Data_main"&amp;"["&amp;BN$8&amp;"]"),Data_main[Data],$A13, Data_main[Segment],$B13, Data_main[Scenario],$B$3)),SUMIFS(INDIRECT("Data_main"&amp;"["&amp;BN$8&amp;"]"),Data_main[Data],$A13, Data_main[Segment],$B13, Data_main[Scenario],$B$3))</f>
        <v>0</v>
      </c>
      <c r="BO13" s="390">
        <f ca="1">IF($B$6="ON", IF(BO10&gt;=covid_start, IF(BO10&lt;covid_recovery,NA(),SUMIFS(INDIRECT("Data_main"&amp;"["&amp;BO$8&amp;"]"),Data_main[Data],$A13, Data_main[Segment],$B13, Data_main[Scenario],$B$3)),SUMIFS(INDIRECT("Data_main"&amp;"["&amp;BO$8&amp;"]"),Data_main[Data],$A13, Data_main[Segment],$B13, Data_main[Scenario],$B$3)),SUMIFS(INDIRECT("Data_main"&amp;"["&amp;BO$8&amp;"]"),Data_main[Data],$A13, Data_main[Segment],$B13, Data_main[Scenario],$B$3))</f>
        <v>0</v>
      </c>
      <c r="BP13" s="390">
        <f ca="1">IF($B$6="ON", IF(BP10&gt;=covid_start, IF(BP10&lt;covid_recovery,NA(),SUMIFS(INDIRECT("Data_main"&amp;"["&amp;BP$8&amp;"]"),Data_main[Data],$A13, Data_main[Segment],$B13, Data_main[Scenario],$B$3)),SUMIFS(INDIRECT("Data_main"&amp;"["&amp;BP$8&amp;"]"),Data_main[Data],$A13, Data_main[Segment],$B13, Data_main[Scenario],$B$3)),SUMIFS(INDIRECT("Data_main"&amp;"["&amp;BP$8&amp;"]"),Data_main[Data],$A13, Data_main[Segment],$B13, Data_main[Scenario],$B$3))</f>
        <v>0</v>
      </c>
      <c r="BQ13" s="390">
        <f ca="1">IF($B$6="ON", IF(BQ10&gt;=covid_start, IF(BQ10&lt;covid_recovery,NA(),SUMIFS(INDIRECT("Data_main"&amp;"["&amp;BQ$8&amp;"]"),Data_main[Data],$A13, Data_main[Segment],$B13, Data_main[Scenario],$B$3)),SUMIFS(INDIRECT("Data_main"&amp;"["&amp;BQ$8&amp;"]"),Data_main[Data],$A13, Data_main[Segment],$B13, Data_main[Scenario],$B$3)),SUMIFS(INDIRECT("Data_main"&amp;"["&amp;BQ$8&amp;"]"),Data_main[Data],$A13, Data_main[Segment],$B13, Data_main[Scenario],$B$3))</f>
        <v>0</v>
      </c>
      <c r="BR13" s="390">
        <f ca="1">IF($B$6="ON", IF(BR10&gt;=covid_start, IF(BR10&lt;covid_recovery,NA(),SUMIFS(INDIRECT("Data_main"&amp;"["&amp;BR$8&amp;"]"),Data_main[Data],$A13, Data_main[Segment],$B13, Data_main[Scenario],$B$3)),SUMIFS(INDIRECT("Data_main"&amp;"["&amp;BR$8&amp;"]"),Data_main[Data],$A13, Data_main[Segment],$B13, Data_main[Scenario],$B$3)),SUMIFS(INDIRECT("Data_main"&amp;"["&amp;BR$8&amp;"]"),Data_main[Data],$A13, Data_main[Segment],$B13, Data_main[Scenario],$B$3))</f>
        <v>0</v>
      </c>
      <c r="BS13" s="390">
        <f ca="1">IF($B$6="ON", IF(BS10&gt;=covid_start, IF(BS10&lt;covid_recovery,NA(),SUMIFS(INDIRECT("Data_main"&amp;"["&amp;BS$8&amp;"]"),Data_main[Data],$A13, Data_main[Segment],$B13, Data_main[Scenario],$B$3)),SUMIFS(INDIRECT("Data_main"&amp;"["&amp;BS$8&amp;"]"),Data_main[Data],$A13, Data_main[Segment],$B13, Data_main[Scenario],$B$3)),SUMIFS(INDIRECT("Data_main"&amp;"["&amp;BS$8&amp;"]"),Data_main[Data],$A13, Data_main[Segment],$B13, Data_main[Scenario],$B$3))</f>
        <v>0</v>
      </c>
      <c r="BT13" s="390">
        <f ca="1">IF($B$6="ON", IF(BT10&gt;=covid_start, IF(BT10&lt;covid_recovery,NA(),SUMIFS(INDIRECT("Data_main"&amp;"["&amp;BT$8&amp;"]"),Data_main[Data],$A13, Data_main[Segment],$B13, Data_main[Scenario],$B$3)),SUMIFS(INDIRECT("Data_main"&amp;"["&amp;BT$8&amp;"]"),Data_main[Data],$A13, Data_main[Segment],$B13, Data_main[Scenario],$B$3)),SUMIFS(INDIRECT("Data_main"&amp;"["&amp;BT$8&amp;"]"),Data_main[Data],$A13, Data_main[Segment],$B13, Data_main[Scenario],$B$3))</f>
        <v>0</v>
      </c>
      <c r="BU13" s="390">
        <f ca="1">IF($B$6="ON", IF(BU10&gt;=covid_start, IF(BU10&lt;covid_recovery,NA(),SUMIFS(INDIRECT("Data_main"&amp;"["&amp;BU$8&amp;"]"),Data_main[Data],$A13, Data_main[Segment],$B13, Data_main[Scenario],$B$3)),SUMIFS(INDIRECT("Data_main"&amp;"["&amp;BU$8&amp;"]"),Data_main[Data],$A13, Data_main[Segment],$B13, Data_main[Scenario],$B$3)),SUMIFS(INDIRECT("Data_main"&amp;"["&amp;BU$8&amp;"]"),Data_main[Data],$A13, Data_main[Segment],$B13, Data_main[Scenario],$B$3))</f>
        <v>0</v>
      </c>
      <c r="BV13" s="390">
        <f ca="1">IF($B$6="ON", IF(BV10&gt;=covid_start, IF(BV10&lt;covid_recovery,NA(),SUMIFS(INDIRECT("Data_main"&amp;"["&amp;BV$8&amp;"]"),Data_main[Data],$A13, Data_main[Segment],$B13, Data_main[Scenario],$B$3)),SUMIFS(INDIRECT("Data_main"&amp;"["&amp;BV$8&amp;"]"),Data_main[Data],$A13, Data_main[Segment],$B13, Data_main[Scenario],$B$3)),SUMIFS(INDIRECT("Data_main"&amp;"["&amp;BV$8&amp;"]"),Data_main[Data],$A13, Data_main[Segment],$B13, Data_main[Scenario],$B$3))</f>
        <v>0</v>
      </c>
      <c r="BW13" s="390">
        <f ca="1">IF($B$6="ON", IF(BW10&gt;=covid_start, IF(BW10&lt;covid_recovery,NA(),SUMIFS(INDIRECT("Data_main"&amp;"["&amp;BW$8&amp;"]"),Data_main[Data],$A13, Data_main[Segment],$B13, Data_main[Scenario],$B$3)),SUMIFS(INDIRECT("Data_main"&amp;"["&amp;BW$8&amp;"]"),Data_main[Data],$A13, Data_main[Segment],$B13, Data_main[Scenario],$B$3)),SUMIFS(INDIRECT("Data_main"&amp;"["&amp;BW$8&amp;"]"),Data_main[Data],$A13, Data_main[Segment],$B13, Data_main[Scenario],$B$3))</f>
        <v>0</v>
      </c>
      <c r="BX13" s="390">
        <f ca="1">IF($B$6="ON", IF(BX10&gt;=covid_start, IF(BX10&lt;covid_recovery,NA(),SUMIFS(INDIRECT("Data_main"&amp;"["&amp;BX$8&amp;"]"),Data_main[Data],$A13, Data_main[Segment],$B13, Data_main[Scenario],$B$3)),SUMIFS(INDIRECT("Data_main"&amp;"["&amp;BX$8&amp;"]"),Data_main[Data],$A13, Data_main[Segment],$B13, Data_main[Scenario],$B$3)),SUMIFS(INDIRECT("Data_main"&amp;"["&amp;BX$8&amp;"]"),Data_main[Data],$A13, Data_main[Segment],$B13, Data_main[Scenario],$B$3))</f>
        <v>0</v>
      </c>
      <c r="BY13" s="390">
        <f ca="1">IF($B$6="ON", IF(BY10&gt;=covid_start, IF(BY10&lt;covid_recovery,NA(),SUMIFS(INDIRECT("Data_main"&amp;"["&amp;BY$8&amp;"]"),Data_main[Data],$A13, Data_main[Segment],$B13, Data_main[Scenario],$B$3)),SUMIFS(INDIRECT("Data_main"&amp;"["&amp;BY$8&amp;"]"),Data_main[Data],$A13, Data_main[Segment],$B13, Data_main[Scenario],$B$3)),SUMIFS(INDIRECT("Data_main"&amp;"["&amp;BY$8&amp;"]"),Data_main[Data],$A13, Data_main[Segment],$B13, Data_main[Scenario],$B$3))</f>
        <v>0</v>
      </c>
      <c r="BZ13" s="390">
        <f ca="1">IF($B$6="ON", IF(BZ10&gt;=covid_start, IF(BZ10&lt;covid_recovery,NA(),SUMIFS(INDIRECT("Data_main"&amp;"["&amp;BZ$8&amp;"]"),Data_main[Data],$A13, Data_main[Segment],$B13, Data_main[Scenario],$B$3)),SUMIFS(INDIRECT("Data_main"&amp;"["&amp;BZ$8&amp;"]"),Data_main[Data],$A13, Data_main[Segment],$B13, Data_main[Scenario],$B$3)),SUMIFS(INDIRECT("Data_main"&amp;"["&amp;BZ$8&amp;"]"),Data_main[Data],$A13, Data_main[Segment],$B13, Data_main[Scenario],$B$3))</f>
        <v>0</v>
      </c>
      <c r="CA13" s="390">
        <f ca="1">IF($B$6="ON", IF(CA10&gt;=covid_start, IF(CA10&lt;covid_recovery,NA(),SUMIFS(INDIRECT("Data_main"&amp;"["&amp;CA$8&amp;"]"),Data_main[Data],$A13, Data_main[Segment],$B13, Data_main[Scenario],$B$3)),SUMIFS(INDIRECT("Data_main"&amp;"["&amp;CA$8&amp;"]"),Data_main[Data],$A13, Data_main[Segment],$B13, Data_main[Scenario],$B$3)),SUMIFS(INDIRECT("Data_main"&amp;"["&amp;CA$8&amp;"]"),Data_main[Data],$A13, Data_main[Segment],$B13, Data_main[Scenario],$B$3))</f>
        <v>0</v>
      </c>
      <c r="CB13" s="390">
        <f ca="1">IF($B$6="ON", IF(CB10&gt;=covid_start, IF(CB10&lt;covid_recovery,NA(),SUMIFS(INDIRECT("Data_main"&amp;"["&amp;CB$8&amp;"]"),Data_main[Data],$A13, Data_main[Segment],$B13, Data_main[Scenario],$B$3)),SUMIFS(INDIRECT("Data_main"&amp;"["&amp;CB$8&amp;"]"),Data_main[Data],$A13, Data_main[Segment],$B13, Data_main[Scenario],$B$3)),SUMIFS(INDIRECT("Data_main"&amp;"["&amp;CB$8&amp;"]"),Data_main[Data],$A13, Data_main[Segment],$B13, Data_main[Scenario],$B$3))</f>
        <v>0</v>
      </c>
      <c r="CC13" s="390">
        <f ca="1">IF($B$6="ON", IF(CC10&gt;=covid_start, IF(CC10&lt;covid_recovery,NA(),SUMIFS(INDIRECT("Data_main"&amp;"["&amp;CC$8&amp;"]"),Data_main[Data],$A13, Data_main[Segment],$B13, Data_main[Scenario],$B$3)),SUMIFS(INDIRECT("Data_main"&amp;"["&amp;CC$8&amp;"]"),Data_main[Data],$A13, Data_main[Segment],$B13, Data_main[Scenario],$B$3)),SUMIFS(INDIRECT("Data_main"&amp;"["&amp;CC$8&amp;"]"),Data_main[Data],$A13, Data_main[Segment],$B13, Data_main[Scenario],$B$3))</f>
        <v>0</v>
      </c>
      <c r="CD13" s="390">
        <f ca="1">IF($B$6="ON", IF(CD10&gt;=covid_start, IF(CD10&lt;covid_recovery,NA(),SUMIFS(INDIRECT("Data_main"&amp;"["&amp;CD$8&amp;"]"),Data_main[Data],$A13, Data_main[Segment],$B13, Data_main[Scenario],$B$3)),SUMIFS(INDIRECT("Data_main"&amp;"["&amp;CD$8&amp;"]"),Data_main[Data],$A13, Data_main[Segment],$B13, Data_main[Scenario],$B$3)),SUMIFS(INDIRECT("Data_main"&amp;"["&amp;CD$8&amp;"]"),Data_main[Data],$A13, Data_main[Segment],$B13, Data_main[Scenario],$B$3))</f>
        <v>0</v>
      </c>
      <c r="CE13" s="390">
        <f ca="1">IF($B$6="ON", IF(CE10&gt;=covid_start, IF(CE10&lt;covid_recovery,NA(),SUMIFS(INDIRECT("Data_main"&amp;"["&amp;CE$8&amp;"]"),Data_main[Data],$A13, Data_main[Segment],$B13, Data_main[Scenario],$B$3)),SUMIFS(INDIRECT("Data_main"&amp;"["&amp;CE$8&amp;"]"),Data_main[Data],$A13, Data_main[Segment],$B13, Data_main[Scenario],$B$3)),SUMIFS(INDIRECT("Data_main"&amp;"["&amp;CE$8&amp;"]"),Data_main[Data],$A13, Data_main[Segment],$B13, Data_main[Scenario],$B$3))</f>
        <v>0</v>
      </c>
      <c r="CF13" s="390">
        <f ca="1">IF($B$6="ON", IF(CF10&gt;=covid_start, IF(CF10&lt;covid_recovery,NA(),SUMIFS(INDIRECT("Data_main"&amp;"["&amp;CF$8&amp;"]"),Data_main[Data],$A13, Data_main[Segment],$B13, Data_main[Scenario],$B$3)),SUMIFS(INDIRECT("Data_main"&amp;"["&amp;CF$8&amp;"]"),Data_main[Data],$A13, Data_main[Segment],$B13, Data_main[Scenario],$B$3)),SUMIFS(INDIRECT("Data_main"&amp;"["&amp;CF$8&amp;"]"),Data_main[Data],$A13, Data_main[Segment],$B13, Data_main[Scenario],$B$3))</f>
        <v>0</v>
      </c>
      <c r="CG13" s="390">
        <f ca="1">IF($B$6="ON", IF(CG10&gt;=covid_start, IF(CG10&lt;covid_recovery,NA(),SUMIFS(INDIRECT("Data_main"&amp;"["&amp;CG$8&amp;"]"),Data_main[Data],$A13, Data_main[Segment],$B13, Data_main[Scenario],$B$3)),SUMIFS(INDIRECT("Data_main"&amp;"["&amp;CG$8&amp;"]"),Data_main[Data],$A13, Data_main[Segment],$B13, Data_main[Scenario],$B$3)),SUMIFS(INDIRECT("Data_main"&amp;"["&amp;CG$8&amp;"]"),Data_main[Data],$A13, Data_main[Segment],$B13, Data_main[Scenario],$B$3))</f>
        <v>0</v>
      </c>
      <c r="CH13" s="390">
        <f ca="1">IF($B$6="ON", IF(CH10&gt;=covid_start, IF(CH10&lt;covid_recovery,NA(),SUMIFS(INDIRECT("Data_main"&amp;"["&amp;CH$8&amp;"]"),Data_main[Data],$A13, Data_main[Segment],$B13, Data_main[Scenario],$B$3)),SUMIFS(INDIRECT("Data_main"&amp;"["&amp;CH$8&amp;"]"),Data_main[Data],$A13, Data_main[Segment],$B13, Data_main[Scenario],$B$3)),SUMIFS(INDIRECT("Data_main"&amp;"["&amp;CH$8&amp;"]"),Data_main[Data],$A13, Data_main[Segment],$B13, Data_main[Scenario],$B$3))</f>
        <v>0</v>
      </c>
      <c r="CI13" s="390">
        <f ca="1">IF($B$6="ON", IF(CI10&gt;=covid_start, IF(CI10&lt;covid_recovery,NA(),SUMIFS(INDIRECT("Data_main"&amp;"["&amp;CI$8&amp;"]"),Data_main[Data],$A13, Data_main[Segment],$B13, Data_main[Scenario],$B$3)),SUMIFS(INDIRECT("Data_main"&amp;"["&amp;CI$8&amp;"]"),Data_main[Data],$A13, Data_main[Segment],$B13, Data_main[Scenario],$B$3)),SUMIFS(INDIRECT("Data_main"&amp;"["&amp;CI$8&amp;"]"),Data_main[Data],$A13, Data_main[Segment],$B13, Data_main[Scenario],$B$3))</f>
        <v>0</v>
      </c>
      <c r="CJ13" s="390">
        <f ca="1">IF($B$6="ON", IF(CJ10&gt;=covid_start, IF(CJ10&lt;covid_recovery,NA(),SUMIFS(INDIRECT("Data_main"&amp;"["&amp;CJ$8&amp;"]"),Data_main[Data],$A13, Data_main[Segment],$B13, Data_main[Scenario],$B$3)),SUMIFS(INDIRECT("Data_main"&amp;"["&amp;CJ$8&amp;"]"),Data_main[Data],$A13, Data_main[Segment],$B13, Data_main[Scenario],$B$3)),SUMIFS(INDIRECT("Data_main"&amp;"["&amp;CJ$8&amp;"]"),Data_main[Data],$A13, Data_main[Segment],$B13, Data_main[Scenario],$B$3))</f>
        <v>0</v>
      </c>
      <c r="CK13" s="390">
        <f ca="1">IF($B$6="ON", IF(CK10&gt;=covid_start, IF(CK10&lt;covid_recovery,NA(),SUMIFS(INDIRECT("Data_main"&amp;"["&amp;CK$8&amp;"]"),Data_main[Data],$A13, Data_main[Segment],$B13, Data_main[Scenario],$B$3)),SUMIFS(INDIRECT("Data_main"&amp;"["&amp;CK$8&amp;"]"),Data_main[Data],$A13, Data_main[Segment],$B13, Data_main[Scenario],$B$3)),SUMIFS(INDIRECT("Data_main"&amp;"["&amp;CK$8&amp;"]"),Data_main[Data],$A13, Data_main[Segment],$B13, Data_main[Scenario],$B$3))</f>
        <v>0</v>
      </c>
      <c r="CL13" s="390">
        <f ca="1">IF($B$6="ON", IF(CL10&gt;=covid_start, IF(CL10&lt;covid_recovery,NA(),SUMIFS(INDIRECT("Data_main"&amp;"["&amp;CL$8&amp;"]"),Data_main[Data],$A13, Data_main[Segment],$B13, Data_main[Scenario],$B$3)),SUMIFS(INDIRECT("Data_main"&amp;"["&amp;CL$8&amp;"]"),Data_main[Data],$A13, Data_main[Segment],$B13, Data_main[Scenario],$B$3)),SUMIFS(INDIRECT("Data_main"&amp;"["&amp;CL$8&amp;"]"),Data_main[Data],$A13, Data_main[Segment],$B13, Data_main[Scenario],$B$3))</f>
        <v>0</v>
      </c>
      <c r="CN13" s="391">
        <f ca="1">IFERROR((Y13/H13)^(1/17)-1,"")</f>
        <v>-3.9967834224736931E-2</v>
      </c>
      <c r="CO13" s="391">
        <f ca="1">IFERROR((AN13/Y13)^(1/15)-1,"")</f>
        <v>-0.16254809603935949</v>
      </c>
      <c r="CP13" s="391">
        <f ca="1">IFERROR((AN13/H13)^(1/32)-1,"")</f>
        <v>-9.9514417170442848E-2</v>
      </c>
    </row>
    <row r="14" spans="1:94" hidden="1" outlineLevel="1">
      <c r="A14" s="394"/>
      <c r="B14" s="394" t="s">
        <v>26</v>
      </c>
      <c r="C14" s="395" t="s">
        <v>293</v>
      </c>
      <c r="D14" s="395" t="s">
        <v>294</v>
      </c>
      <c r="E14" s="396">
        <f t="shared" ref="E14:AJ14" ca="1" si="18">(E13-INDEX($E10:$CL13,4,MATCH($B$5,$E10:$CL10,0)))/(INDEX($E10:$CL13,4,MATCH($B$4,$E10:$CL10,0))-INDEX($E10:$CL13,4,MATCH($B$5,$E10:$CL10,0)))</f>
        <v>1.0579842814744285</v>
      </c>
      <c r="F14" s="397">
        <f t="shared" ca="1" si="18"/>
        <v>1.0194426572975688</v>
      </c>
      <c r="G14" s="397">
        <f t="shared" ca="1" si="18"/>
        <v>0.9852730113089917</v>
      </c>
      <c r="H14" s="397">
        <f t="shared" ca="1" si="18"/>
        <v>0.95477136683008801</v>
      </c>
      <c r="I14" s="397">
        <f t="shared" ca="1" si="18"/>
        <v>1</v>
      </c>
      <c r="J14" s="397" t="e">
        <f t="shared" ca="1" si="18"/>
        <v>#N/A</v>
      </c>
      <c r="K14" s="397" t="e">
        <f t="shared" ca="1" si="18"/>
        <v>#N/A</v>
      </c>
      <c r="L14" s="397" t="e">
        <f t="shared" ca="1" si="18"/>
        <v>#N/A</v>
      </c>
      <c r="M14" s="397">
        <f t="shared" ca="1" si="18"/>
        <v>0.86639369390354393</v>
      </c>
      <c r="N14" s="397">
        <f t="shared" ca="1" si="18"/>
        <v>0.83766102053457558</v>
      </c>
      <c r="O14" s="397">
        <f t="shared" ca="1" si="18"/>
        <v>0.81049116847242475</v>
      </c>
      <c r="P14" s="397">
        <f t="shared" ca="1" si="18"/>
        <v>0.78476000661911327</v>
      </c>
      <c r="Q14" s="397">
        <f t="shared" ca="1" si="18"/>
        <v>0.760356210713242</v>
      </c>
      <c r="R14" s="397">
        <f t="shared" ca="1" si="18"/>
        <v>0.73717965322782897</v>
      </c>
      <c r="S14" s="397">
        <f t="shared" ca="1" si="18"/>
        <v>0.71514003022058104</v>
      </c>
      <c r="T14" s="397">
        <f t="shared" ca="1" si="18"/>
        <v>0.69415568542733408</v>
      </c>
      <c r="U14" s="397">
        <f t="shared" ca="1" si="18"/>
        <v>0.66525342967239554</v>
      </c>
      <c r="V14" s="397">
        <f t="shared" ca="1" si="18"/>
        <v>0.58526025833049711</v>
      </c>
      <c r="W14" s="397">
        <f t="shared" ca="1" si="18"/>
        <v>0.54273519598826026</v>
      </c>
      <c r="X14" s="397">
        <f t="shared" ca="1" si="18"/>
        <v>0.50200229319896206</v>
      </c>
      <c r="Y14" s="397">
        <f t="shared" ca="1" si="18"/>
        <v>0.4599774945631091</v>
      </c>
      <c r="Z14" s="397">
        <f t="shared" ca="1" si="18"/>
        <v>0.41826564900153523</v>
      </c>
      <c r="AA14" s="397">
        <f t="shared" ca="1" si="18"/>
        <v>0.37718483622760618</v>
      </c>
      <c r="AB14" s="397">
        <f t="shared" ca="1" si="18"/>
        <v>0.3367545589957352</v>
      </c>
      <c r="AC14" s="397">
        <f t="shared" ca="1" si="18"/>
        <v>0.29703270802117465</v>
      </c>
      <c r="AD14" s="397">
        <f t="shared" ca="1" si="18"/>
        <v>0.25809713838286091</v>
      </c>
      <c r="AE14" s="397">
        <f t="shared" ca="1" si="18"/>
        <v>0.22395197223598179</v>
      </c>
      <c r="AF14" s="397">
        <f t="shared" ca="1" si="18"/>
        <v>0.19069776714164907</v>
      </c>
      <c r="AG14" s="397">
        <f t="shared" ca="1" si="18"/>
        <v>0.15835915722851474</v>
      </c>
      <c r="AH14" s="397">
        <f t="shared" ca="1" si="18"/>
        <v>0.1269328755520103</v>
      </c>
      <c r="AI14" s="397">
        <f t="shared" ca="1" si="18"/>
        <v>9.6392285854338705E-2</v>
      </c>
      <c r="AJ14" s="397">
        <f t="shared" ca="1" si="18"/>
        <v>6.6439552515847697E-2</v>
      </c>
      <c r="AK14" s="397">
        <f t="shared" ref="AK14:BP14" ca="1" si="19">(AK13-INDEX($E10:$CL13,4,MATCH($B$5,$E10:$CL10,0)))/(INDEX($E10:$CL13,4,MATCH($B$4,$E10:$CL10,0))-INDEX($E10:$CL13,4,MATCH($B$5,$E10:$CL10,0)))</f>
        <v>3.7262020219309078E-2</v>
      </c>
      <c r="AL14" s="397">
        <f t="shared" ca="1" si="19"/>
        <v>8.8236320556497848E-3</v>
      </c>
      <c r="AM14" s="397">
        <f t="shared" ca="1" si="19"/>
        <v>1.2011255266187817E-3</v>
      </c>
      <c r="AN14" s="397">
        <f t="shared" ca="1" si="19"/>
        <v>0</v>
      </c>
      <c r="AO14" s="397">
        <f t="shared" ca="1" si="19"/>
        <v>-3.4562019595111154E-2</v>
      </c>
      <c r="AP14" s="397">
        <f t="shared" ca="1" si="19"/>
        <v>-3.4562019595111154E-2</v>
      </c>
      <c r="AQ14" s="397">
        <f t="shared" ca="1" si="19"/>
        <v>-3.4562019595111154E-2</v>
      </c>
      <c r="AR14" s="397">
        <f t="shared" ca="1" si="19"/>
        <v>-3.4562019595111154E-2</v>
      </c>
      <c r="AS14" s="397">
        <f t="shared" ca="1" si="19"/>
        <v>-3.4562019595111154E-2</v>
      </c>
      <c r="AT14" s="397">
        <f t="shared" ca="1" si="19"/>
        <v>-3.4562019595111154E-2</v>
      </c>
      <c r="AU14" s="397">
        <f t="shared" ca="1" si="19"/>
        <v>-3.4562019595111154E-2</v>
      </c>
      <c r="AV14" s="397">
        <f t="shared" ca="1" si="19"/>
        <v>-3.4562019595111154E-2</v>
      </c>
      <c r="AW14" s="397">
        <f t="shared" ca="1" si="19"/>
        <v>-3.4562019595111154E-2</v>
      </c>
      <c r="AX14" s="397">
        <f t="shared" ca="1" si="19"/>
        <v>-3.4562019595111154E-2</v>
      </c>
      <c r="AY14" s="397">
        <f t="shared" ca="1" si="19"/>
        <v>-3.4562019595111154E-2</v>
      </c>
      <c r="AZ14" s="397">
        <f t="shared" ca="1" si="19"/>
        <v>-3.4562019595111154E-2</v>
      </c>
      <c r="BA14" s="397">
        <f t="shared" ca="1" si="19"/>
        <v>-3.4562019595111154E-2</v>
      </c>
      <c r="BB14" s="397">
        <f t="shared" ca="1" si="19"/>
        <v>-3.4562019595111154E-2</v>
      </c>
      <c r="BC14" s="397">
        <f t="shared" ca="1" si="19"/>
        <v>-3.4562019595111154E-2</v>
      </c>
      <c r="BD14" s="397">
        <f t="shared" ca="1" si="19"/>
        <v>-3.4562019595111154E-2</v>
      </c>
      <c r="BE14" s="397">
        <f t="shared" ca="1" si="19"/>
        <v>-3.4562019595111154E-2</v>
      </c>
      <c r="BF14" s="397">
        <f t="shared" ca="1" si="19"/>
        <v>-3.4562019595111154E-2</v>
      </c>
      <c r="BG14" s="397">
        <f t="shared" ca="1" si="19"/>
        <v>-3.4562019595111154E-2</v>
      </c>
      <c r="BH14" s="397">
        <f t="shared" ca="1" si="19"/>
        <v>-3.4562019595111154E-2</v>
      </c>
      <c r="BI14" s="397">
        <f t="shared" ca="1" si="19"/>
        <v>-3.4562019595111154E-2</v>
      </c>
      <c r="BJ14" s="397">
        <f t="shared" ca="1" si="19"/>
        <v>-3.4562019595111154E-2</v>
      </c>
      <c r="BK14" s="397">
        <f t="shared" ca="1" si="19"/>
        <v>-3.4562019595111154E-2</v>
      </c>
      <c r="BL14" s="397">
        <f t="shared" ca="1" si="19"/>
        <v>-3.4562019595111154E-2</v>
      </c>
      <c r="BM14" s="397">
        <f t="shared" ca="1" si="19"/>
        <v>-3.4562019595111154E-2</v>
      </c>
      <c r="BN14" s="397">
        <f t="shared" ca="1" si="19"/>
        <v>-3.4562019595111154E-2</v>
      </c>
      <c r="BO14" s="397">
        <f t="shared" ca="1" si="19"/>
        <v>-3.4562019595111154E-2</v>
      </c>
      <c r="BP14" s="397">
        <f t="shared" ca="1" si="19"/>
        <v>-3.4562019595111154E-2</v>
      </c>
      <c r="BQ14" s="397">
        <f t="shared" ref="BQ14:CL14" ca="1" si="20">(BQ13-INDEX($E10:$CL13,4,MATCH($B$5,$E10:$CL10,0)))/(INDEX($E10:$CL13,4,MATCH($B$4,$E10:$CL10,0))-INDEX($E10:$CL13,4,MATCH($B$5,$E10:$CL10,0)))</f>
        <v>-3.4562019595111154E-2</v>
      </c>
      <c r="BR14" s="397">
        <f t="shared" ca="1" si="20"/>
        <v>-3.4562019595111154E-2</v>
      </c>
      <c r="BS14" s="397">
        <f t="shared" ca="1" si="20"/>
        <v>-3.4562019595111154E-2</v>
      </c>
      <c r="BT14" s="397">
        <f t="shared" ca="1" si="20"/>
        <v>-3.4562019595111154E-2</v>
      </c>
      <c r="BU14" s="397">
        <f t="shared" ca="1" si="20"/>
        <v>-3.4562019595111154E-2</v>
      </c>
      <c r="BV14" s="397">
        <f t="shared" ca="1" si="20"/>
        <v>-3.4562019595111154E-2</v>
      </c>
      <c r="BW14" s="397">
        <f t="shared" ca="1" si="20"/>
        <v>-3.4562019595111154E-2</v>
      </c>
      <c r="BX14" s="397">
        <f t="shared" ca="1" si="20"/>
        <v>-3.4562019595111154E-2</v>
      </c>
      <c r="BY14" s="397">
        <f t="shared" ca="1" si="20"/>
        <v>-3.4562019595111154E-2</v>
      </c>
      <c r="BZ14" s="397">
        <f t="shared" ca="1" si="20"/>
        <v>-3.4562019595111154E-2</v>
      </c>
      <c r="CA14" s="397">
        <f t="shared" ca="1" si="20"/>
        <v>-3.4562019595111154E-2</v>
      </c>
      <c r="CB14" s="397">
        <f t="shared" ca="1" si="20"/>
        <v>-3.4562019595111154E-2</v>
      </c>
      <c r="CC14" s="397">
        <f t="shared" ca="1" si="20"/>
        <v>-3.4562019595111154E-2</v>
      </c>
      <c r="CD14" s="397">
        <f t="shared" ca="1" si="20"/>
        <v>-3.4562019595111154E-2</v>
      </c>
      <c r="CE14" s="397">
        <f t="shared" ca="1" si="20"/>
        <v>-3.4562019595111154E-2</v>
      </c>
      <c r="CF14" s="397">
        <f t="shared" ca="1" si="20"/>
        <v>-3.4562019595111154E-2</v>
      </c>
      <c r="CG14" s="397">
        <f t="shared" ca="1" si="20"/>
        <v>-3.4562019595111154E-2</v>
      </c>
      <c r="CH14" s="397">
        <f t="shared" ca="1" si="20"/>
        <v>-3.4562019595111154E-2</v>
      </c>
      <c r="CI14" s="397">
        <f t="shared" ca="1" si="20"/>
        <v>-3.4562019595111154E-2</v>
      </c>
      <c r="CJ14" s="397">
        <f t="shared" ca="1" si="20"/>
        <v>-3.4562019595111154E-2</v>
      </c>
      <c r="CK14" s="397">
        <f t="shared" ca="1" si="20"/>
        <v>-3.4562019595111154E-2</v>
      </c>
      <c r="CL14" s="397">
        <f t="shared" ca="1" si="20"/>
        <v>-3.4562019595111154E-2</v>
      </c>
      <c r="CN14" s="398"/>
      <c r="CO14" s="398"/>
      <c r="CP14" s="398"/>
    </row>
    <row r="15" spans="1:94" hidden="1" outlineLevel="1">
      <c r="A15" s="399"/>
      <c r="B15" s="399" t="s">
        <v>28</v>
      </c>
      <c r="C15" s="400" t="s">
        <v>295</v>
      </c>
      <c r="D15" s="400" t="s">
        <v>296</v>
      </c>
      <c r="E15" s="401">
        <f t="shared" ref="E15:AJ15" ca="1" si="21">INDEX($E10:$CL13,4,MATCH($B$5,$E10:$CL10,0))</f>
        <v>37.636164147114265</v>
      </c>
      <c r="F15" s="402">
        <f t="shared" ca="1" si="21"/>
        <v>37.636164147114265</v>
      </c>
      <c r="G15" s="402">
        <f t="shared" ca="1" si="21"/>
        <v>37.636164147114265</v>
      </c>
      <c r="H15" s="402">
        <f t="shared" ca="1" si="21"/>
        <v>37.636164147114265</v>
      </c>
      <c r="I15" s="402">
        <f t="shared" ca="1" si="21"/>
        <v>37.636164147114265</v>
      </c>
      <c r="J15" s="402">
        <f t="shared" ca="1" si="21"/>
        <v>37.636164147114265</v>
      </c>
      <c r="K15" s="402">
        <f t="shared" ca="1" si="21"/>
        <v>37.636164147114265</v>
      </c>
      <c r="L15" s="402">
        <f t="shared" ca="1" si="21"/>
        <v>37.636164147114265</v>
      </c>
      <c r="M15" s="402">
        <f t="shared" ca="1" si="21"/>
        <v>37.636164147114265</v>
      </c>
      <c r="N15" s="402">
        <f t="shared" ca="1" si="21"/>
        <v>37.636164147114265</v>
      </c>
      <c r="O15" s="402">
        <f t="shared" ca="1" si="21"/>
        <v>37.636164147114265</v>
      </c>
      <c r="P15" s="402">
        <f t="shared" ca="1" si="21"/>
        <v>37.636164147114265</v>
      </c>
      <c r="Q15" s="402">
        <f t="shared" ca="1" si="21"/>
        <v>37.636164147114265</v>
      </c>
      <c r="R15" s="402">
        <f t="shared" ca="1" si="21"/>
        <v>37.636164147114265</v>
      </c>
      <c r="S15" s="402">
        <f t="shared" ca="1" si="21"/>
        <v>37.636164147114265</v>
      </c>
      <c r="T15" s="402">
        <f t="shared" ca="1" si="21"/>
        <v>37.636164147114265</v>
      </c>
      <c r="U15" s="402">
        <f t="shared" ca="1" si="21"/>
        <v>37.636164147114265</v>
      </c>
      <c r="V15" s="402">
        <f t="shared" ca="1" si="21"/>
        <v>37.636164147114265</v>
      </c>
      <c r="W15" s="402">
        <f t="shared" ca="1" si="21"/>
        <v>37.636164147114265</v>
      </c>
      <c r="X15" s="402">
        <f t="shared" ca="1" si="21"/>
        <v>37.636164147114265</v>
      </c>
      <c r="Y15" s="402">
        <f t="shared" ca="1" si="21"/>
        <v>37.636164147114265</v>
      </c>
      <c r="Z15" s="402">
        <f t="shared" ca="1" si="21"/>
        <v>37.636164147114265</v>
      </c>
      <c r="AA15" s="402">
        <f t="shared" ca="1" si="21"/>
        <v>37.636164147114265</v>
      </c>
      <c r="AB15" s="402">
        <f t="shared" ca="1" si="21"/>
        <v>37.636164147114265</v>
      </c>
      <c r="AC15" s="402">
        <f t="shared" ca="1" si="21"/>
        <v>37.636164147114265</v>
      </c>
      <c r="AD15" s="402">
        <f t="shared" ca="1" si="21"/>
        <v>37.636164147114265</v>
      </c>
      <c r="AE15" s="402">
        <f t="shared" ca="1" si="21"/>
        <v>37.636164147114265</v>
      </c>
      <c r="AF15" s="402">
        <f t="shared" ca="1" si="21"/>
        <v>37.636164147114265</v>
      </c>
      <c r="AG15" s="402">
        <f t="shared" ca="1" si="21"/>
        <v>37.636164147114265</v>
      </c>
      <c r="AH15" s="402">
        <f t="shared" ca="1" si="21"/>
        <v>37.636164147114265</v>
      </c>
      <c r="AI15" s="402">
        <f t="shared" ca="1" si="21"/>
        <v>37.636164147114265</v>
      </c>
      <c r="AJ15" s="402">
        <f t="shared" ca="1" si="21"/>
        <v>37.636164147114265</v>
      </c>
      <c r="AK15" s="402">
        <f t="shared" ref="AK15:BP15" ca="1" si="22">INDEX($E10:$CL13,4,MATCH($B$5,$E10:$CL10,0))</f>
        <v>37.636164147114265</v>
      </c>
      <c r="AL15" s="402">
        <f t="shared" ca="1" si="22"/>
        <v>37.636164147114265</v>
      </c>
      <c r="AM15" s="402">
        <f t="shared" ca="1" si="22"/>
        <v>37.636164147114265</v>
      </c>
      <c r="AN15" s="402">
        <f t="shared" ca="1" si="22"/>
        <v>37.636164147114265</v>
      </c>
      <c r="AO15" s="402">
        <f t="shared" ca="1" si="22"/>
        <v>37.636164147114265</v>
      </c>
      <c r="AP15" s="402">
        <f t="shared" ca="1" si="22"/>
        <v>37.636164147114265</v>
      </c>
      <c r="AQ15" s="402">
        <f t="shared" ca="1" si="22"/>
        <v>37.636164147114265</v>
      </c>
      <c r="AR15" s="402">
        <f t="shared" ca="1" si="22"/>
        <v>37.636164147114265</v>
      </c>
      <c r="AS15" s="402">
        <f t="shared" ca="1" si="22"/>
        <v>37.636164147114265</v>
      </c>
      <c r="AT15" s="402">
        <f t="shared" ca="1" si="22"/>
        <v>37.636164147114265</v>
      </c>
      <c r="AU15" s="402">
        <f t="shared" ca="1" si="22"/>
        <v>37.636164147114265</v>
      </c>
      <c r="AV15" s="402">
        <f t="shared" ca="1" si="22"/>
        <v>37.636164147114265</v>
      </c>
      <c r="AW15" s="402">
        <f t="shared" ca="1" si="22"/>
        <v>37.636164147114265</v>
      </c>
      <c r="AX15" s="402">
        <f t="shared" ca="1" si="22"/>
        <v>37.636164147114265</v>
      </c>
      <c r="AY15" s="402">
        <f t="shared" ca="1" si="22"/>
        <v>37.636164147114265</v>
      </c>
      <c r="AZ15" s="402">
        <f t="shared" ca="1" si="22"/>
        <v>37.636164147114265</v>
      </c>
      <c r="BA15" s="402">
        <f t="shared" ca="1" si="22"/>
        <v>37.636164147114265</v>
      </c>
      <c r="BB15" s="402">
        <f t="shared" ca="1" si="22"/>
        <v>37.636164147114265</v>
      </c>
      <c r="BC15" s="402">
        <f t="shared" ca="1" si="22"/>
        <v>37.636164147114265</v>
      </c>
      <c r="BD15" s="402">
        <f t="shared" ca="1" si="22"/>
        <v>37.636164147114265</v>
      </c>
      <c r="BE15" s="402">
        <f t="shared" ca="1" si="22"/>
        <v>37.636164147114265</v>
      </c>
      <c r="BF15" s="402">
        <f t="shared" ca="1" si="22"/>
        <v>37.636164147114265</v>
      </c>
      <c r="BG15" s="402">
        <f t="shared" ca="1" si="22"/>
        <v>37.636164147114265</v>
      </c>
      <c r="BH15" s="402">
        <f t="shared" ca="1" si="22"/>
        <v>37.636164147114265</v>
      </c>
      <c r="BI15" s="402">
        <f t="shared" ca="1" si="22"/>
        <v>37.636164147114265</v>
      </c>
      <c r="BJ15" s="402">
        <f t="shared" ca="1" si="22"/>
        <v>37.636164147114265</v>
      </c>
      <c r="BK15" s="402">
        <f t="shared" ca="1" si="22"/>
        <v>37.636164147114265</v>
      </c>
      <c r="BL15" s="402">
        <f t="shared" ca="1" si="22"/>
        <v>37.636164147114265</v>
      </c>
      <c r="BM15" s="402">
        <f t="shared" ca="1" si="22"/>
        <v>37.636164147114265</v>
      </c>
      <c r="BN15" s="402">
        <f t="shared" ca="1" si="22"/>
        <v>37.636164147114265</v>
      </c>
      <c r="BO15" s="402">
        <f t="shared" ca="1" si="22"/>
        <v>37.636164147114265</v>
      </c>
      <c r="BP15" s="402">
        <f t="shared" ca="1" si="22"/>
        <v>37.636164147114265</v>
      </c>
      <c r="BQ15" s="402">
        <f t="shared" ref="BQ15:CL15" ca="1" si="23">INDEX($E10:$CL13,4,MATCH($B$5,$E10:$CL10,0))</f>
        <v>37.636164147114265</v>
      </c>
      <c r="BR15" s="402">
        <f t="shared" ca="1" si="23"/>
        <v>37.636164147114265</v>
      </c>
      <c r="BS15" s="402">
        <f t="shared" ca="1" si="23"/>
        <v>37.636164147114265</v>
      </c>
      <c r="BT15" s="402">
        <f t="shared" ca="1" si="23"/>
        <v>37.636164147114265</v>
      </c>
      <c r="BU15" s="402">
        <f t="shared" ca="1" si="23"/>
        <v>37.636164147114265</v>
      </c>
      <c r="BV15" s="402">
        <f t="shared" ca="1" si="23"/>
        <v>37.636164147114265</v>
      </c>
      <c r="BW15" s="402">
        <f t="shared" ca="1" si="23"/>
        <v>37.636164147114265</v>
      </c>
      <c r="BX15" s="402">
        <f t="shared" ca="1" si="23"/>
        <v>37.636164147114265</v>
      </c>
      <c r="BY15" s="402">
        <f t="shared" ca="1" si="23"/>
        <v>37.636164147114265</v>
      </c>
      <c r="BZ15" s="402">
        <f t="shared" ca="1" si="23"/>
        <v>37.636164147114265</v>
      </c>
      <c r="CA15" s="402">
        <f t="shared" ca="1" si="23"/>
        <v>37.636164147114265</v>
      </c>
      <c r="CB15" s="402">
        <f t="shared" ca="1" si="23"/>
        <v>37.636164147114265</v>
      </c>
      <c r="CC15" s="402">
        <f t="shared" ca="1" si="23"/>
        <v>37.636164147114265</v>
      </c>
      <c r="CD15" s="402">
        <f t="shared" ca="1" si="23"/>
        <v>37.636164147114265</v>
      </c>
      <c r="CE15" s="402">
        <f t="shared" ca="1" si="23"/>
        <v>37.636164147114265</v>
      </c>
      <c r="CF15" s="402">
        <f t="shared" ca="1" si="23"/>
        <v>37.636164147114265</v>
      </c>
      <c r="CG15" s="402">
        <f t="shared" ca="1" si="23"/>
        <v>37.636164147114265</v>
      </c>
      <c r="CH15" s="402">
        <f t="shared" ca="1" si="23"/>
        <v>37.636164147114265</v>
      </c>
      <c r="CI15" s="402">
        <f t="shared" ca="1" si="23"/>
        <v>37.636164147114265</v>
      </c>
      <c r="CJ15" s="402">
        <f t="shared" ca="1" si="23"/>
        <v>37.636164147114265</v>
      </c>
      <c r="CK15" s="402">
        <f t="shared" ca="1" si="23"/>
        <v>37.636164147114265</v>
      </c>
      <c r="CL15" s="402">
        <f t="shared" ca="1" si="23"/>
        <v>37.636164147114265</v>
      </c>
      <c r="CN15" s="398"/>
      <c r="CO15" s="398"/>
      <c r="CP15" s="398"/>
    </row>
    <row r="16" spans="1:94" hidden="1" outlineLevel="1">
      <c r="A16" s="403" t="s">
        <v>255</v>
      </c>
      <c r="B16" s="403" t="s">
        <v>260</v>
      </c>
      <c r="C16" s="403" t="s">
        <v>297</v>
      </c>
      <c r="D16" s="403"/>
      <c r="E16" s="404" t="str">
        <f t="shared" ref="E16:AJ16" si="24">IF(E10=base,dse,"")</f>
        <v/>
      </c>
      <c r="F16" s="405" t="str">
        <f t="shared" si="24"/>
        <v/>
      </c>
      <c r="G16" s="405" t="str">
        <f t="shared" si="24"/>
        <v/>
      </c>
      <c r="H16" s="405" t="str">
        <f t="shared" si="24"/>
        <v/>
      </c>
      <c r="I16" s="405">
        <f t="shared" si="24"/>
        <v>0</v>
      </c>
      <c r="J16" s="405" t="str">
        <f t="shared" si="24"/>
        <v/>
      </c>
      <c r="K16" s="405" t="str">
        <f t="shared" si="24"/>
        <v/>
      </c>
      <c r="L16" s="405" t="str">
        <f t="shared" si="24"/>
        <v/>
      </c>
      <c r="M16" s="405" t="str">
        <f t="shared" si="24"/>
        <v/>
      </c>
      <c r="N16" s="405" t="str">
        <f t="shared" si="24"/>
        <v/>
      </c>
      <c r="O16" s="405" t="str">
        <f t="shared" si="24"/>
        <v/>
      </c>
      <c r="P16" s="405" t="str">
        <f t="shared" si="24"/>
        <v/>
      </c>
      <c r="Q16" s="405" t="str">
        <f t="shared" si="24"/>
        <v/>
      </c>
      <c r="R16" s="405" t="str">
        <f t="shared" si="24"/>
        <v/>
      </c>
      <c r="S16" s="405" t="str">
        <f t="shared" si="24"/>
        <v/>
      </c>
      <c r="T16" s="405" t="str">
        <f t="shared" si="24"/>
        <v/>
      </c>
      <c r="U16" s="405" t="str">
        <f t="shared" si="24"/>
        <v/>
      </c>
      <c r="V16" s="405" t="str">
        <f t="shared" si="24"/>
        <v/>
      </c>
      <c r="W16" s="405" t="str">
        <f t="shared" si="24"/>
        <v/>
      </c>
      <c r="X16" s="405" t="str">
        <f t="shared" si="24"/>
        <v/>
      </c>
      <c r="Y16" s="405" t="str">
        <f t="shared" si="24"/>
        <v/>
      </c>
      <c r="Z16" s="405" t="str">
        <f t="shared" si="24"/>
        <v/>
      </c>
      <c r="AA16" s="405" t="str">
        <f t="shared" si="24"/>
        <v/>
      </c>
      <c r="AB16" s="405" t="str">
        <f t="shared" si="24"/>
        <v/>
      </c>
      <c r="AC16" s="405" t="str">
        <f t="shared" si="24"/>
        <v/>
      </c>
      <c r="AD16" s="405" t="str">
        <f t="shared" si="24"/>
        <v/>
      </c>
      <c r="AE16" s="405" t="str">
        <f t="shared" si="24"/>
        <v/>
      </c>
      <c r="AF16" s="405" t="str">
        <f t="shared" si="24"/>
        <v/>
      </c>
      <c r="AG16" s="405" t="str">
        <f t="shared" si="24"/>
        <v/>
      </c>
      <c r="AH16" s="405" t="str">
        <f t="shared" si="24"/>
        <v/>
      </c>
      <c r="AI16" s="405" t="str">
        <f t="shared" si="24"/>
        <v/>
      </c>
      <c r="AJ16" s="405" t="str">
        <f t="shared" si="24"/>
        <v/>
      </c>
      <c r="AK16" s="405" t="str">
        <f t="shared" ref="AK16:BP16" si="25">IF(AK10=base,dse,"")</f>
        <v/>
      </c>
      <c r="AL16" s="405" t="str">
        <f t="shared" si="25"/>
        <v/>
      </c>
      <c r="AM16" s="405" t="str">
        <f t="shared" si="25"/>
        <v/>
      </c>
      <c r="AN16" s="405" t="str">
        <f t="shared" si="25"/>
        <v/>
      </c>
      <c r="AO16" s="405" t="str">
        <f t="shared" si="25"/>
        <v/>
      </c>
      <c r="AP16" s="405" t="str">
        <f t="shared" si="25"/>
        <v/>
      </c>
      <c r="AQ16" s="405" t="str">
        <f t="shared" si="25"/>
        <v/>
      </c>
      <c r="AR16" s="405" t="str">
        <f t="shared" si="25"/>
        <v/>
      </c>
      <c r="AS16" s="405" t="str">
        <f t="shared" si="25"/>
        <v/>
      </c>
      <c r="AT16" s="405" t="str">
        <f t="shared" si="25"/>
        <v/>
      </c>
      <c r="AU16" s="405" t="str">
        <f t="shared" si="25"/>
        <v/>
      </c>
      <c r="AV16" s="405" t="str">
        <f t="shared" si="25"/>
        <v/>
      </c>
      <c r="AW16" s="405" t="str">
        <f t="shared" si="25"/>
        <v/>
      </c>
      <c r="AX16" s="405" t="str">
        <f t="shared" si="25"/>
        <v/>
      </c>
      <c r="AY16" s="405" t="str">
        <f t="shared" si="25"/>
        <v/>
      </c>
      <c r="AZ16" s="405" t="str">
        <f t="shared" si="25"/>
        <v/>
      </c>
      <c r="BA16" s="405" t="str">
        <f t="shared" si="25"/>
        <v/>
      </c>
      <c r="BB16" s="405" t="str">
        <f t="shared" si="25"/>
        <v/>
      </c>
      <c r="BC16" s="405" t="str">
        <f t="shared" si="25"/>
        <v/>
      </c>
      <c r="BD16" s="405" t="str">
        <f t="shared" si="25"/>
        <v/>
      </c>
      <c r="BE16" s="405" t="str">
        <f t="shared" si="25"/>
        <v/>
      </c>
      <c r="BF16" s="405" t="str">
        <f t="shared" si="25"/>
        <v/>
      </c>
      <c r="BG16" s="405" t="str">
        <f t="shared" si="25"/>
        <v/>
      </c>
      <c r="BH16" s="405" t="str">
        <f t="shared" si="25"/>
        <v/>
      </c>
      <c r="BI16" s="405" t="str">
        <f t="shared" si="25"/>
        <v/>
      </c>
      <c r="BJ16" s="405" t="str">
        <f t="shared" si="25"/>
        <v/>
      </c>
      <c r="BK16" s="405" t="str">
        <f t="shared" si="25"/>
        <v/>
      </c>
      <c r="BL16" s="405" t="str">
        <f t="shared" si="25"/>
        <v/>
      </c>
      <c r="BM16" s="405" t="str">
        <f t="shared" si="25"/>
        <v/>
      </c>
      <c r="BN16" s="405" t="str">
        <f t="shared" si="25"/>
        <v/>
      </c>
      <c r="BO16" s="405" t="str">
        <f t="shared" si="25"/>
        <v/>
      </c>
      <c r="BP16" s="405" t="str">
        <f t="shared" si="25"/>
        <v/>
      </c>
      <c r="BQ16" s="405" t="str">
        <f t="shared" ref="BQ16:CL16" si="26">IF(BQ10=base,dse,"")</f>
        <v/>
      </c>
      <c r="BR16" s="405" t="str">
        <f t="shared" si="26"/>
        <v/>
      </c>
      <c r="BS16" s="405" t="str">
        <f t="shared" si="26"/>
        <v/>
      </c>
      <c r="BT16" s="405" t="str">
        <f t="shared" si="26"/>
        <v/>
      </c>
      <c r="BU16" s="405" t="str">
        <f t="shared" si="26"/>
        <v/>
      </c>
      <c r="BV16" s="405" t="str">
        <f t="shared" si="26"/>
        <v/>
      </c>
      <c r="BW16" s="405" t="str">
        <f t="shared" si="26"/>
        <v/>
      </c>
      <c r="BX16" s="405" t="str">
        <f t="shared" si="26"/>
        <v/>
      </c>
      <c r="BY16" s="405" t="str">
        <f t="shared" si="26"/>
        <v/>
      </c>
      <c r="BZ16" s="405" t="str">
        <f t="shared" si="26"/>
        <v/>
      </c>
      <c r="CA16" s="405" t="str">
        <f t="shared" si="26"/>
        <v/>
      </c>
      <c r="CB16" s="405" t="str">
        <f t="shared" si="26"/>
        <v/>
      </c>
      <c r="CC16" s="405" t="str">
        <f t="shared" si="26"/>
        <v/>
      </c>
      <c r="CD16" s="405" t="str">
        <f t="shared" si="26"/>
        <v/>
      </c>
      <c r="CE16" s="405" t="str">
        <f t="shared" si="26"/>
        <v/>
      </c>
      <c r="CF16" s="405" t="str">
        <f t="shared" si="26"/>
        <v/>
      </c>
      <c r="CG16" s="405" t="str">
        <f t="shared" si="26"/>
        <v/>
      </c>
      <c r="CH16" s="405" t="str">
        <f t="shared" si="26"/>
        <v/>
      </c>
      <c r="CI16" s="405" t="str">
        <f t="shared" si="26"/>
        <v/>
      </c>
      <c r="CJ16" s="405" t="str">
        <f t="shared" si="26"/>
        <v/>
      </c>
      <c r="CK16" s="405" t="str">
        <f t="shared" si="26"/>
        <v/>
      </c>
      <c r="CL16" s="405" t="str">
        <f t="shared" si="26"/>
        <v/>
      </c>
      <c r="CN16" s="406" t="str">
        <f t="shared" ref="CN16:CN25" si="27">IFERROR((Y16/H16)^(1/17)-1,"")</f>
        <v/>
      </c>
      <c r="CO16" s="406" t="str">
        <f t="shared" ref="CO16:CO25" si="28">IFERROR((AN16/Y16)^(1/15)-1,"")</f>
        <v/>
      </c>
      <c r="CP16" s="406" t="str">
        <f t="shared" ref="CP16:CP25" si="29">IFERROR((AN16/H16)^(1/32)-1,"")</f>
        <v/>
      </c>
    </row>
    <row r="17" spans="1:94" hidden="1" outlineLevel="1">
      <c r="A17" s="400" t="s">
        <v>255</v>
      </c>
      <c r="B17" s="400" t="s">
        <v>259</v>
      </c>
      <c r="C17" s="400" t="s">
        <v>298</v>
      </c>
      <c r="D17" s="400"/>
      <c r="E17" s="407" t="e">
        <f>IF(E8&lt;sector_base,NA(),IFERROR(IF(activity_approach="Input Activity Data Manually",IF(E8=base,dsa,IF(E8=target,dsf,D17+((dsf-dsa)/(target-base)))),dsa*(1+Airlines!$E$47)^(E8-base)),""))</f>
        <v>#N/A</v>
      </c>
      <c r="F17" s="407" t="e">
        <f>IF(F8&lt;sector_base,NA(),IFERROR(IF(activity_approach="Input Activity Data Manually",IF(F8=base,dsa,IF(F8=target,dsf,E17+((dsf-dsa)/(target-base)))),dsa*(1+Airlines!$E$47)^(F8-base)),""))</f>
        <v>#N/A</v>
      </c>
      <c r="G17" s="407" t="e">
        <f>IF(G8&lt;sector_base,NA(),IFERROR(IF(activity_approach="Input Activity Data Manually",IF(G8=base,dsa,IF(G8=target,dsf,F17+((dsf-dsa)/(target-base)))),dsa*(1+Airlines!$E$47)^(G8-base)),""))</f>
        <v>#N/A</v>
      </c>
      <c r="H17" s="407" t="e">
        <f>IF(H8&lt;sector_base,NA(),IFERROR(IF(activity_approach="Input Activity Data Manually",IF(H8=base,dsa,IF(H8=target,dsf,G17+((dsf-dsa)/(target-base)))),dsa*(1+Airlines!$E$47)^(H8-base)),""))</f>
        <v>#N/A</v>
      </c>
      <c r="I17" s="407">
        <f>IF(I8&lt;sector_base,NA(),IFERROR(IF(activity_approach="Input Activity Data Manually",IF(I8=base,dsa,IF(I8=target,dsf,H17+((dsf-dsa)/(target-base)))),dsa*(1+Airlines!$E$47)^(I8-base)),""))</f>
        <v>0</v>
      </c>
      <c r="J17" s="407">
        <f>IF(J8&lt;sector_base,NA(),IFERROR(IF(activity_approach="Input Activity Data Manually",IF(J8=base,dsa,IF(J8=target,dsf,I17+((dsf-dsa)/(target-base)))),dsa*(1+Airlines!$E$47)^(J8-base)),""))</f>
        <v>0</v>
      </c>
      <c r="K17" s="407">
        <f>IF(K8&lt;sector_base,NA(),IFERROR(IF(activity_approach="Input Activity Data Manually",IF(K8=base,dsa,IF(K8=target,dsf,J17+((dsf-dsa)/(target-base)))),dsa*(1+Airlines!$E$47)^(K8-base)),""))</f>
        <v>0</v>
      </c>
      <c r="L17" s="407">
        <f>IF(L8&lt;sector_base,NA(),IFERROR(IF(activity_approach="Input Activity Data Manually",IF(L8=base,dsa,IF(L8=target,dsf,K17+((dsf-dsa)/(target-base)))),dsa*(1+Airlines!$E$47)^(L8-base)),""))</f>
        <v>0</v>
      </c>
      <c r="M17" s="407">
        <f>IF(M8&lt;sector_base,NA(),IFERROR(IF(activity_approach="Input Activity Data Manually",IF(M8=base,dsa,IF(M8=target,dsf,L17+((dsf-dsa)/(target-base)))),dsa*(1+Airlines!$E$47)^(M8-base)),""))</f>
        <v>0</v>
      </c>
      <c r="N17" s="407">
        <f>IF(N8&lt;sector_base,NA(),IFERROR(IF(activity_approach="Input Activity Data Manually",IF(N8=base,dsa,IF(N8=target,dsf,M17+((dsf-dsa)/(target-base)))),dsa*(1+Airlines!$E$47)^(N8-base)),""))</f>
        <v>0</v>
      </c>
      <c r="O17" s="407">
        <f>IF(O8&lt;sector_base,NA(),IFERROR(IF(activity_approach="Input Activity Data Manually",IF(O8=base,dsa,IF(O8=target,dsf,N17+((dsf-dsa)/(target-base)))),dsa*(1+Airlines!$E$47)^(O8-base)),""))</f>
        <v>0</v>
      </c>
      <c r="P17" s="407">
        <f>IF(P8&lt;sector_base,NA(),IFERROR(IF(activity_approach="Input Activity Data Manually",IF(P8=base,dsa,IF(P8=target,dsf,O17+((dsf-dsa)/(target-base)))),dsa*(1+Airlines!$E$47)^(P8-base)),""))</f>
        <v>0</v>
      </c>
      <c r="Q17" s="407">
        <f>IF(Q8&lt;sector_base,NA(),IFERROR(IF(activity_approach="Input Activity Data Manually",IF(Q8=base,dsa,IF(Q8=target,dsf,P17+((dsf-dsa)/(target-base)))),dsa*(1+Airlines!$E$47)^(Q8-base)),""))</f>
        <v>0</v>
      </c>
      <c r="R17" s="407">
        <f>IF(R8&lt;sector_base,NA(),IFERROR(IF(activity_approach="Input Activity Data Manually",IF(R8=base,dsa,IF(R8=target,dsf,Q17+((dsf-dsa)/(target-base)))),dsa*(1+Airlines!$E$47)^(R8-base)),""))</f>
        <v>0</v>
      </c>
      <c r="S17" s="407">
        <f>IF(S8&lt;sector_base,NA(),IFERROR(IF(activity_approach="Input Activity Data Manually",IF(S8=base,dsa,IF(S8=target,dsf,R17+((dsf-dsa)/(target-base)))),dsa*(1+Airlines!$E$47)^(S8-base)),""))</f>
        <v>0</v>
      </c>
      <c r="T17" s="407">
        <f>IF(T8&lt;sector_base,NA(),IFERROR(IF(activity_approach="Input Activity Data Manually",IF(T8=base,dsa,IF(T8=target,dsf,S17+((dsf-dsa)/(target-base)))),dsa*(1+Airlines!$E$47)^(T8-base)),""))</f>
        <v>0</v>
      </c>
      <c r="U17" s="407">
        <f>IF(U8&lt;sector_base,NA(),IFERROR(IF(activity_approach="Input Activity Data Manually",IF(U8=base,dsa,IF(U8=target,dsf,T17+((dsf-dsa)/(target-base)))),dsa*(1+Airlines!$E$47)^(U8-base)),""))</f>
        <v>0</v>
      </c>
      <c r="V17" s="407">
        <f>IF(V8&lt;sector_base,NA(),IFERROR(IF(activity_approach="Input Activity Data Manually",IF(V8=base,dsa,IF(V8=target,dsf,U17+((dsf-dsa)/(target-base)))),dsa*(1+Airlines!$E$47)^(V8-base)),""))</f>
        <v>0</v>
      </c>
      <c r="W17" s="407">
        <f>IF(W8&lt;sector_base,NA(),IFERROR(IF(activity_approach="Input Activity Data Manually",IF(W8=base,dsa,IF(W8=target,dsf,V17+((dsf-dsa)/(target-base)))),dsa*(1+Airlines!$E$47)^(W8-base)),""))</f>
        <v>0</v>
      </c>
      <c r="X17" s="407">
        <f>IF(X8&lt;sector_base,NA(),IFERROR(IF(activity_approach="Input Activity Data Manually",IF(X8=base,dsa,IF(X8=target,dsf,W17+((dsf-dsa)/(target-base)))),dsa*(1+Airlines!$E$47)^(X8-base)),""))</f>
        <v>0</v>
      </c>
      <c r="Y17" s="407">
        <f>IF(Y8&lt;sector_base,NA(),IFERROR(IF(activity_approach="Input Activity Data Manually",IF(Y8=base,dsa,IF(Y8=target,dsf,X17+((dsf-dsa)/(target-base)))),dsa*(1+Airlines!$E$47)^(Y8-base)),""))</f>
        <v>0</v>
      </c>
      <c r="Z17" s="407">
        <f>IF(Z8&lt;sector_base,NA(),IFERROR(IF(activity_approach="Input Activity Data Manually",IF(Z8=base,dsa,IF(Z8=target,dsf,Y17+((dsf-dsa)/(target-base)))),dsa*(1+Airlines!$E$47)^(Z8-base)),""))</f>
        <v>0</v>
      </c>
      <c r="AA17" s="407">
        <f>IF(AA8&lt;sector_base,NA(),IFERROR(IF(activity_approach="Input Activity Data Manually",IF(AA8=base,dsa,IF(AA8=target,dsf,Z17+((dsf-dsa)/(target-base)))),dsa*(1+Airlines!$E$47)^(AA8-base)),""))</f>
        <v>0</v>
      </c>
      <c r="AB17" s="407">
        <f>IF(AB8&lt;sector_base,NA(),IFERROR(IF(activity_approach="Input Activity Data Manually",IF(AB8=base,dsa,IF(AB8=target,dsf,AA17+((dsf-dsa)/(target-base)))),dsa*(1+Airlines!$E$47)^(AB8-base)),""))</f>
        <v>0</v>
      </c>
      <c r="AC17" s="407">
        <f>IF(AC8&lt;sector_base,NA(),IFERROR(IF(activity_approach="Input Activity Data Manually",IF(AC8=base,dsa,IF(AC8=target,dsf,AB17+((dsf-dsa)/(target-base)))),dsa*(1+Airlines!$E$47)^(AC8-base)),""))</f>
        <v>0</v>
      </c>
      <c r="AD17" s="407">
        <f>IF(AD8&lt;sector_base,NA(),IFERROR(IF(activity_approach="Input Activity Data Manually",IF(AD8=base,dsa,IF(AD8=target,dsf,AC17+((dsf-dsa)/(target-base)))),dsa*(1+Airlines!$E$47)^(AD8-base)),""))</f>
        <v>0</v>
      </c>
      <c r="AE17" s="407">
        <f>IF(AE8&lt;sector_base,NA(),IFERROR(IF(activity_approach="Input Activity Data Manually",IF(AE8=base,dsa,IF(AE8=target,dsf,AD17+((dsf-dsa)/(target-base)))),dsa*(1+Airlines!$E$47)^(AE8-base)),""))</f>
        <v>0</v>
      </c>
      <c r="AF17" s="407">
        <f>IF(AF8&lt;sector_base,NA(),IFERROR(IF(activity_approach="Input Activity Data Manually",IF(AF8=base,dsa,IF(AF8=target,dsf,AE17+((dsf-dsa)/(target-base)))),dsa*(1+Airlines!$E$47)^(AF8-base)),""))</f>
        <v>0</v>
      </c>
      <c r="AG17" s="407">
        <f>IF(AG8&lt;sector_base,NA(),IFERROR(IF(activity_approach="Input Activity Data Manually",IF(AG8=base,dsa,IF(AG8=target,dsf,AF17+((dsf-dsa)/(target-base)))),dsa*(1+Airlines!$E$47)^(AG8-base)),""))</f>
        <v>0</v>
      </c>
      <c r="AH17" s="407">
        <f>IF(AH8&lt;sector_base,NA(),IFERROR(IF(activity_approach="Input Activity Data Manually",IF(AH8=base,dsa,IF(AH8=target,dsf,AG17+((dsf-dsa)/(target-base)))),dsa*(1+Airlines!$E$47)^(AH8-base)),""))</f>
        <v>0</v>
      </c>
      <c r="AI17" s="407">
        <f>IF(AI8&lt;sector_base,NA(),IFERROR(IF(activity_approach="Input Activity Data Manually",IF(AI8=base,dsa,IF(AI8=target,dsf,AH17+((dsf-dsa)/(target-base)))),dsa*(1+Airlines!$E$47)^(AI8-base)),""))</f>
        <v>0</v>
      </c>
      <c r="AJ17" s="407">
        <f>IF(AJ8&lt;sector_base,NA(),IFERROR(IF(activity_approach="Input Activity Data Manually",IF(AJ8=base,dsa,IF(AJ8=target,dsf,AI17+((dsf-dsa)/(target-base)))),dsa*(1+Airlines!$E$47)^(AJ8-base)),""))</f>
        <v>0</v>
      </c>
      <c r="AK17" s="407">
        <f>IF(AK8&lt;sector_base,NA(),IFERROR(IF(activity_approach="Input Activity Data Manually",IF(AK8=base,dsa,IF(AK8=target,dsf,AJ17+((dsf-dsa)/(target-base)))),dsa*(1+Airlines!$E$47)^(AK8-base)),""))</f>
        <v>0</v>
      </c>
      <c r="AL17" s="407">
        <f>IF(AL8&lt;sector_base,NA(),IFERROR(IF(activity_approach="Input Activity Data Manually",IF(AL8=base,dsa,IF(AL8=target,dsf,AK17+((dsf-dsa)/(target-base)))),dsa*(1+Airlines!$E$47)^(AL8-base)),""))</f>
        <v>0</v>
      </c>
      <c r="AM17" s="407">
        <f>IF(AM8&lt;sector_base,NA(),IFERROR(IF(activity_approach="Input Activity Data Manually",IF(AM8=base,dsa,IF(AM8=target,dsf,AL17+((dsf-dsa)/(target-base)))),dsa*(1+Airlines!$E$47)^(AM8-base)),""))</f>
        <v>0</v>
      </c>
      <c r="AN17" s="407">
        <f>IF(AN8&lt;sector_base,NA(),IFERROR(IF(activity_approach="Input Activity Data Manually",IF(AN8=base,dsa,IF(AN8=target,dsf,AM17+((dsf-dsa)/(target-base)))),dsa*(1+Airlines!$E$47)^(AN8-base)),""))</f>
        <v>0</v>
      </c>
      <c r="AO17" s="407">
        <f>IF(AO8&lt;sector_base,NA(),IFERROR(IF(activity_approach="Input Activity Data Manually",IF(AO8=base,dsa,IF(AO8=target,dsf,AN17+((dsf-dsa)/(target-base)))),dsa*(1+Airlines!$E$47)^(AO8-base)),""))</f>
        <v>0</v>
      </c>
      <c r="AP17" s="407">
        <f>IF(AP8&lt;sector_base,NA(),IFERROR(IF(activity_approach="Input Activity Data Manually",IF(AP8=base,dsa,IF(AP8=target,dsf,AO17+((dsf-dsa)/(target-base)))),dsa*(1+Airlines!$E$47)^(AP8-base)),""))</f>
        <v>0</v>
      </c>
      <c r="AQ17" s="407">
        <f>IF(AQ8&lt;sector_base,NA(),IFERROR(IF(activity_approach="Input Activity Data Manually",IF(AQ8=base,dsa,IF(AQ8=target,dsf,AP17+((dsf-dsa)/(target-base)))),dsa*(1+Airlines!$E$47)^(AQ8-base)),""))</f>
        <v>0</v>
      </c>
      <c r="AR17" s="407">
        <f>IF(AR8&lt;sector_base,NA(),IFERROR(IF(activity_approach="Input Activity Data Manually",IF(AR8=base,dsa,IF(AR8=target,dsf,AQ17+((dsf-dsa)/(target-base)))),dsa*(1+Airlines!$E$47)^(AR8-base)),""))</f>
        <v>0</v>
      </c>
      <c r="AS17" s="407">
        <f>IF(AS8&lt;sector_base,NA(),IFERROR(IF(activity_approach="Input Activity Data Manually",IF(AS8=base,dsa,IF(AS8=target,dsf,AR17+((dsf-dsa)/(target-base)))),dsa*(1+Airlines!$E$47)^(AS8-base)),""))</f>
        <v>0</v>
      </c>
      <c r="AT17" s="407">
        <f>IF(AT8&lt;sector_base,NA(),IFERROR(IF(activity_approach="Input Activity Data Manually",IF(AT8=base,dsa,IF(AT8=target,dsf,AS17+((dsf-dsa)/(target-base)))),dsa*(1+Airlines!$E$47)^(AT8-base)),""))</f>
        <v>0</v>
      </c>
      <c r="AU17" s="407">
        <f>IF(AU8&lt;sector_base,NA(),IFERROR(IF(activity_approach="Input Activity Data Manually",IF(AU8=base,dsa,IF(AU8=target,dsf,AT17+((dsf-dsa)/(target-base)))),dsa*(1+Airlines!$E$47)^(AU8-base)),""))</f>
        <v>0</v>
      </c>
      <c r="AV17" s="407">
        <f>IF(AV8&lt;sector_base,NA(),IFERROR(IF(activity_approach="Input Activity Data Manually",IF(AV8=base,dsa,IF(AV8=target,dsf,AU17+((dsf-dsa)/(target-base)))),dsa*(1+Airlines!$E$47)^(AV8-base)),""))</f>
        <v>0</v>
      </c>
      <c r="AW17" s="407">
        <f>IF(AW8&lt;sector_base,NA(),IFERROR(IF(activity_approach="Input Activity Data Manually",IF(AW8=base,dsa,IF(AW8=target,dsf,AV17+((dsf-dsa)/(target-base)))),dsa*(1+Airlines!$E$47)^(AW8-base)),""))</f>
        <v>0</v>
      </c>
      <c r="AX17" s="407">
        <f>IF(AX8&lt;sector_base,NA(),IFERROR(IF(activity_approach="Input Activity Data Manually",IF(AX8=base,dsa,IF(AX8=target,dsf,AW17+((dsf-dsa)/(target-base)))),dsa*(1+Airlines!$E$47)^(AX8-base)),""))</f>
        <v>0</v>
      </c>
      <c r="AY17" s="407">
        <f>IF(AY8&lt;sector_base,NA(),IFERROR(IF(activity_approach="Input Activity Data Manually",IF(AY8=base,dsa,IF(AY8=target,dsf,AX17+((dsf-dsa)/(target-base)))),dsa*(1+Airlines!$E$47)^(AY8-base)),""))</f>
        <v>0</v>
      </c>
      <c r="AZ17" s="407">
        <f>IF(AZ8&lt;sector_base,NA(),IFERROR(IF(activity_approach="Input Activity Data Manually",IF(AZ8=base,dsa,IF(AZ8=target,dsf,AY17+((dsf-dsa)/(target-base)))),dsa*(1+Airlines!$E$47)^(AZ8-base)),""))</f>
        <v>0</v>
      </c>
      <c r="BA17" s="407">
        <f>IF(BA8&lt;sector_base,NA(),IFERROR(IF(activity_approach="Input Activity Data Manually",IF(BA8=base,dsa,IF(BA8=target,dsf,AZ17+((dsf-dsa)/(target-base)))),dsa*(1+Airlines!$E$47)^(BA8-base)),""))</f>
        <v>0</v>
      </c>
      <c r="BB17" s="407">
        <f>IF(BB8&lt;sector_base,NA(),IFERROR(IF(activity_approach="Input Activity Data Manually",IF(BB8=base,dsa,IF(BB8=target,dsf,BA17+((dsf-dsa)/(target-base)))),dsa*(1+Airlines!$E$47)^(BB8-base)),""))</f>
        <v>0</v>
      </c>
      <c r="BC17" s="407">
        <f>IF(BC8&lt;sector_base,NA(),IFERROR(IF(activity_approach="Input Activity Data Manually",IF(BC8=base,dsa,IF(BC8=target,dsf,BB17+((dsf-dsa)/(target-base)))),dsa*(1+Airlines!$E$47)^(BC8-base)),""))</f>
        <v>0</v>
      </c>
      <c r="BD17" s="407">
        <f>IF(BD8&lt;sector_base,NA(),IFERROR(IF(activity_approach="Input Activity Data Manually",IF(BD8=base,dsa,IF(BD8=target,dsf,BC17+((dsf-dsa)/(target-base)))),dsa*(1+Airlines!$E$47)^(BD8-base)),""))</f>
        <v>0</v>
      </c>
      <c r="BE17" s="407">
        <f>IF(BE8&lt;sector_base,NA(),IFERROR(IF(activity_approach="Input Activity Data Manually",IF(BE8=base,dsa,IF(BE8=target,dsf,BD17+((dsf-dsa)/(target-base)))),dsa*(1+Airlines!$E$47)^(BE8-base)),""))</f>
        <v>0</v>
      </c>
      <c r="BF17" s="407">
        <f>IF(BF8&lt;sector_base,NA(),IFERROR(IF(activity_approach="Input Activity Data Manually",IF(BF8=base,dsa,IF(BF8=target,dsf,BE17+((dsf-dsa)/(target-base)))),dsa*(1+Airlines!$E$47)^(BF8-base)),""))</f>
        <v>0</v>
      </c>
      <c r="BG17" s="407">
        <f>IF(BG8&lt;sector_base,NA(),IFERROR(IF(activity_approach="Input Activity Data Manually",IF(BG8=base,dsa,IF(BG8=target,dsf,BF17+((dsf-dsa)/(target-base)))),dsa*(1+Airlines!$E$47)^(BG8-base)),""))</f>
        <v>0</v>
      </c>
      <c r="BH17" s="407">
        <f>IF(BH8&lt;sector_base,NA(),IFERROR(IF(activity_approach="Input Activity Data Manually",IF(BH8=base,dsa,IF(BH8=target,dsf,BG17+((dsf-dsa)/(target-base)))),dsa*(1+Airlines!$E$47)^(BH8-base)),""))</f>
        <v>0</v>
      </c>
      <c r="BI17" s="407">
        <f>IF(BI8&lt;sector_base,NA(),IFERROR(IF(activity_approach="Input Activity Data Manually",IF(BI8=base,dsa,IF(BI8=target,dsf,BH17+((dsf-dsa)/(target-base)))),dsa*(1+Airlines!$E$47)^(BI8-base)),""))</f>
        <v>0</v>
      </c>
      <c r="BJ17" s="407">
        <f>IF(BJ8&lt;sector_base,NA(),IFERROR(IF(activity_approach="Input Activity Data Manually",IF(BJ8=base,dsa,IF(BJ8=target,dsf,BI17+((dsf-dsa)/(target-base)))),dsa*(1+Airlines!$E$47)^(BJ8-base)),""))</f>
        <v>0</v>
      </c>
      <c r="BK17" s="407">
        <f>IF(BK8&lt;sector_base,NA(),IFERROR(IF(activity_approach="Input Activity Data Manually",IF(BK8=base,dsa,IF(BK8=target,dsf,BJ17+((dsf-dsa)/(target-base)))),dsa*(1+Airlines!$E$47)^(BK8-base)),""))</f>
        <v>0</v>
      </c>
      <c r="BL17" s="407">
        <f>IF(BL8&lt;sector_base,NA(),IFERROR(IF(activity_approach="Input Activity Data Manually",IF(BL8=base,dsa,IF(BL8=target,dsf,BK17+((dsf-dsa)/(target-base)))),dsa*(1+Airlines!$E$47)^(BL8-base)),""))</f>
        <v>0</v>
      </c>
      <c r="BM17" s="407">
        <f>IF(BM8&lt;sector_base,NA(),IFERROR(IF(activity_approach="Input Activity Data Manually",IF(BM8=base,dsa,IF(BM8=target,dsf,BL17+((dsf-dsa)/(target-base)))),dsa*(1+Airlines!$E$47)^(BM8-base)),""))</f>
        <v>0</v>
      </c>
      <c r="BN17" s="407">
        <f>IF(BN8&lt;sector_base,NA(),IFERROR(IF(activity_approach="Input Activity Data Manually",IF(BN8=base,dsa,IF(BN8=target,dsf,BM17+((dsf-dsa)/(target-base)))),dsa*(1+Airlines!$E$47)^(BN8-base)),""))</f>
        <v>0</v>
      </c>
      <c r="BO17" s="407">
        <f>IF(BO8&lt;sector_base,NA(),IFERROR(IF(activity_approach="Input Activity Data Manually",IF(BO8=base,dsa,IF(BO8=target,dsf,BN17+((dsf-dsa)/(target-base)))),dsa*(1+Airlines!$E$47)^(BO8-base)),""))</f>
        <v>0</v>
      </c>
      <c r="BP17" s="407">
        <f>IF(BP8&lt;sector_base,NA(),IFERROR(IF(activity_approach="Input Activity Data Manually",IF(BP8=base,dsa,IF(BP8=target,dsf,BO17+((dsf-dsa)/(target-base)))),dsa*(1+Airlines!$E$47)^(BP8-base)),""))</f>
        <v>0</v>
      </c>
      <c r="BQ17" s="407">
        <f>IF(BQ8&lt;sector_base,NA(),IFERROR(IF(activity_approach="Input Activity Data Manually",IF(BQ8=base,dsa,IF(BQ8=target,dsf,BP17+((dsf-dsa)/(target-base)))),dsa*(1+Airlines!$E$47)^(BQ8-base)),""))</f>
        <v>0</v>
      </c>
      <c r="BR17" s="407">
        <f>IF(BR8&lt;sector_base,NA(),IFERROR(IF(activity_approach="Input Activity Data Manually",IF(BR8=base,dsa,IF(BR8=target,dsf,BQ17+((dsf-dsa)/(target-base)))),dsa*(1+Airlines!$E$47)^(BR8-base)),""))</f>
        <v>0</v>
      </c>
      <c r="BS17" s="407">
        <f>IF(BS8&lt;sector_base,NA(),IFERROR(IF(activity_approach="Input Activity Data Manually",IF(BS8=base,dsa,IF(BS8=target,dsf,BR17+((dsf-dsa)/(target-base)))),dsa*(1+Airlines!$E$47)^(BS8-base)),""))</f>
        <v>0</v>
      </c>
      <c r="BT17" s="407">
        <f>IF(BT8&lt;sector_base,NA(),IFERROR(IF(activity_approach="Input Activity Data Manually",IF(BT8=base,dsa,IF(BT8=target,dsf,BS17+((dsf-dsa)/(target-base)))),dsa*(1+Airlines!$E$47)^(BT8-base)),""))</f>
        <v>0</v>
      </c>
      <c r="BU17" s="407">
        <f>IF(BU8&lt;sector_base,NA(),IFERROR(IF(activity_approach="Input Activity Data Manually",IF(BU8=base,dsa,IF(BU8=target,dsf,BT17+((dsf-dsa)/(target-base)))),dsa*(1+Airlines!$E$47)^(BU8-base)),""))</f>
        <v>0</v>
      </c>
      <c r="BV17" s="407">
        <f>IF(BV8&lt;sector_base,NA(),IFERROR(IF(activity_approach="Input Activity Data Manually",IF(BV8=base,dsa,IF(BV8=target,dsf,BU17+((dsf-dsa)/(target-base)))),dsa*(1+Airlines!$E$47)^(BV8-base)),""))</f>
        <v>0</v>
      </c>
      <c r="BW17" s="407">
        <f>IF(BW8&lt;sector_base,NA(),IFERROR(IF(activity_approach="Input Activity Data Manually",IF(BW8=base,dsa,IF(BW8=target,dsf,BV17+((dsf-dsa)/(target-base)))),dsa*(1+Airlines!$E$47)^(BW8-base)),""))</f>
        <v>0</v>
      </c>
      <c r="BX17" s="407">
        <f>IF(BX8&lt;sector_base,NA(),IFERROR(IF(activity_approach="Input Activity Data Manually",IF(BX8=base,dsa,IF(BX8=target,dsf,BW17+((dsf-dsa)/(target-base)))),dsa*(1+Airlines!$E$47)^(BX8-base)),""))</f>
        <v>0</v>
      </c>
      <c r="BY17" s="407">
        <f>IF(BY8&lt;sector_base,NA(),IFERROR(IF(activity_approach="Input Activity Data Manually",IF(BY8=base,dsa,IF(BY8=target,dsf,BX17+((dsf-dsa)/(target-base)))),dsa*(1+Airlines!$E$47)^(BY8-base)),""))</f>
        <v>0</v>
      </c>
      <c r="BZ17" s="407">
        <f>IF(BZ8&lt;sector_base,NA(),IFERROR(IF(activity_approach="Input Activity Data Manually",IF(BZ8=base,dsa,IF(BZ8=target,dsf,BY17+((dsf-dsa)/(target-base)))),dsa*(1+Airlines!$E$47)^(BZ8-base)),""))</f>
        <v>0</v>
      </c>
      <c r="CA17" s="407">
        <f>IF(CA8&lt;sector_base,NA(),IFERROR(IF(activity_approach="Input Activity Data Manually",IF(CA8=base,dsa,IF(CA8=target,dsf,BZ17+((dsf-dsa)/(target-base)))),dsa*(1+Airlines!$E$47)^(CA8-base)),""))</f>
        <v>0</v>
      </c>
      <c r="CB17" s="407">
        <f>IF(CB8&lt;sector_base,NA(),IFERROR(IF(activity_approach="Input Activity Data Manually",IF(CB8=base,dsa,IF(CB8=target,dsf,CA17+((dsf-dsa)/(target-base)))),dsa*(1+Airlines!$E$47)^(CB8-base)),""))</f>
        <v>0</v>
      </c>
      <c r="CC17" s="407">
        <f>IF(CC8&lt;sector_base,NA(),IFERROR(IF(activity_approach="Input Activity Data Manually",IF(CC8=base,dsa,IF(CC8=target,dsf,CB17+((dsf-dsa)/(target-base)))),dsa*(1+Airlines!$E$47)^(CC8-base)),""))</f>
        <v>0</v>
      </c>
      <c r="CD17" s="407">
        <f>IF(CD8&lt;sector_base,NA(),IFERROR(IF(activity_approach="Input Activity Data Manually",IF(CD8=base,dsa,IF(CD8=target,dsf,CC17+((dsf-dsa)/(target-base)))),dsa*(1+Airlines!$E$47)^(CD8-base)),""))</f>
        <v>0</v>
      </c>
      <c r="CE17" s="407">
        <f>IF(CE8&lt;sector_base,NA(),IFERROR(IF(activity_approach="Input Activity Data Manually",IF(CE8=base,dsa,IF(CE8=target,dsf,CD17+((dsf-dsa)/(target-base)))),dsa*(1+Airlines!$E$47)^(CE8-base)),""))</f>
        <v>0</v>
      </c>
      <c r="CF17" s="407">
        <f>IF(CF8&lt;sector_base,NA(),IFERROR(IF(activity_approach="Input Activity Data Manually",IF(CF8=base,dsa,IF(CF8=target,dsf,CE17+((dsf-dsa)/(target-base)))),dsa*(1+Airlines!$E$47)^(CF8-base)),""))</f>
        <v>0</v>
      </c>
      <c r="CG17" s="407">
        <f>IF(CG8&lt;sector_base,NA(),IFERROR(IF(activity_approach="Input Activity Data Manually",IF(CG8=base,dsa,IF(CG8=target,dsf,CF17+((dsf-dsa)/(target-base)))),dsa*(1+Airlines!$E$47)^(CG8-base)),""))</f>
        <v>0</v>
      </c>
      <c r="CH17" s="407">
        <f>IF(CH8&lt;sector_base,NA(),IFERROR(IF(activity_approach="Input Activity Data Manually",IF(CH8=base,dsa,IF(CH8=target,dsf,CG17+((dsf-dsa)/(target-base)))),dsa*(1+Airlines!$E$47)^(CH8-base)),""))</f>
        <v>0</v>
      </c>
      <c r="CI17" s="407">
        <f>IF(CI8&lt;sector_base,NA(),IFERROR(IF(activity_approach="Input Activity Data Manually",IF(CI8=base,dsa,IF(CI8=target,dsf,CH17+((dsf-dsa)/(target-base)))),dsa*(1+Airlines!$E$47)^(CI8-base)),""))</f>
        <v>0</v>
      </c>
      <c r="CJ17" s="407">
        <f>IF(CJ8&lt;sector_base,NA(),IFERROR(IF(activity_approach="Input Activity Data Manually",IF(CJ8=base,dsa,IF(CJ8=target,dsf,CI17+((dsf-dsa)/(target-base)))),dsa*(1+Airlines!$E$47)^(CJ8-base)),""))</f>
        <v>0</v>
      </c>
      <c r="CK17" s="407">
        <f>IF(CK8&lt;sector_base,NA(),IFERROR(IF(activity_approach="Input Activity Data Manually",IF(CK8=base,dsa,IF(CK8=target,dsf,CJ17+((dsf-dsa)/(target-base)))),dsa*(1+Airlines!$E$47)^(CK8-base)),""))</f>
        <v>0</v>
      </c>
      <c r="CL17" s="407">
        <f>IF(CL8&lt;sector_base,NA(),IFERROR(IF(activity_approach="Input Activity Data Manually",IF(CL8=base,dsa,IF(CL8=target,dsf,CK17+((dsf-dsa)/(target-base)))),dsa*(1+Airlines!$E$47)^(CL8-base)),""))</f>
        <v>0</v>
      </c>
      <c r="CN17" s="408" t="str">
        <f t="shared" si="27"/>
        <v/>
      </c>
      <c r="CO17" s="408" t="str">
        <f t="shared" si="28"/>
        <v/>
      </c>
      <c r="CP17" s="408" t="str">
        <f t="shared" si="29"/>
        <v/>
      </c>
    </row>
    <row r="18" spans="1:94" hidden="1" outlineLevel="1">
      <c r="A18" s="400" t="s">
        <v>255</v>
      </c>
      <c r="B18" s="400" t="s">
        <v>258</v>
      </c>
      <c r="C18" s="400" t="s">
        <v>299</v>
      </c>
      <c r="D18" s="400" t="s">
        <v>300</v>
      </c>
      <c r="E18" s="409" t="str">
        <f>IFERROR((E16/E17)*1000,"")</f>
        <v/>
      </c>
      <c r="F18" s="390" t="str">
        <f t="shared" ref="F18:BQ18" si="30">IFERROR((F16/F17)*1000,"")</f>
        <v/>
      </c>
      <c r="G18" s="390" t="str">
        <f t="shared" si="30"/>
        <v/>
      </c>
      <c r="H18" s="390" t="str">
        <f t="shared" si="30"/>
        <v/>
      </c>
      <c r="I18" s="390" t="str">
        <f t="shared" si="30"/>
        <v/>
      </c>
      <c r="J18" s="390" t="str">
        <f t="shared" si="30"/>
        <v/>
      </c>
      <c r="K18" s="390" t="str">
        <f t="shared" si="30"/>
        <v/>
      </c>
      <c r="L18" s="390" t="str">
        <f t="shared" si="30"/>
        <v/>
      </c>
      <c r="M18" s="390" t="str">
        <f t="shared" si="30"/>
        <v/>
      </c>
      <c r="N18" s="390" t="str">
        <f t="shared" si="30"/>
        <v/>
      </c>
      <c r="O18" s="390" t="str">
        <f t="shared" si="30"/>
        <v/>
      </c>
      <c r="P18" s="390" t="str">
        <f t="shared" si="30"/>
        <v/>
      </c>
      <c r="Q18" s="390" t="str">
        <f t="shared" si="30"/>
        <v/>
      </c>
      <c r="R18" s="390" t="str">
        <f t="shared" si="30"/>
        <v/>
      </c>
      <c r="S18" s="390" t="str">
        <f t="shared" si="30"/>
        <v/>
      </c>
      <c r="T18" s="390" t="str">
        <f t="shared" si="30"/>
        <v/>
      </c>
      <c r="U18" s="390" t="str">
        <f t="shared" si="30"/>
        <v/>
      </c>
      <c r="V18" s="390" t="str">
        <f t="shared" si="30"/>
        <v/>
      </c>
      <c r="W18" s="390" t="str">
        <f t="shared" si="30"/>
        <v/>
      </c>
      <c r="X18" s="390" t="str">
        <f t="shared" si="30"/>
        <v/>
      </c>
      <c r="Y18" s="390" t="str">
        <f t="shared" si="30"/>
        <v/>
      </c>
      <c r="Z18" s="390" t="str">
        <f t="shared" si="30"/>
        <v/>
      </c>
      <c r="AA18" s="390" t="str">
        <f t="shared" si="30"/>
        <v/>
      </c>
      <c r="AB18" s="390" t="str">
        <f t="shared" si="30"/>
        <v/>
      </c>
      <c r="AC18" s="390" t="str">
        <f t="shared" si="30"/>
        <v/>
      </c>
      <c r="AD18" s="390" t="str">
        <f t="shared" si="30"/>
        <v/>
      </c>
      <c r="AE18" s="390" t="str">
        <f t="shared" si="30"/>
        <v/>
      </c>
      <c r="AF18" s="390" t="str">
        <f t="shared" si="30"/>
        <v/>
      </c>
      <c r="AG18" s="390" t="str">
        <f t="shared" si="30"/>
        <v/>
      </c>
      <c r="AH18" s="390" t="str">
        <f t="shared" si="30"/>
        <v/>
      </c>
      <c r="AI18" s="390" t="str">
        <f t="shared" si="30"/>
        <v/>
      </c>
      <c r="AJ18" s="390" t="str">
        <f t="shared" si="30"/>
        <v/>
      </c>
      <c r="AK18" s="390" t="str">
        <f t="shared" si="30"/>
        <v/>
      </c>
      <c r="AL18" s="390" t="str">
        <f t="shared" si="30"/>
        <v/>
      </c>
      <c r="AM18" s="390" t="str">
        <f t="shared" si="30"/>
        <v/>
      </c>
      <c r="AN18" s="390" t="str">
        <f t="shared" si="30"/>
        <v/>
      </c>
      <c r="AO18" s="390" t="str">
        <f t="shared" si="30"/>
        <v/>
      </c>
      <c r="AP18" s="390" t="str">
        <f t="shared" si="30"/>
        <v/>
      </c>
      <c r="AQ18" s="390" t="str">
        <f t="shared" si="30"/>
        <v/>
      </c>
      <c r="AR18" s="390" t="str">
        <f t="shared" si="30"/>
        <v/>
      </c>
      <c r="AS18" s="390" t="str">
        <f t="shared" si="30"/>
        <v/>
      </c>
      <c r="AT18" s="390" t="str">
        <f t="shared" si="30"/>
        <v/>
      </c>
      <c r="AU18" s="390" t="str">
        <f t="shared" si="30"/>
        <v/>
      </c>
      <c r="AV18" s="390" t="str">
        <f t="shared" si="30"/>
        <v/>
      </c>
      <c r="AW18" s="390" t="str">
        <f t="shared" si="30"/>
        <v/>
      </c>
      <c r="AX18" s="390" t="str">
        <f t="shared" si="30"/>
        <v/>
      </c>
      <c r="AY18" s="390" t="str">
        <f t="shared" si="30"/>
        <v/>
      </c>
      <c r="AZ18" s="390" t="str">
        <f t="shared" si="30"/>
        <v/>
      </c>
      <c r="BA18" s="390" t="str">
        <f t="shared" si="30"/>
        <v/>
      </c>
      <c r="BB18" s="390" t="str">
        <f t="shared" si="30"/>
        <v/>
      </c>
      <c r="BC18" s="390" t="str">
        <f t="shared" si="30"/>
        <v/>
      </c>
      <c r="BD18" s="390" t="str">
        <f t="shared" si="30"/>
        <v/>
      </c>
      <c r="BE18" s="390" t="str">
        <f t="shared" si="30"/>
        <v/>
      </c>
      <c r="BF18" s="390" t="str">
        <f t="shared" si="30"/>
        <v/>
      </c>
      <c r="BG18" s="390" t="str">
        <f t="shared" si="30"/>
        <v/>
      </c>
      <c r="BH18" s="390" t="str">
        <f t="shared" si="30"/>
        <v/>
      </c>
      <c r="BI18" s="390" t="str">
        <f t="shared" si="30"/>
        <v/>
      </c>
      <c r="BJ18" s="390" t="str">
        <f t="shared" si="30"/>
        <v/>
      </c>
      <c r="BK18" s="390" t="str">
        <f t="shared" si="30"/>
        <v/>
      </c>
      <c r="BL18" s="390" t="str">
        <f t="shared" si="30"/>
        <v/>
      </c>
      <c r="BM18" s="390" t="str">
        <f t="shared" si="30"/>
        <v/>
      </c>
      <c r="BN18" s="390" t="str">
        <f t="shared" si="30"/>
        <v/>
      </c>
      <c r="BO18" s="390" t="str">
        <f t="shared" si="30"/>
        <v/>
      </c>
      <c r="BP18" s="390" t="str">
        <f t="shared" si="30"/>
        <v/>
      </c>
      <c r="BQ18" s="390" t="str">
        <f t="shared" si="30"/>
        <v/>
      </c>
      <c r="BR18" s="390" t="str">
        <f t="shared" ref="BR18:CL18" si="31">IFERROR((BR16/BR17)*1000,"")</f>
        <v/>
      </c>
      <c r="BS18" s="390" t="str">
        <f t="shared" si="31"/>
        <v/>
      </c>
      <c r="BT18" s="390" t="str">
        <f t="shared" si="31"/>
        <v/>
      </c>
      <c r="BU18" s="390" t="str">
        <f t="shared" si="31"/>
        <v/>
      </c>
      <c r="BV18" s="390" t="str">
        <f t="shared" si="31"/>
        <v/>
      </c>
      <c r="BW18" s="390" t="str">
        <f t="shared" si="31"/>
        <v/>
      </c>
      <c r="BX18" s="390" t="str">
        <f t="shared" si="31"/>
        <v/>
      </c>
      <c r="BY18" s="390" t="str">
        <f t="shared" si="31"/>
        <v/>
      </c>
      <c r="BZ18" s="390" t="str">
        <f t="shared" si="31"/>
        <v/>
      </c>
      <c r="CA18" s="390" t="str">
        <f t="shared" si="31"/>
        <v/>
      </c>
      <c r="CB18" s="390" t="str">
        <f t="shared" si="31"/>
        <v/>
      </c>
      <c r="CC18" s="390" t="str">
        <f t="shared" si="31"/>
        <v/>
      </c>
      <c r="CD18" s="390" t="str">
        <f t="shared" si="31"/>
        <v/>
      </c>
      <c r="CE18" s="390" t="str">
        <f t="shared" si="31"/>
        <v/>
      </c>
      <c r="CF18" s="390" t="str">
        <f t="shared" si="31"/>
        <v/>
      </c>
      <c r="CG18" s="390" t="str">
        <f t="shared" si="31"/>
        <v/>
      </c>
      <c r="CH18" s="390" t="str">
        <f t="shared" si="31"/>
        <v/>
      </c>
      <c r="CI18" s="390" t="str">
        <f t="shared" si="31"/>
        <v/>
      </c>
      <c r="CJ18" s="390" t="str">
        <f t="shared" si="31"/>
        <v/>
      </c>
      <c r="CK18" s="390" t="str">
        <f t="shared" si="31"/>
        <v/>
      </c>
      <c r="CL18" s="390" t="str">
        <f t="shared" si="31"/>
        <v/>
      </c>
      <c r="CN18" s="391" t="str">
        <f t="shared" si="27"/>
        <v/>
      </c>
      <c r="CO18" s="391" t="str">
        <f t="shared" si="28"/>
        <v/>
      </c>
      <c r="CP18" s="391" t="str">
        <f t="shared" si="29"/>
        <v/>
      </c>
    </row>
    <row r="19" spans="1:94" hidden="1" outlineLevel="1">
      <c r="A19" s="410"/>
      <c r="B19" s="410" t="s">
        <v>124</v>
      </c>
      <c r="C19" s="403" t="s">
        <v>301</v>
      </c>
      <c r="D19" s="403" t="s">
        <v>302</v>
      </c>
      <c r="E19" s="411" t="str">
        <f t="shared" ref="E19:AJ19" ca="1" si="32">IFERROR(IF((INDEX($E10:$CL17,8,MATCH(base,$E10:$CL10,0))/INDEX($E10:$CL17,3,MATCH(sector_base,$E10:$CL10,0))/(E17/E12))&gt;=1,1,(INDEX($E10:$CL17,8,MATCH(base,$E10:$CL10,0))/INDEX($E10:$CL17,3,MATCH(base,$E10:$CL10,0))/(E17/E12))),"")</f>
        <v/>
      </c>
      <c r="F19" s="412" t="str">
        <f t="shared" ca="1" si="32"/>
        <v/>
      </c>
      <c r="G19" s="412" t="str">
        <f t="shared" ca="1" si="32"/>
        <v/>
      </c>
      <c r="H19" s="412" t="str">
        <f t="shared" ca="1" si="32"/>
        <v/>
      </c>
      <c r="I19" s="412" t="str">
        <f t="shared" ca="1" si="32"/>
        <v/>
      </c>
      <c r="J19" s="412" t="str">
        <f t="shared" ca="1" si="32"/>
        <v/>
      </c>
      <c r="K19" s="412" t="str">
        <f t="shared" ca="1" si="32"/>
        <v/>
      </c>
      <c r="L19" s="412" t="str">
        <f t="shared" ca="1" si="32"/>
        <v/>
      </c>
      <c r="M19" s="412" t="str">
        <f t="shared" ca="1" si="32"/>
        <v/>
      </c>
      <c r="N19" s="412" t="str">
        <f t="shared" ca="1" si="32"/>
        <v/>
      </c>
      <c r="O19" s="412" t="str">
        <f t="shared" ca="1" si="32"/>
        <v/>
      </c>
      <c r="P19" s="412" t="str">
        <f t="shared" ca="1" si="32"/>
        <v/>
      </c>
      <c r="Q19" s="412" t="str">
        <f t="shared" ca="1" si="32"/>
        <v/>
      </c>
      <c r="R19" s="412" t="str">
        <f t="shared" ca="1" si="32"/>
        <v/>
      </c>
      <c r="S19" s="412" t="str">
        <f t="shared" ca="1" si="32"/>
        <v/>
      </c>
      <c r="T19" s="412" t="str">
        <f t="shared" ca="1" si="32"/>
        <v/>
      </c>
      <c r="U19" s="412" t="str">
        <f t="shared" ca="1" si="32"/>
        <v/>
      </c>
      <c r="V19" s="412" t="str">
        <f t="shared" ca="1" si="32"/>
        <v/>
      </c>
      <c r="W19" s="412" t="str">
        <f t="shared" ca="1" si="32"/>
        <v/>
      </c>
      <c r="X19" s="412" t="str">
        <f t="shared" ca="1" si="32"/>
        <v/>
      </c>
      <c r="Y19" s="412" t="str">
        <f t="shared" ca="1" si="32"/>
        <v/>
      </c>
      <c r="Z19" s="412" t="str">
        <f t="shared" ca="1" si="32"/>
        <v/>
      </c>
      <c r="AA19" s="412" t="str">
        <f t="shared" ca="1" si="32"/>
        <v/>
      </c>
      <c r="AB19" s="412" t="str">
        <f t="shared" ca="1" si="32"/>
        <v/>
      </c>
      <c r="AC19" s="412" t="str">
        <f t="shared" ca="1" si="32"/>
        <v/>
      </c>
      <c r="AD19" s="412" t="str">
        <f t="shared" ca="1" si="32"/>
        <v/>
      </c>
      <c r="AE19" s="412" t="str">
        <f t="shared" ca="1" si="32"/>
        <v/>
      </c>
      <c r="AF19" s="412" t="str">
        <f t="shared" ca="1" si="32"/>
        <v/>
      </c>
      <c r="AG19" s="412" t="str">
        <f t="shared" ca="1" si="32"/>
        <v/>
      </c>
      <c r="AH19" s="412" t="str">
        <f t="shared" ca="1" si="32"/>
        <v/>
      </c>
      <c r="AI19" s="412" t="str">
        <f t="shared" ca="1" si="32"/>
        <v/>
      </c>
      <c r="AJ19" s="412" t="str">
        <f t="shared" ca="1" si="32"/>
        <v/>
      </c>
      <c r="AK19" s="412" t="str">
        <f t="shared" ref="AK19:BP19" ca="1" si="33">IFERROR(IF((INDEX($E10:$CL17,8,MATCH(base,$E10:$CL10,0))/INDEX($E10:$CL17,3,MATCH(sector_base,$E10:$CL10,0))/(AK17/AK12))&gt;=1,1,(INDEX($E10:$CL17,8,MATCH(base,$E10:$CL10,0))/INDEX($E10:$CL17,3,MATCH(base,$E10:$CL10,0))/(AK17/AK12))),"")</f>
        <v/>
      </c>
      <c r="AL19" s="412" t="str">
        <f t="shared" ca="1" si="33"/>
        <v/>
      </c>
      <c r="AM19" s="412" t="str">
        <f t="shared" ca="1" si="33"/>
        <v/>
      </c>
      <c r="AN19" s="412" t="str">
        <f t="shared" ca="1" si="33"/>
        <v/>
      </c>
      <c r="AO19" s="412" t="str">
        <f t="shared" ca="1" si="33"/>
        <v/>
      </c>
      <c r="AP19" s="412" t="str">
        <f t="shared" ca="1" si="33"/>
        <v/>
      </c>
      <c r="AQ19" s="412" t="str">
        <f t="shared" ca="1" si="33"/>
        <v/>
      </c>
      <c r="AR19" s="412" t="str">
        <f t="shared" ca="1" si="33"/>
        <v/>
      </c>
      <c r="AS19" s="412" t="str">
        <f t="shared" ca="1" si="33"/>
        <v/>
      </c>
      <c r="AT19" s="412" t="str">
        <f t="shared" ca="1" si="33"/>
        <v/>
      </c>
      <c r="AU19" s="412" t="str">
        <f t="shared" ca="1" si="33"/>
        <v/>
      </c>
      <c r="AV19" s="412" t="str">
        <f t="shared" ca="1" si="33"/>
        <v/>
      </c>
      <c r="AW19" s="412" t="str">
        <f t="shared" ca="1" si="33"/>
        <v/>
      </c>
      <c r="AX19" s="412" t="str">
        <f t="shared" ca="1" si="33"/>
        <v/>
      </c>
      <c r="AY19" s="412" t="str">
        <f t="shared" ca="1" si="33"/>
        <v/>
      </c>
      <c r="AZ19" s="412" t="str">
        <f t="shared" ca="1" si="33"/>
        <v/>
      </c>
      <c r="BA19" s="412" t="str">
        <f t="shared" ca="1" si="33"/>
        <v/>
      </c>
      <c r="BB19" s="412" t="str">
        <f t="shared" ca="1" si="33"/>
        <v/>
      </c>
      <c r="BC19" s="412" t="str">
        <f t="shared" ca="1" si="33"/>
        <v/>
      </c>
      <c r="BD19" s="412" t="str">
        <f t="shared" ca="1" si="33"/>
        <v/>
      </c>
      <c r="BE19" s="412" t="str">
        <f t="shared" ca="1" si="33"/>
        <v/>
      </c>
      <c r="BF19" s="412" t="str">
        <f t="shared" ca="1" si="33"/>
        <v/>
      </c>
      <c r="BG19" s="412" t="str">
        <f t="shared" ca="1" si="33"/>
        <v/>
      </c>
      <c r="BH19" s="412" t="str">
        <f t="shared" ca="1" si="33"/>
        <v/>
      </c>
      <c r="BI19" s="412" t="str">
        <f t="shared" ca="1" si="33"/>
        <v/>
      </c>
      <c r="BJ19" s="412" t="str">
        <f t="shared" ca="1" si="33"/>
        <v/>
      </c>
      <c r="BK19" s="412" t="str">
        <f t="shared" ca="1" si="33"/>
        <v/>
      </c>
      <c r="BL19" s="412" t="str">
        <f t="shared" ca="1" si="33"/>
        <v/>
      </c>
      <c r="BM19" s="412" t="str">
        <f t="shared" ca="1" si="33"/>
        <v/>
      </c>
      <c r="BN19" s="412" t="str">
        <f t="shared" ca="1" si="33"/>
        <v/>
      </c>
      <c r="BO19" s="412" t="str">
        <f t="shared" ca="1" si="33"/>
        <v/>
      </c>
      <c r="BP19" s="412" t="str">
        <f t="shared" ca="1" si="33"/>
        <v/>
      </c>
      <c r="BQ19" s="412" t="str">
        <f t="shared" ref="BQ19:CL19" ca="1" si="34">IFERROR(IF((INDEX($E10:$CL17,8,MATCH(base,$E10:$CL10,0))/INDEX($E10:$CL17,3,MATCH(sector_base,$E10:$CL10,0))/(BQ17/BQ12))&gt;=1,1,(INDEX($E10:$CL17,8,MATCH(base,$E10:$CL10,0))/INDEX($E10:$CL17,3,MATCH(base,$E10:$CL10,0))/(BQ17/BQ12))),"")</f>
        <v/>
      </c>
      <c r="BR19" s="412" t="str">
        <f t="shared" ca="1" si="34"/>
        <v/>
      </c>
      <c r="BS19" s="412" t="str">
        <f t="shared" ca="1" si="34"/>
        <v/>
      </c>
      <c r="BT19" s="412" t="str">
        <f t="shared" ca="1" si="34"/>
        <v/>
      </c>
      <c r="BU19" s="412" t="str">
        <f t="shared" ca="1" si="34"/>
        <v/>
      </c>
      <c r="BV19" s="412" t="str">
        <f t="shared" ca="1" si="34"/>
        <v/>
      </c>
      <c r="BW19" s="412" t="str">
        <f t="shared" ca="1" si="34"/>
        <v/>
      </c>
      <c r="BX19" s="412" t="str">
        <f t="shared" ca="1" si="34"/>
        <v/>
      </c>
      <c r="BY19" s="412" t="str">
        <f t="shared" ca="1" si="34"/>
        <v/>
      </c>
      <c r="BZ19" s="412" t="str">
        <f t="shared" ca="1" si="34"/>
        <v/>
      </c>
      <c r="CA19" s="412" t="str">
        <f t="shared" ca="1" si="34"/>
        <v/>
      </c>
      <c r="CB19" s="412" t="str">
        <f t="shared" ca="1" si="34"/>
        <v/>
      </c>
      <c r="CC19" s="412" t="str">
        <f t="shared" ca="1" si="34"/>
        <v/>
      </c>
      <c r="CD19" s="412" t="str">
        <f t="shared" ca="1" si="34"/>
        <v/>
      </c>
      <c r="CE19" s="412" t="str">
        <f t="shared" ca="1" si="34"/>
        <v/>
      </c>
      <c r="CF19" s="412" t="str">
        <f t="shared" ca="1" si="34"/>
        <v/>
      </c>
      <c r="CG19" s="412" t="str">
        <f t="shared" ca="1" si="34"/>
        <v/>
      </c>
      <c r="CH19" s="412" t="str">
        <f t="shared" ca="1" si="34"/>
        <v/>
      </c>
      <c r="CI19" s="412" t="str">
        <f t="shared" ca="1" si="34"/>
        <v/>
      </c>
      <c r="CJ19" s="412" t="str">
        <f t="shared" ca="1" si="34"/>
        <v/>
      </c>
      <c r="CK19" s="412" t="str">
        <f t="shared" ca="1" si="34"/>
        <v/>
      </c>
      <c r="CL19" s="412" t="str">
        <f t="shared" ca="1" si="34"/>
        <v/>
      </c>
      <c r="CN19" s="406" t="str">
        <f ca="1">IFERROR((Y19/H19)^(1/17)-1,"")</f>
        <v/>
      </c>
      <c r="CO19" s="406" t="str">
        <f ca="1">IFERROR((AN19/Y19)^(1/15)-1,"")</f>
        <v/>
      </c>
      <c r="CP19" s="406" t="str">
        <f ca="1">IFERROR((AN19/H19)^(1/32)-1,"")</f>
        <v/>
      </c>
    </row>
    <row r="20" spans="1:94" hidden="1" outlineLevel="1">
      <c r="A20" s="399"/>
      <c r="B20" s="399" t="s">
        <v>27</v>
      </c>
      <c r="C20" s="400" t="s">
        <v>303</v>
      </c>
      <c r="D20" s="400" t="s">
        <v>304</v>
      </c>
      <c r="E20" s="401" t="str">
        <f t="shared" ref="E20:AJ20" ca="1" si="35">IFERROR(IF(INDEX($E10:$CL19,9,MATCH(base,$E10:$CL10,0))-E15&lt;0,"N/A",INDEX($E10:$CL19,9,MATCH(base,$E10:$CL10,0))-E15),"")</f>
        <v/>
      </c>
      <c r="F20" s="402" t="str">
        <f t="shared" ca="1" si="35"/>
        <v/>
      </c>
      <c r="G20" s="402" t="str">
        <f t="shared" ca="1" si="35"/>
        <v/>
      </c>
      <c r="H20" s="402" t="str">
        <f t="shared" ca="1" si="35"/>
        <v/>
      </c>
      <c r="I20" s="402" t="str">
        <f t="shared" ca="1" si="35"/>
        <v/>
      </c>
      <c r="J20" s="402" t="str">
        <f t="shared" ca="1" si="35"/>
        <v/>
      </c>
      <c r="K20" s="402" t="str">
        <f t="shared" ca="1" si="35"/>
        <v/>
      </c>
      <c r="L20" s="402" t="str">
        <f t="shared" ca="1" si="35"/>
        <v/>
      </c>
      <c r="M20" s="402" t="str">
        <f t="shared" ca="1" si="35"/>
        <v/>
      </c>
      <c r="N20" s="402" t="str">
        <f t="shared" ca="1" si="35"/>
        <v/>
      </c>
      <c r="O20" s="402" t="str">
        <f t="shared" ca="1" si="35"/>
        <v/>
      </c>
      <c r="P20" s="402" t="str">
        <f t="shared" ca="1" si="35"/>
        <v/>
      </c>
      <c r="Q20" s="402" t="str">
        <f t="shared" ca="1" si="35"/>
        <v/>
      </c>
      <c r="R20" s="402" t="str">
        <f t="shared" ca="1" si="35"/>
        <v/>
      </c>
      <c r="S20" s="402" t="str">
        <f t="shared" ca="1" si="35"/>
        <v/>
      </c>
      <c r="T20" s="402" t="str">
        <f t="shared" ca="1" si="35"/>
        <v/>
      </c>
      <c r="U20" s="402" t="str">
        <f t="shared" ca="1" si="35"/>
        <v/>
      </c>
      <c r="V20" s="402" t="str">
        <f t="shared" ca="1" si="35"/>
        <v/>
      </c>
      <c r="W20" s="402" t="str">
        <f t="shared" ca="1" si="35"/>
        <v/>
      </c>
      <c r="X20" s="402" t="str">
        <f t="shared" ca="1" si="35"/>
        <v/>
      </c>
      <c r="Y20" s="402" t="str">
        <f t="shared" ca="1" si="35"/>
        <v/>
      </c>
      <c r="Z20" s="402" t="str">
        <f t="shared" ca="1" si="35"/>
        <v/>
      </c>
      <c r="AA20" s="402" t="str">
        <f t="shared" ca="1" si="35"/>
        <v/>
      </c>
      <c r="AB20" s="402" t="str">
        <f t="shared" ca="1" si="35"/>
        <v/>
      </c>
      <c r="AC20" s="402" t="str">
        <f t="shared" ca="1" si="35"/>
        <v/>
      </c>
      <c r="AD20" s="402" t="str">
        <f t="shared" ca="1" si="35"/>
        <v/>
      </c>
      <c r="AE20" s="402" t="str">
        <f t="shared" ca="1" si="35"/>
        <v/>
      </c>
      <c r="AF20" s="402" t="str">
        <f t="shared" ca="1" si="35"/>
        <v/>
      </c>
      <c r="AG20" s="402" t="str">
        <f t="shared" ca="1" si="35"/>
        <v/>
      </c>
      <c r="AH20" s="402" t="str">
        <f t="shared" ca="1" si="35"/>
        <v/>
      </c>
      <c r="AI20" s="402" t="str">
        <f t="shared" ca="1" si="35"/>
        <v/>
      </c>
      <c r="AJ20" s="402" t="str">
        <f t="shared" ca="1" si="35"/>
        <v/>
      </c>
      <c r="AK20" s="402" t="str">
        <f t="shared" ref="AK20:BP20" ca="1" si="36">IFERROR(IF(INDEX($E10:$CL19,9,MATCH(base,$E10:$CL10,0))-AK15&lt;0,"N/A",INDEX($E10:$CL19,9,MATCH(base,$E10:$CL10,0))-AK15),"")</f>
        <v/>
      </c>
      <c r="AL20" s="402" t="str">
        <f t="shared" ca="1" si="36"/>
        <v/>
      </c>
      <c r="AM20" s="402" t="str">
        <f t="shared" ca="1" si="36"/>
        <v/>
      </c>
      <c r="AN20" s="402" t="str">
        <f t="shared" ca="1" si="36"/>
        <v/>
      </c>
      <c r="AO20" s="402" t="str">
        <f t="shared" ca="1" si="36"/>
        <v/>
      </c>
      <c r="AP20" s="402" t="str">
        <f t="shared" ca="1" si="36"/>
        <v/>
      </c>
      <c r="AQ20" s="402" t="str">
        <f t="shared" ca="1" si="36"/>
        <v/>
      </c>
      <c r="AR20" s="402" t="str">
        <f t="shared" ca="1" si="36"/>
        <v/>
      </c>
      <c r="AS20" s="402" t="str">
        <f t="shared" ca="1" si="36"/>
        <v/>
      </c>
      <c r="AT20" s="402" t="str">
        <f t="shared" ca="1" si="36"/>
        <v/>
      </c>
      <c r="AU20" s="402" t="str">
        <f t="shared" ca="1" si="36"/>
        <v/>
      </c>
      <c r="AV20" s="402" t="str">
        <f t="shared" ca="1" si="36"/>
        <v/>
      </c>
      <c r="AW20" s="402" t="str">
        <f t="shared" ca="1" si="36"/>
        <v/>
      </c>
      <c r="AX20" s="402" t="str">
        <f t="shared" ca="1" si="36"/>
        <v/>
      </c>
      <c r="AY20" s="402" t="str">
        <f t="shared" ca="1" si="36"/>
        <v/>
      </c>
      <c r="AZ20" s="402" t="str">
        <f t="shared" ca="1" si="36"/>
        <v/>
      </c>
      <c r="BA20" s="402" t="str">
        <f t="shared" ca="1" si="36"/>
        <v/>
      </c>
      <c r="BB20" s="402" t="str">
        <f t="shared" ca="1" si="36"/>
        <v/>
      </c>
      <c r="BC20" s="402" t="str">
        <f t="shared" ca="1" si="36"/>
        <v/>
      </c>
      <c r="BD20" s="402" t="str">
        <f t="shared" ca="1" si="36"/>
        <v/>
      </c>
      <c r="BE20" s="402" t="str">
        <f t="shared" ca="1" si="36"/>
        <v/>
      </c>
      <c r="BF20" s="402" t="str">
        <f t="shared" ca="1" si="36"/>
        <v/>
      </c>
      <c r="BG20" s="402" t="str">
        <f t="shared" ca="1" si="36"/>
        <v/>
      </c>
      <c r="BH20" s="402" t="str">
        <f t="shared" ca="1" si="36"/>
        <v/>
      </c>
      <c r="BI20" s="402" t="str">
        <f t="shared" ca="1" si="36"/>
        <v/>
      </c>
      <c r="BJ20" s="402" t="str">
        <f t="shared" ca="1" si="36"/>
        <v/>
      </c>
      <c r="BK20" s="402" t="str">
        <f t="shared" ca="1" si="36"/>
        <v/>
      </c>
      <c r="BL20" s="402" t="str">
        <f t="shared" ca="1" si="36"/>
        <v/>
      </c>
      <c r="BM20" s="402" t="str">
        <f t="shared" ca="1" si="36"/>
        <v/>
      </c>
      <c r="BN20" s="402" t="str">
        <f t="shared" ca="1" si="36"/>
        <v/>
      </c>
      <c r="BO20" s="402" t="str">
        <f t="shared" ca="1" si="36"/>
        <v/>
      </c>
      <c r="BP20" s="402" t="str">
        <f t="shared" ca="1" si="36"/>
        <v/>
      </c>
      <c r="BQ20" s="402" t="str">
        <f t="shared" ref="BQ20:CL20" ca="1" si="37">IFERROR(IF(INDEX($E10:$CL19,9,MATCH(base,$E10:$CL10,0))-BQ15&lt;0,"N/A",INDEX($E10:$CL19,9,MATCH(base,$E10:$CL10,0))-BQ15),"")</f>
        <v/>
      </c>
      <c r="BR20" s="402" t="str">
        <f t="shared" ca="1" si="37"/>
        <v/>
      </c>
      <c r="BS20" s="402" t="str">
        <f t="shared" ca="1" si="37"/>
        <v/>
      </c>
      <c r="BT20" s="402" t="str">
        <f t="shared" ca="1" si="37"/>
        <v/>
      </c>
      <c r="BU20" s="402" t="str">
        <f t="shared" ca="1" si="37"/>
        <v/>
      </c>
      <c r="BV20" s="402" t="str">
        <f t="shared" ca="1" si="37"/>
        <v/>
      </c>
      <c r="BW20" s="402" t="str">
        <f t="shared" ca="1" si="37"/>
        <v/>
      </c>
      <c r="BX20" s="402" t="str">
        <f t="shared" ca="1" si="37"/>
        <v/>
      </c>
      <c r="BY20" s="402" t="str">
        <f t="shared" ca="1" si="37"/>
        <v/>
      </c>
      <c r="BZ20" s="402" t="str">
        <f t="shared" ca="1" si="37"/>
        <v/>
      </c>
      <c r="CA20" s="402" t="str">
        <f t="shared" ca="1" si="37"/>
        <v/>
      </c>
      <c r="CB20" s="402" t="str">
        <f t="shared" ca="1" si="37"/>
        <v/>
      </c>
      <c r="CC20" s="402" t="str">
        <f t="shared" ca="1" si="37"/>
        <v/>
      </c>
      <c r="CD20" s="402" t="str">
        <f t="shared" ca="1" si="37"/>
        <v/>
      </c>
      <c r="CE20" s="402" t="str">
        <f t="shared" ca="1" si="37"/>
        <v/>
      </c>
      <c r="CF20" s="402" t="str">
        <f t="shared" ca="1" si="37"/>
        <v/>
      </c>
      <c r="CG20" s="402" t="str">
        <f t="shared" ca="1" si="37"/>
        <v/>
      </c>
      <c r="CH20" s="402" t="str">
        <f t="shared" ca="1" si="37"/>
        <v/>
      </c>
      <c r="CI20" s="402" t="str">
        <f t="shared" ca="1" si="37"/>
        <v/>
      </c>
      <c r="CJ20" s="402" t="str">
        <f t="shared" ca="1" si="37"/>
        <v/>
      </c>
      <c r="CK20" s="402" t="str">
        <f t="shared" ca="1" si="37"/>
        <v/>
      </c>
      <c r="CL20" s="402" t="str">
        <f t="shared" ca="1" si="37"/>
        <v/>
      </c>
      <c r="CN20" s="398" t="str">
        <f ca="1">IFERROR((Y20/H20)^(1/17)-1,"")</f>
        <v/>
      </c>
      <c r="CO20" s="398" t="str">
        <f ca="1">IFERROR((AN20/Y20)^(1/15)-1,"")</f>
        <v/>
      </c>
      <c r="CP20" s="398" t="str">
        <f ca="1">IFERROR((AN20/H20)^(1/32)-1,"")</f>
        <v/>
      </c>
    </row>
    <row r="21" spans="1:94" hidden="1" outlineLevel="1">
      <c r="A21" s="403" t="s">
        <v>255</v>
      </c>
      <c r="B21" s="403" t="s">
        <v>256</v>
      </c>
      <c r="C21" s="403" t="s">
        <v>305</v>
      </c>
      <c r="D21" s="403" t="s">
        <v>306</v>
      </c>
      <c r="E21" s="405" t="e">
        <f t="shared" ref="E21:N21" si="38">IF(E8&lt;sector_base,NA(),IF($B$6="ON", IF(E8&gt;=covid_start, IF(E8&lt;covid_recovery,NA(),IFERROR(E15+(E14*E20*E19),0)),IFERROR(E15+(E14*E20*E19),0)),IFERROR(E15+(E14*E20*E19),0)))</f>
        <v>#N/A</v>
      </c>
      <c r="F21" s="405" t="e">
        <f t="shared" si="38"/>
        <v>#N/A</v>
      </c>
      <c r="G21" s="405" t="e">
        <f t="shared" si="38"/>
        <v>#N/A</v>
      </c>
      <c r="H21" s="405" t="e">
        <f>IF(H8&lt;sector_base,NA(),IF($B$6="ON", IF(H8&gt;=covid_start, IF(H8&lt;covid_recovery,NA(),IFERROR(H15+(H14*H20*H19),0)),IFERROR(H15+(H14*H20*H19),0)),IFERROR(H15+(H14*H20*H19),0)))</f>
        <v>#N/A</v>
      </c>
      <c r="I21" s="405">
        <f ca="1">IF(I8&lt;sector_base,NA(),IF($B$6="ON", IF(I8&gt;=covid_start, IF(I8&lt;covid_recovery,NA(),IFERROR(I15+(I14*I20*I19),0)),IFERROR(I15+(I14*I20*I19),0)),IFERROR(I15+(I14*I20*I19),0)))</f>
        <v>0</v>
      </c>
      <c r="J21" s="405" t="e">
        <f t="shared" si="38"/>
        <v>#N/A</v>
      </c>
      <c r="K21" s="405" t="e">
        <f t="shared" si="38"/>
        <v>#N/A</v>
      </c>
      <c r="L21" s="405" t="e">
        <f t="shared" si="38"/>
        <v>#N/A</v>
      </c>
      <c r="M21" s="405">
        <f t="shared" ca="1" si="38"/>
        <v>0</v>
      </c>
      <c r="N21" s="405">
        <f t="shared" ca="1" si="38"/>
        <v>0</v>
      </c>
      <c r="O21" s="405">
        <f t="shared" ref="O21:AT21" ca="1" si="39">IF(O8&lt;sector_base,NA(),IF($B$6="ON", IF(O8&gt;=covid_start, IF(O8&lt;covid_recovery,NA(),IFERROR(O15+(O14*O20*O19),0)),IFERROR(O15+(O14*O20*O19),0)),IFERROR(O15+(O14*O20*O19),0)))</f>
        <v>0</v>
      </c>
      <c r="P21" s="405">
        <f t="shared" ca="1" si="39"/>
        <v>0</v>
      </c>
      <c r="Q21" s="405">
        <f t="shared" ca="1" si="39"/>
        <v>0</v>
      </c>
      <c r="R21" s="405">
        <f t="shared" ca="1" si="39"/>
        <v>0</v>
      </c>
      <c r="S21" s="405">
        <f t="shared" ca="1" si="39"/>
        <v>0</v>
      </c>
      <c r="T21" s="405">
        <f t="shared" ca="1" si="39"/>
        <v>0</v>
      </c>
      <c r="U21" s="405">
        <f t="shared" ca="1" si="39"/>
        <v>0</v>
      </c>
      <c r="V21" s="405">
        <f t="shared" ca="1" si="39"/>
        <v>0</v>
      </c>
      <c r="W21" s="405">
        <f t="shared" ca="1" si="39"/>
        <v>0</v>
      </c>
      <c r="X21" s="405">
        <f t="shared" ca="1" si="39"/>
        <v>0</v>
      </c>
      <c r="Y21" s="405">
        <f t="shared" ca="1" si="39"/>
        <v>0</v>
      </c>
      <c r="Z21" s="405">
        <f t="shared" ca="1" si="39"/>
        <v>0</v>
      </c>
      <c r="AA21" s="405">
        <f t="shared" ca="1" si="39"/>
        <v>0</v>
      </c>
      <c r="AB21" s="405">
        <f t="shared" ca="1" si="39"/>
        <v>0</v>
      </c>
      <c r="AC21" s="405">
        <f t="shared" ca="1" si="39"/>
        <v>0</v>
      </c>
      <c r="AD21" s="405">
        <f t="shared" ca="1" si="39"/>
        <v>0</v>
      </c>
      <c r="AE21" s="405">
        <f t="shared" ca="1" si="39"/>
        <v>0</v>
      </c>
      <c r="AF21" s="405">
        <f t="shared" ca="1" si="39"/>
        <v>0</v>
      </c>
      <c r="AG21" s="405">
        <f t="shared" ca="1" si="39"/>
        <v>0</v>
      </c>
      <c r="AH21" s="405">
        <f t="shared" ca="1" si="39"/>
        <v>0</v>
      </c>
      <c r="AI21" s="405">
        <f t="shared" ca="1" si="39"/>
        <v>0</v>
      </c>
      <c r="AJ21" s="405">
        <f t="shared" ca="1" si="39"/>
        <v>0</v>
      </c>
      <c r="AK21" s="405">
        <f t="shared" ca="1" si="39"/>
        <v>0</v>
      </c>
      <c r="AL21" s="405">
        <f t="shared" ca="1" si="39"/>
        <v>0</v>
      </c>
      <c r="AM21" s="405">
        <f t="shared" ca="1" si="39"/>
        <v>0</v>
      </c>
      <c r="AN21" s="405">
        <f t="shared" ca="1" si="39"/>
        <v>0</v>
      </c>
      <c r="AO21" s="405">
        <f t="shared" ca="1" si="39"/>
        <v>0</v>
      </c>
      <c r="AP21" s="405">
        <f t="shared" ca="1" si="39"/>
        <v>0</v>
      </c>
      <c r="AQ21" s="405">
        <f t="shared" ca="1" si="39"/>
        <v>0</v>
      </c>
      <c r="AR21" s="405">
        <f t="shared" ca="1" si="39"/>
        <v>0</v>
      </c>
      <c r="AS21" s="405">
        <f t="shared" ca="1" si="39"/>
        <v>0</v>
      </c>
      <c r="AT21" s="405">
        <f t="shared" ca="1" si="39"/>
        <v>0</v>
      </c>
      <c r="AU21" s="405">
        <f t="shared" ref="AU21:BZ21" ca="1" si="40">IF(AU8&lt;sector_base,NA(),IF($B$6="ON", IF(AU8&gt;=covid_start, IF(AU8&lt;covid_recovery,NA(),IFERROR(AU15+(AU14*AU20*AU19),0)),IFERROR(AU15+(AU14*AU20*AU19),0)),IFERROR(AU15+(AU14*AU20*AU19),0)))</f>
        <v>0</v>
      </c>
      <c r="AV21" s="405">
        <f t="shared" ca="1" si="40"/>
        <v>0</v>
      </c>
      <c r="AW21" s="405">
        <f t="shared" ca="1" si="40"/>
        <v>0</v>
      </c>
      <c r="AX21" s="405">
        <f t="shared" ca="1" si="40"/>
        <v>0</v>
      </c>
      <c r="AY21" s="405">
        <f t="shared" ca="1" si="40"/>
        <v>0</v>
      </c>
      <c r="AZ21" s="405">
        <f t="shared" ca="1" si="40"/>
        <v>0</v>
      </c>
      <c r="BA21" s="405">
        <f t="shared" ca="1" si="40"/>
        <v>0</v>
      </c>
      <c r="BB21" s="405">
        <f t="shared" ca="1" si="40"/>
        <v>0</v>
      </c>
      <c r="BC21" s="405">
        <f t="shared" ca="1" si="40"/>
        <v>0</v>
      </c>
      <c r="BD21" s="405">
        <f t="shared" ca="1" si="40"/>
        <v>0</v>
      </c>
      <c r="BE21" s="405">
        <f t="shared" ca="1" si="40"/>
        <v>0</v>
      </c>
      <c r="BF21" s="405">
        <f t="shared" ca="1" si="40"/>
        <v>0</v>
      </c>
      <c r="BG21" s="405">
        <f t="shared" ca="1" si="40"/>
        <v>0</v>
      </c>
      <c r="BH21" s="405">
        <f t="shared" ca="1" si="40"/>
        <v>0</v>
      </c>
      <c r="BI21" s="405">
        <f t="shared" ca="1" si="40"/>
        <v>0</v>
      </c>
      <c r="BJ21" s="405">
        <f t="shared" ca="1" si="40"/>
        <v>0</v>
      </c>
      <c r="BK21" s="405">
        <f t="shared" ca="1" si="40"/>
        <v>0</v>
      </c>
      <c r="BL21" s="405">
        <f t="shared" ca="1" si="40"/>
        <v>0</v>
      </c>
      <c r="BM21" s="405">
        <f t="shared" ca="1" si="40"/>
        <v>0</v>
      </c>
      <c r="BN21" s="405">
        <f t="shared" ca="1" si="40"/>
        <v>0</v>
      </c>
      <c r="BO21" s="405">
        <f t="shared" ca="1" si="40"/>
        <v>0</v>
      </c>
      <c r="BP21" s="405">
        <f t="shared" ca="1" si="40"/>
        <v>0</v>
      </c>
      <c r="BQ21" s="405">
        <f t="shared" ca="1" si="40"/>
        <v>0</v>
      </c>
      <c r="BR21" s="405">
        <f t="shared" ca="1" si="40"/>
        <v>0</v>
      </c>
      <c r="BS21" s="405">
        <f t="shared" ca="1" si="40"/>
        <v>0</v>
      </c>
      <c r="BT21" s="405">
        <f t="shared" ca="1" si="40"/>
        <v>0</v>
      </c>
      <c r="BU21" s="405">
        <f t="shared" ca="1" si="40"/>
        <v>0</v>
      </c>
      <c r="BV21" s="405">
        <f t="shared" ca="1" si="40"/>
        <v>0</v>
      </c>
      <c r="BW21" s="405">
        <f t="shared" ca="1" si="40"/>
        <v>0</v>
      </c>
      <c r="BX21" s="405">
        <f t="shared" ca="1" si="40"/>
        <v>0</v>
      </c>
      <c r="BY21" s="405">
        <f t="shared" ca="1" si="40"/>
        <v>0</v>
      </c>
      <c r="BZ21" s="405">
        <f t="shared" ca="1" si="40"/>
        <v>0</v>
      </c>
      <c r="CA21" s="405">
        <f t="shared" ref="CA21:CL21" ca="1" si="41">IF(CA8&lt;sector_base,NA(),IF($B$6="ON", IF(CA8&gt;=covid_start, IF(CA8&lt;covid_recovery,NA(),IFERROR(CA15+(CA14*CA20*CA19),0)),IFERROR(CA15+(CA14*CA20*CA19),0)),IFERROR(CA15+(CA14*CA20*CA19),0)))</f>
        <v>0</v>
      </c>
      <c r="CB21" s="405">
        <f t="shared" ca="1" si="41"/>
        <v>0</v>
      </c>
      <c r="CC21" s="405">
        <f t="shared" ca="1" si="41"/>
        <v>0</v>
      </c>
      <c r="CD21" s="405">
        <f t="shared" ca="1" si="41"/>
        <v>0</v>
      </c>
      <c r="CE21" s="405">
        <f t="shared" ca="1" si="41"/>
        <v>0</v>
      </c>
      <c r="CF21" s="405">
        <f t="shared" ca="1" si="41"/>
        <v>0</v>
      </c>
      <c r="CG21" s="405">
        <f t="shared" ca="1" si="41"/>
        <v>0</v>
      </c>
      <c r="CH21" s="405">
        <f t="shared" ca="1" si="41"/>
        <v>0</v>
      </c>
      <c r="CI21" s="405">
        <f t="shared" ca="1" si="41"/>
        <v>0</v>
      </c>
      <c r="CJ21" s="405">
        <f t="shared" ca="1" si="41"/>
        <v>0</v>
      </c>
      <c r="CK21" s="405">
        <f t="shared" ca="1" si="41"/>
        <v>0</v>
      </c>
      <c r="CL21" s="405">
        <f t="shared" ca="1" si="41"/>
        <v>0</v>
      </c>
      <c r="CN21" s="406" t="str">
        <f ca="1">IFERROR((Y21/H21)^(1/17)-1,"")</f>
        <v/>
      </c>
      <c r="CO21" s="406" t="str">
        <f ca="1">IFERROR((AN21/Y21)^(1/15)-1,"")</f>
        <v/>
      </c>
      <c r="CP21" s="406" t="str">
        <f ca="1">IFERROR((AN21/H21)^(1/32)-1,"")</f>
        <v/>
      </c>
    </row>
    <row r="22" spans="1:94" hidden="1" outlineLevel="1">
      <c r="A22" s="400" t="s">
        <v>255</v>
      </c>
      <c r="B22" s="400" t="s">
        <v>129</v>
      </c>
      <c r="C22" s="400" t="s">
        <v>307</v>
      </c>
      <c r="D22" s="400"/>
      <c r="E22" s="413" t="e">
        <f>IF(E10=base,E21, IF(E10=target,E21,#N/A))</f>
        <v>#N/A</v>
      </c>
      <c r="F22" s="407" t="e">
        <f t="shared" ref="F22" si="42">IF(F18=base,F21, IF(F18=target,F21,#N/A))</f>
        <v>#N/A</v>
      </c>
      <c r="G22" s="407" t="e">
        <f t="shared" ref="G22" si="43">IF(G18=base,G21, IF(G18=target,G21,#N/A))</f>
        <v>#N/A</v>
      </c>
      <c r="H22" s="407" t="e">
        <f>IF(H10=base,H21, IF(H10=target,H21,#N/A))</f>
        <v>#N/A</v>
      </c>
      <c r="I22" s="407">
        <f t="shared" ref="I22:AN22" ca="1" si="44">IF(I10=base,I21, IF(I10=target,I21,#N/A))</f>
        <v>0</v>
      </c>
      <c r="J22" s="407" t="e">
        <f t="shared" si="44"/>
        <v>#N/A</v>
      </c>
      <c r="K22" s="407" t="e">
        <f t="shared" si="44"/>
        <v>#N/A</v>
      </c>
      <c r="L22" s="407" t="e">
        <f t="shared" si="44"/>
        <v>#N/A</v>
      </c>
      <c r="M22" s="407" t="e">
        <f t="shared" si="44"/>
        <v>#N/A</v>
      </c>
      <c r="N22" s="407" t="e">
        <f t="shared" si="44"/>
        <v>#N/A</v>
      </c>
      <c r="O22" s="407" t="e">
        <f t="shared" si="44"/>
        <v>#N/A</v>
      </c>
      <c r="P22" s="407" t="e">
        <f t="shared" si="44"/>
        <v>#N/A</v>
      </c>
      <c r="Q22" s="407" t="e">
        <f t="shared" si="44"/>
        <v>#N/A</v>
      </c>
      <c r="R22" s="407" t="e">
        <f t="shared" si="44"/>
        <v>#N/A</v>
      </c>
      <c r="S22" s="407" t="e">
        <f t="shared" si="44"/>
        <v>#N/A</v>
      </c>
      <c r="T22" s="407" t="e">
        <f t="shared" si="44"/>
        <v>#N/A</v>
      </c>
      <c r="U22" s="407" t="e">
        <f t="shared" si="44"/>
        <v>#N/A</v>
      </c>
      <c r="V22" s="407" t="e">
        <f t="shared" si="44"/>
        <v>#N/A</v>
      </c>
      <c r="W22" s="407" t="e">
        <f t="shared" si="44"/>
        <v>#N/A</v>
      </c>
      <c r="X22" s="407" t="e">
        <f t="shared" si="44"/>
        <v>#N/A</v>
      </c>
      <c r="Y22" s="407" t="e">
        <f>IF(Y10=base,Y21, IF(Y10=target,Y21,#N/A))</f>
        <v>#N/A</v>
      </c>
      <c r="Z22" s="407" t="e">
        <f t="shared" si="44"/>
        <v>#N/A</v>
      </c>
      <c r="AA22" s="407" t="e">
        <f t="shared" si="44"/>
        <v>#N/A</v>
      </c>
      <c r="AB22" s="407" t="e">
        <f t="shared" si="44"/>
        <v>#N/A</v>
      </c>
      <c r="AC22" s="407" t="e">
        <f t="shared" si="44"/>
        <v>#N/A</v>
      </c>
      <c r="AD22" s="407" t="e">
        <f t="shared" si="44"/>
        <v>#N/A</v>
      </c>
      <c r="AE22" s="407" t="e">
        <f t="shared" si="44"/>
        <v>#N/A</v>
      </c>
      <c r="AF22" s="407" t="e">
        <f t="shared" si="44"/>
        <v>#N/A</v>
      </c>
      <c r="AG22" s="407" t="e">
        <f t="shared" si="44"/>
        <v>#N/A</v>
      </c>
      <c r="AH22" s="407" t="e">
        <f t="shared" si="44"/>
        <v>#N/A</v>
      </c>
      <c r="AI22" s="407" t="e">
        <f t="shared" si="44"/>
        <v>#N/A</v>
      </c>
      <c r="AJ22" s="407" t="e">
        <f t="shared" si="44"/>
        <v>#N/A</v>
      </c>
      <c r="AK22" s="407" t="e">
        <f t="shared" si="44"/>
        <v>#N/A</v>
      </c>
      <c r="AL22" s="407" t="e">
        <f t="shared" si="44"/>
        <v>#N/A</v>
      </c>
      <c r="AM22" s="407" t="e">
        <f t="shared" si="44"/>
        <v>#N/A</v>
      </c>
      <c r="AN22" s="407" t="e">
        <f t="shared" si="44"/>
        <v>#N/A</v>
      </c>
      <c r="AO22" s="407">
        <f t="shared" ref="AO22" ca="1" si="45">IF(AO18=base,AO21, IF(AO18=target,AO21,#N/A))</f>
        <v>0</v>
      </c>
      <c r="AP22" s="407">
        <f t="shared" ref="AP22" ca="1" si="46">IF(AP18=base,AP21, IF(AP18=target,AP21,#N/A))</f>
        <v>0</v>
      </c>
      <c r="AQ22" s="407">
        <f t="shared" ref="AQ22" ca="1" si="47">IF(AQ18=base,AQ21, IF(AQ18=target,AQ21,#N/A))</f>
        <v>0</v>
      </c>
      <c r="AR22" s="407">
        <f t="shared" ref="AR22" ca="1" si="48">IF(AR18=base,AR21, IF(AR18=target,AR21,#N/A))</f>
        <v>0</v>
      </c>
      <c r="AS22" s="407">
        <f t="shared" ref="AS22" ca="1" si="49">IF(AS18=base,AS21, IF(AS18=target,AS21,#N/A))</f>
        <v>0</v>
      </c>
      <c r="AT22" s="407">
        <f t="shared" ref="AT22" ca="1" si="50">IF(AT18=base,AT21, IF(AT18=target,AT21,#N/A))</f>
        <v>0</v>
      </c>
      <c r="AU22" s="407">
        <f t="shared" ref="AU22" ca="1" si="51">IF(AU18=base,AU21, IF(AU18=target,AU21,#N/A))</f>
        <v>0</v>
      </c>
      <c r="AV22" s="407">
        <f t="shared" ref="AV22" ca="1" si="52">IF(AV18=base,AV21, IF(AV18=target,AV21,#N/A))</f>
        <v>0</v>
      </c>
      <c r="AW22" s="407">
        <f t="shared" ref="AW22" ca="1" si="53">IF(AW18=base,AW21, IF(AW18=target,AW21,#N/A))</f>
        <v>0</v>
      </c>
      <c r="AX22" s="407">
        <f t="shared" ref="AX22" ca="1" si="54">IF(AX18=base,AX21, IF(AX18=target,AX21,#N/A))</f>
        <v>0</v>
      </c>
      <c r="AY22" s="407">
        <f t="shared" ref="AY22" ca="1" si="55">IF(AY18=base,AY21, IF(AY18=target,AY21,#N/A))</f>
        <v>0</v>
      </c>
      <c r="AZ22" s="407">
        <f t="shared" ref="AZ22" ca="1" si="56">IF(AZ18=base,AZ21, IF(AZ18=target,AZ21,#N/A))</f>
        <v>0</v>
      </c>
      <c r="BA22" s="407">
        <f t="shared" ref="BA22" ca="1" si="57">IF(BA18=base,BA21, IF(BA18=target,BA21,#N/A))</f>
        <v>0</v>
      </c>
      <c r="BB22" s="407">
        <f t="shared" ref="BB22" ca="1" si="58">IF(BB18=base,BB21, IF(BB18=target,BB21,#N/A))</f>
        <v>0</v>
      </c>
      <c r="BC22" s="407">
        <f t="shared" ref="BC22" ca="1" si="59">IF(BC18=base,BC21, IF(BC18=target,BC21,#N/A))</f>
        <v>0</v>
      </c>
      <c r="BD22" s="407">
        <f t="shared" ref="BD22" ca="1" si="60">IF(BD18=base,BD21, IF(BD18=target,BD21,#N/A))</f>
        <v>0</v>
      </c>
      <c r="BE22" s="407">
        <f t="shared" ref="BE22" ca="1" si="61">IF(BE18=base,BE21, IF(BE18=target,BE21,#N/A))</f>
        <v>0</v>
      </c>
      <c r="BF22" s="407">
        <f t="shared" ref="BF22" ca="1" si="62">IF(BF18=base,BF21, IF(BF18=target,BF21,#N/A))</f>
        <v>0</v>
      </c>
      <c r="BG22" s="407">
        <f t="shared" ref="BG22" ca="1" si="63">IF(BG18=base,BG21, IF(BG18=target,BG21,#N/A))</f>
        <v>0</v>
      </c>
      <c r="BH22" s="407">
        <f t="shared" ref="BH22" ca="1" si="64">IF(BH18=base,BH21, IF(BH18=target,BH21,#N/A))</f>
        <v>0</v>
      </c>
      <c r="BI22" s="407">
        <f t="shared" ref="BI22" ca="1" si="65">IF(BI18=base,BI21, IF(BI18=target,BI21,#N/A))</f>
        <v>0</v>
      </c>
      <c r="BJ22" s="407">
        <f t="shared" ref="BJ22" ca="1" si="66">IF(BJ18=base,BJ21, IF(BJ18=target,BJ21,#N/A))</f>
        <v>0</v>
      </c>
      <c r="BK22" s="407">
        <f t="shared" ref="BK22" ca="1" si="67">IF(BK18=base,BK21, IF(BK18=target,BK21,#N/A))</f>
        <v>0</v>
      </c>
      <c r="BL22" s="407">
        <f t="shared" ref="BL22" ca="1" si="68">IF(BL18=base,BL21, IF(BL18=target,BL21,#N/A))</f>
        <v>0</v>
      </c>
      <c r="BM22" s="407">
        <f t="shared" ref="BM22" ca="1" si="69">IF(BM18=base,BM21, IF(BM18=target,BM21,#N/A))</f>
        <v>0</v>
      </c>
      <c r="BN22" s="407">
        <f t="shared" ref="BN22" ca="1" si="70">IF(BN18=base,BN21, IF(BN18=target,BN21,#N/A))</f>
        <v>0</v>
      </c>
      <c r="BO22" s="407">
        <f t="shared" ref="BO22" ca="1" si="71">IF(BO18=base,BO21, IF(BO18=target,BO21,#N/A))</f>
        <v>0</v>
      </c>
      <c r="BP22" s="407">
        <f t="shared" ref="BP22" ca="1" si="72">IF(BP18=base,BP21, IF(BP18=target,BP21,#N/A))</f>
        <v>0</v>
      </c>
      <c r="BQ22" s="407">
        <f t="shared" ref="BQ22" ca="1" si="73">IF(BQ18=base,BQ21, IF(BQ18=target,BQ21,#N/A))</f>
        <v>0</v>
      </c>
      <c r="BR22" s="407">
        <f t="shared" ref="BR22" ca="1" si="74">IF(BR18=base,BR21, IF(BR18=target,BR21,#N/A))</f>
        <v>0</v>
      </c>
      <c r="BS22" s="407">
        <f t="shared" ref="BS22" ca="1" si="75">IF(BS18=base,BS21, IF(BS18=target,BS21,#N/A))</f>
        <v>0</v>
      </c>
      <c r="BT22" s="407">
        <f t="shared" ref="BT22" ca="1" si="76">IF(BT18=base,BT21, IF(BT18=target,BT21,#N/A))</f>
        <v>0</v>
      </c>
      <c r="BU22" s="407">
        <f t="shared" ref="BU22" ca="1" si="77">IF(BU18=base,BU21, IF(BU18=target,BU21,#N/A))</f>
        <v>0</v>
      </c>
      <c r="BV22" s="407">
        <f t="shared" ref="BV22" ca="1" si="78">IF(BV18=base,BV21, IF(BV18=target,BV21,#N/A))</f>
        <v>0</v>
      </c>
      <c r="BW22" s="407">
        <f t="shared" ref="BW22" ca="1" si="79">IF(BW18=base,BW21, IF(BW18=target,BW21,#N/A))</f>
        <v>0</v>
      </c>
      <c r="BX22" s="407">
        <f t="shared" ref="BX22" ca="1" si="80">IF(BX18=base,BX21, IF(BX18=target,BX21,#N/A))</f>
        <v>0</v>
      </c>
      <c r="BY22" s="407">
        <f t="shared" ref="BY22" ca="1" si="81">IF(BY18=base,BY21, IF(BY18=target,BY21,#N/A))</f>
        <v>0</v>
      </c>
      <c r="BZ22" s="407">
        <f t="shared" ref="BZ22" ca="1" si="82">IF(BZ18=base,BZ21, IF(BZ18=target,BZ21,#N/A))</f>
        <v>0</v>
      </c>
      <c r="CA22" s="407">
        <f t="shared" ref="CA22" ca="1" si="83">IF(CA18=base,CA21, IF(CA18=target,CA21,#N/A))</f>
        <v>0</v>
      </c>
      <c r="CB22" s="407">
        <f t="shared" ref="CB22" ca="1" si="84">IF(CB18=base,CB21, IF(CB18=target,CB21,#N/A))</f>
        <v>0</v>
      </c>
      <c r="CC22" s="407">
        <f t="shared" ref="CC22" ca="1" si="85">IF(CC18=base,CC21, IF(CC18=target,CC21,#N/A))</f>
        <v>0</v>
      </c>
      <c r="CD22" s="407">
        <f t="shared" ref="CD22" ca="1" si="86">IF(CD18=base,CD21, IF(CD18=target,CD21,#N/A))</f>
        <v>0</v>
      </c>
      <c r="CE22" s="407">
        <f t="shared" ref="CE22" ca="1" si="87">IF(CE18=base,CE21, IF(CE18=target,CE21,#N/A))</f>
        <v>0</v>
      </c>
      <c r="CF22" s="407">
        <f t="shared" ref="CF22" ca="1" si="88">IF(CF18=base,CF21, IF(CF18=target,CF21,#N/A))</f>
        <v>0</v>
      </c>
      <c r="CG22" s="407">
        <f t="shared" ref="CG22" ca="1" si="89">IF(CG18=base,CG21, IF(CG18=target,CG21,#N/A))</f>
        <v>0</v>
      </c>
      <c r="CH22" s="407">
        <f t="shared" ref="CH22" ca="1" si="90">IF(CH18=base,CH21, IF(CH18=target,CH21,#N/A))</f>
        <v>0</v>
      </c>
      <c r="CI22" s="407">
        <f t="shared" ref="CI22" ca="1" si="91">IF(CI18=base,CI21, IF(CI18=target,CI21,#N/A))</f>
        <v>0</v>
      </c>
      <c r="CJ22" s="407">
        <f t="shared" ref="CJ22" ca="1" si="92">IF(CJ18=base,CJ21, IF(CJ18=target,CJ21,#N/A))</f>
        <v>0</v>
      </c>
      <c r="CK22" s="407">
        <f t="shared" ref="CK22" ca="1" si="93">IF(CK18=base,CK21, IF(CK18=target,CK21,#N/A))</f>
        <v>0</v>
      </c>
      <c r="CL22" s="407">
        <f t="shared" ref="CL22" ca="1" si="94">IF(CL18=base,CL21, IF(CL18=target,CL21,#N/A))</f>
        <v>0</v>
      </c>
      <c r="CN22" s="408" t="str">
        <f>IFERROR((Y22/H22)^(1/17)-1,"")</f>
        <v/>
      </c>
      <c r="CO22" s="408" t="str">
        <f>IFERROR((AN22/Y22)^(1/15)-1,"")</f>
        <v/>
      </c>
      <c r="CP22" s="408" t="str">
        <f>IFERROR((AN22/H22)^(1/32)-1,"")</f>
        <v/>
      </c>
    </row>
    <row r="23" spans="1:94" hidden="1" outlineLevel="1">
      <c r="A23" s="403" t="s">
        <v>255</v>
      </c>
      <c r="B23" s="403" t="s">
        <v>257</v>
      </c>
      <c r="C23" s="403" t="s">
        <v>308</v>
      </c>
      <c r="D23" s="403" t="s">
        <v>309</v>
      </c>
      <c r="E23" s="404">
        <f>IFERROR((E21*E17)/1000,0)</f>
        <v>0</v>
      </c>
      <c r="F23" s="405">
        <f t="shared" ref="F23" si="95">IFERROR((F21*F17)/1000,0)</f>
        <v>0</v>
      </c>
      <c r="G23" s="405">
        <f t="shared" ref="G23" si="96">IFERROR((G21*G17)/1000,0)</f>
        <v>0</v>
      </c>
      <c r="H23" s="405">
        <f>IFERROR((H21*H17)/1000,0)</f>
        <v>0</v>
      </c>
      <c r="I23" s="405">
        <f ca="1">IFERROR((I21*I17)/1000,0)</f>
        <v>0</v>
      </c>
      <c r="J23" s="405">
        <f t="shared" ref="J23" si="97">IFERROR((J21*J17)/1000,0)</f>
        <v>0</v>
      </c>
      <c r="K23" s="405">
        <f t="shared" ref="K23" si="98">IFERROR((K21*K17)/1000,0)</f>
        <v>0</v>
      </c>
      <c r="L23" s="405">
        <f t="shared" ref="L23" si="99">IFERROR((L21*L17)/1000,0)</f>
        <v>0</v>
      </c>
      <c r="M23" s="405">
        <f t="shared" ref="M23" ca="1" si="100">IFERROR((M21*M17)/1000,0)</f>
        <v>0</v>
      </c>
      <c r="N23" s="405">
        <f t="shared" ref="N23" ca="1" si="101">IFERROR((N21*N17)/1000,0)</f>
        <v>0</v>
      </c>
      <c r="O23" s="405">
        <f t="shared" ref="O23:AT23" ca="1" si="102">IFERROR((O21*O17)/1000,0)</f>
        <v>0</v>
      </c>
      <c r="P23" s="405">
        <f t="shared" ca="1" si="102"/>
        <v>0</v>
      </c>
      <c r="Q23" s="405">
        <f t="shared" ca="1" si="102"/>
        <v>0</v>
      </c>
      <c r="R23" s="405">
        <f t="shared" ca="1" si="102"/>
        <v>0</v>
      </c>
      <c r="S23" s="405">
        <f t="shared" ca="1" si="102"/>
        <v>0</v>
      </c>
      <c r="T23" s="405">
        <f t="shared" ca="1" si="102"/>
        <v>0</v>
      </c>
      <c r="U23" s="405">
        <f t="shared" ca="1" si="102"/>
        <v>0</v>
      </c>
      <c r="V23" s="405">
        <f t="shared" ca="1" si="102"/>
        <v>0</v>
      </c>
      <c r="W23" s="405">
        <f t="shared" ca="1" si="102"/>
        <v>0</v>
      </c>
      <c r="X23" s="405">
        <f t="shared" ca="1" si="102"/>
        <v>0</v>
      </c>
      <c r="Y23" s="405">
        <f t="shared" ca="1" si="102"/>
        <v>0</v>
      </c>
      <c r="Z23" s="405">
        <f t="shared" ca="1" si="102"/>
        <v>0</v>
      </c>
      <c r="AA23" s="405">
        <f t="shared" ca="1" si="102"/>
        <v>0</v>
      </c>
      <c r="AB23" s="405">
        <f t="shared" ca="1" si="102"/>
        <v>0</v>
      </c>
      <c r="AC23" s="405">
        <f t="shared" ca="1" si="102"/>
        <v>0</v>
      </c>
      <c r="AD23" s="405">
        <f t="shared" ca="1" si="102"/>
        <v>0</v>
      </c>
      <c r="AE23" s="405">
        <f t="shared" ca="1" si="102"/>
        <v>0</v>
      </c>
      <c r="AF23" s="405">
        <f t="shared" ca="1" si="102"/>
        <v>0</v>
      </c>
      <c r="AG23" s="405">
        <f t="shared" ca="1" si="102"/>
        <v>0</v>
      </c>
      <c r="AH23" s="405">
        <f t="shared" ca="1" si="102"/>
        <v>0</v>
      </c>
      <c r="AI23" s="405">
        <f t="shared" ca="1" si="102"/>
        <v>0</v>
      </c>
      <c r="AJ23" s="405">
        <f t="shared" ca="1" si="102"/>
        <v>0</v>
      </c>
      <c r="AK23" s="405">
        <f t="shared" ca="1" si="102"/>
        <v>0</v>
      </c>
      <c r="AL23" s="405">
        <f t="shared" ca="1" si="102"/>
        <v>0</v>
      </c>
      <c r="AM23" s="405">
        <f t="shared" ca="1" si="102"/>
        <v>0</v>
      </c>
      <c r="AN23" s="405">
        <f t="shared" ca="1" si="102"/>
        <v>0</v>
      </c>
      <c r="AO23" s="405">
        <f t="shared" ca="1" si="102"/>
        <v>0</v>
      </c>
      <c r="AP23" s="405">
        <f t="shared" ca="1" si="102"/>
        <v>0</v>
      </c>
      <c r="AQ23" s="405">
        <f t="shared" ca="1" si="102"/>
        <v>0</v>
      </c>
      <c r="AR23" s="405">
        <f t="shared" ca="1" si="102"/>
        <v>0</v>
      </c>
      <c r="AS23" s="405">
        <f t="shared" ca="1" si="102"/>
        <v>0</v>
      </c>
      <c r="AT23" s="405">
        <f t="shared" ca="1" si="102"/>
        <v>0</v>
      </c>
      <c r="AU23" s="405">
        <f t="shared" ref="AU23:BZ23" ca="1" si="103">IFERROR((AU21*AU17)/1000,0)</f>
        <v>0</v>
      </c>
      <c r="AV23" s="405">
        <f t="shared" ca="1" si="103"/>
        <v>0</v>
      </c>
      <c r="AW23" s="405">
        <f t="shared" ca="1" si="103"/>
        <v>0</v>
      </c>
      <c r="AX23" s="405">
        <f t="shared" ca="1" si="103"/>
        <v>0</v>
      </c>
      <c r="AY23" s="405">
        <f t="shared" ca="1" si="103"/>
        <v>0</v>
      </c>
      <c r="AZ23" s="405">
        <f t="shared" ca="1" si="103"/>
        <v>0</v>
      </c>
      <c r="BA23" s="405">
        <f t="shared" ca="1" si="103"/>
        <v>0</v>
      </c>
      <c r="BB23" s="405">
        <f t="shared" ca="1" si="103"/>
        <v>0</v>
      </c>
      <c r="BC23" s="405">
        <f t="shared" ca="1" si="103"/>
        <v>0</v>
      </c>
      <c r="BD23" s="405">
        <f t="shared" ca="1" si="103"/>
        <v>0</v>
      </c>
      <c r="BE23" s="405">
        <f t="shared" ca="1" si="103"/>
        <v>0</v>
      </c>
      <c r="BF23" s="405">
        <f t="shared" ca="1" si="103"/>
        <v>0</v>
      </c>
      <c r="BG23" s="405">
        <f t="shared" ca="1" si="103"/>
        <v>0</v>
      </c>
      <c r="BH23" s="405">
        <f t="shared" ca="1" si="103"/>
        <v>0</v>
      </c>
      <c r="BI23" s="405">
        <f t="shared" ca="1" si="103"/>
        <v>0</v>
      </c>
      <c r="BJ23" s="405">
        <f t="shared" ca="1" si="103"/>
        <v>0</v>
      </c>
      <c r="BK23" s="405">
        <f t="shared" ca="1" si="103"/>
        <v>0</v>
      </c>
      <c r="BL23" s="405">
        <f t="shared" ca="1" si="103"/>
        <v>0</v>
      </c>
      <c r="BM23" s="405">
        <f t="shared" ca="1" si="103"/>
        <v>0</v>
      </c>
      <c r="BN23" s="405">
        <f t="shared" ca="1" si="103"/>
        <v>0</v>
      </c>
      <c r="BO23" s="405">
        <f t="shared" ca="1" si="103"/>
        <v>0</v>
      </c>
      <c r="BP23" s="405">
        <f t="shared" ca="1" si="103"/>
        <v>0</v>
      </c>
      <c r="BQ23" s="405">
        <f t="shared" ca="1" si="103"/>
        <v>0</v>
      </c>
      <c r="BR23" s="405">
        <f t="shared" ca="1" si="103"/>
        <v>0</v>
      </c>
      <c r="BS23" s="405">
        <f t="shared" ca="1" si="103"/>
        <v>0</v>
      </c>
      <c r="BT23" s="405">
        <f t="shared" ca="1" si="103"/>
        <v>0</v>
      </c>
      <c r="BU23" s="405">
        <f t="shared" ca="1" si="103"/>
        <v>0</v>
      </c>
      <c r="BV23" s="405">
        <f t="shared" ca="1" si="103"/>
        <v>0</v>
      </c>
      <c r="BW23" s="405">
        <f t="shared" ca="1" si="103"/>
        <v>0</v>
      </c>
      <c r="BX23" s="405">
        <f t="shared" ca="1" si="103"/>
        <v>0</v>
      </c>
      <c r="BY23" s="405">
        <f t="shared" ca="1" si="103"/>
        <v>0</v>
      </c>
      <c r="BZ23" s="405">
        <f t="shared" ca="1" si="103"/>
        <v>0</v>
      </c>
      <c r="CA23" s="405">
        <f t="shared" ref="CA23:CL23" ca="1" si="104">IFERROR((CA21*CA17)/1000,0)</f>
        <v>0</v>
      </c>
      <c r="CB23" s="405">
        <f t="shared" ca="1" si="104"/>
        <v>0</v>
      </c>
      <c r="CC23" s="405">
        <f t="shared" ca="1" si="104"/>
        <v>0</v>
      </c>
      <c r="CD23" s="405">
        <f t="shared" ca="1" si="104"/>
        <v>0</v>
      </c>
      <c r="CE23" s="405">
        <f t="shared" ca="1" si="104"/>
        <v>0</v>
      </c>
      <c r="CF23" s="405">
        <f t="shared" ca="1" si="104"/>
        <v>0</v>
      </c>
      <c r="CG23" s="405">
        <f t="shared" ca="1" si="104"/>
        <v>0</v>
      </c>
      <c r="CH23" s="405">
        <f t="shared" ca="1" si="104"/>
        <v>0</v>
      </c>
      <c r="CI23" s="405">
        <f t="shared" ca="1" si="104"/>
        <v>0</v>
      </c>
      <c r="CJ23" s="405">
        <f t="shared" ca="1" si="104"/>
        <v>0</v>
      </c>
      <c r="CK23" s="405">
        <f t="shared" ca="1" si="104"/>
        <v>0</v>
      </c>
      <c r="CL23" s="405">
        <f t="shared" ca="1" si="104"/>
        <v>0</v>
      </c>
      <c r="CN23" s="406" t="str">
        <f ca="1">IFERROR((Y23/H23)^(1/17)-1,"")</f>
        <v/>
      </c>
      <c r="CO23" s="406" t="str">
        <f ca="1">IFERROR((AN23/Y23)^(1/15)-1,"")</f>
        <v/>
      </c>
      <c r="CP23" s="406" t="str">
        <f ca="1">IFERROR((AN23/H23)^(1/32)-1,"")</f>
        <v/>
      </c>
    </row>
    <row r="24" spans="1:94" hidden="1" outlineLevel="1">
      <c r="A24" s="414" t="s">
        <v>382</v>
      </c>
      <c r="B24" s="414" t="s">
        <v>384</v>
      </c>
      <c r="C24" s="414"/>
      <c r="D24" s="414"/>
      <c r="E24" s="415" t="e">
        <f t="shared" ref="E24:AN24" si="105">IF($B$6="ON",IF(E10=covid_start-1,E13,IF(E10=covid_recovery,E13,IF(E10&gt;=covid_start,IF(E10&lt;covid_recovery,D24-(INDEX($E10:$CH23,4,MATCH(covid_start-1,$E10:$CL10,0))-INDEX($E10:$CL23,4,MATCH(covid_recovery,$E10:$CL10,0)))/(covid_recovery-covid_start+1),NA()),NA()))),NA())</f>
        <v>#N/A</v>
      </c>
      <c r="F24" s="415" t="e">
        <f t="shared" si="105"/>
        <v>#N/A</v>
      </c>
      <c r="G24" s="415" t="e">
        <f t="shared" si="105"/>
        <v>#N/A</v>
      </c>
      <c r="H24" s="415" t="e">
        <f t="shared" si="105"/>
        <v>#N/A</v>
      </c>
      <c r="I24" s="415">
        <f t="shared" ref="I24:O24" ca="1" si="106">IF($B$6="ON",IF(I10=covid_start-1,I13,IF(I10=covid_recovery,I13,IF(I10&gt;=covid_start,IF(I10&lt;covid_recovery,H24-(INDEX($E10:$CH23,4,MATCH(covid_start-1,$E10:$CL10,0))-INDEX($E10:$CL23,4,MATCH(covid_recovery,$E10:$CL10,0)))/(covid_recovery-covid_start+1),NA()),NA()))),NA())</f>
        <v>1126.5819082910111</v>
      </c>
      <c r="J24" s="415">
        <f t="shared" ca="1" si="106"/>
        <v>1090.2094036873805</v>
      </c>
      <c r="K24" s="415">
        <f t="shared" ca="1" si="106"/>
        <v>1053.8368990837498</v>
      </c>
      <c r="L24" s="415">
        <f t="shared" ca="1" si="106"/>
        <v>1017.4643944801192</v>
      </c>
      <c r="M24" s="415">
        <f t="shared" ca="1" si="106"/>
        <v>981.09188987648861</v>
      </c>
      <c r="N24" s="415" t="e">
        <f t="shared" si="106"/>
        <v>#N/A</v>
      </c>
      <c r="O24" s="415" t="e">
        <f t="shared" si="106"/>
        <v>#N/A</v>
      </c>
      <c r="P24" s="415" t="e">
        <f t="shared" si="105"/>
        <v>#N/A</v>
      </c>
      <c r="Q24" s="415" t="e">
        <f t="shared" si="105"/>
        <v>#N/A</v>
      </c>
      <c r="R24" s="415" t="e">
        <f t="shared" si="105"/>
        <v>#N/A</v>
      </c>
      <c r="S24" s="415" t="e">
        <f t="shared" si="105"/>
        <v>#N/A</v>
      </c>
      <c r="T24" s="415" t="e">
        <f t="shared" si="105"/>
        <v>#N/A</v>
      </c>
      <c r="U24" s="415" t="e">
        <f t="shared" si="105"/>
        <v>#N/A</v>
      </c>
      <c r="V24" s="415" t="e">
        <f t="shared" si="105"/>
        <v>#N/A</v>
      </c>
      <c r="W24" s="415" t="e">
        <f t="shared" si="105"/>
        <v>#N/A</v>
      </c>
      <c r="X24" s="415" t="e">
        <f t="shared" si="105"/>
        <v>#N/A</v>
      </c>
      <c r="Y24" s="415" t="e">
        <f t="shared" si="105"/>
        <v>#N/A</v>
      </c>
      <c r="Z24" s="415" t="e">
        <f t="shared" si="105"/>
        <v>#N/A</v>
      </c>
      <c r="AA24" s="415" t="e">
        <f t="shared" si="105"/>
        <v>#N/A</v>
      </c>
      <c r="AB24" s="415" t="e">
        <f t="shared" si="105"/>
        <v>#N/A</v>
      </c>
      <c r="AC24" s="415" t="e">
        <f t="shared" si="105"/>
        <v>#N/A</v>
      </c>
      <c r="AD24" s="415" t="e">
        <f t="shared" si="105"/>
        <v>#N/A</v>
      </c>
      <c r="AE24" s="415" t="e">
        <f t="shared" si="105"/>
        <v>#N/A</v>
      </c>
      <c r="AF24" s="415" t="e">
        <f t="shared" si="105"/>
        <v>#N/A</v>
      </c>
      <c r="AG24" s="415" t="e">
        <f t="shared" si="105"/>
        <v>#N/A</v>
      </c>
      <c r="AH24" s="415" t="e">
        <f t="shared" si="105"/>
        <v>#N/A</v>
      </c>
      <c r="AI24" s="415" t="e">
        <f t="shared" si="105"/>
        <v>#N/A</v>
      </c>
      <c r="AJ24" s="415" t="e">
        <f t="shared" si="105"/>
        <v>#N/A</v>
      </c>
      <c r="AK24" s="415" t="e">
        <f t="shared" si="105"/>
        <v>#N/A</v>
      </c>
      <c r="AL24" s="415" t="e">
        <f t="shared" si="105"/>
        <v>#N/A</v>
      </c>
      <c r="AM24" s="415" t="e">
        <f t="shared" si="105"/>
        <v>#N/A</v>
      </c>
      <c r="AN24" s="415" t="e">
        <f t="shared" si="105"/>
        <v>#N/A</v>
      </c>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N24" s="416" t="str">
        <f t="shared" si="27"/>
        <v/>
      </c>
      <c r="CO24" s="416" t="str">
        <f t="shared" si="28"/>
        <v/>
      </c>
      <c r="CP24" s="416" t="str">
        <f t="shared" si="29"/>
        <v/>
      </c>
    </row>
    <row r="25" spans="1:94" hidden="1" outlineLevel="1">
      <c r="A25" s="400" t="s">
        <v>383</v>
      </c>
      <c r="B25" s="400" t="s">
        <v>384</v>
      </c>
      <c r="C25" s="400"/>
      <c r="D25" s="400"/>
      <c r="E25" s="407" t="e">
        <f t="shared" ref="E25:AN25" si="107">IF($B$6="ON",IF(E10=covid_start-1,E21,IF(E10=covid_recovery,E21,IF(E10&gt;=covid_start,IF(E10&lt;covid_recovery,D25-(INDEX($E10:$CH23,12,MATCH(covid_start-1,$E10:$CL10,0))-INDEX($E10:$CL23,12,MATCH(covid_recovery,$E10:$CL10,0)))/(covid_recovery-covid_start+1),NA()),NA()))),NA())</f>
        <v>#N/A</v>
      </c>
      <c r="F25" s="407" t="e">
        <f t="shared" si="107"/>
        <v>#N/A</v>
      </c>
      <c r="G25" s="407" t="e">
        <f t="shared" si="107"/>
        <v>#N/A</v>
      </c>
      <c r="H25" s="407" t="e">
        <f t="shared" si="107"/>
        <v>#N/A</v>
      </c>
      <c r="I25" s="407">
        <f t="shared" ref="I25:O25" ca="1" si="108">IF($B$6="ON",IF(I10=covid_start-1,I21,IF(I10=covid_recovery,I21,IF(I10&gt;=covid_start,IF(I10&lt;covid_recovery,H25-(INDEX($E10:$CH23,12,MATCH(covid_start-1,$E10:$CL10,0))-INDEX($E10:$CL23,12,MATCH(covid_recovery,$E10:$CL10,0)))/(covid_recovery-covid_start+1),NA()),NA()))),NA())</f>
        <v>0</v>
      </c>
      <c r="J25" s="407">
        <f t="shared" ca="1" si="108"/>
        <v>0</v>
      </c>
      <c r="K25" s="407">
        <f t="shared" ca="1" si="108"/>
        <v>0</v>
      </c>
      <c r="L25" s="407">
        <f t="shared" ca="1" si="108"/>
        <v>0</v>
      </c>
      <c r="M25" s="407">
        <f t="shared" ca="1" si="108"/>
        <v>0</v>
      </c>
      <c r="N25" s="407" t="e">
        <f t="shared" si="108"/>
        <v>#N/A</v>
      </c>
      <c r="O25" s="407" t="e">
        <f t="shared" si="108"/>
        <v>#N/A</v>
      </c>
      <c r="P25" s="407" t="e">
        <f t="shared" si="107"/>
        <v>#N/A</v>
      </c>
      <c r="Q25" s="407" t="e">
        <f t="shared" si="107"/>
        <v>#N/A</v>
      </c>
      <c r="R25" s="407" t="e">
        <f t="shared" si="107"/>
        <v>#N/A</v>
      </c>
      <c r="S25" s="407" t="e">
        <f t="shared" si="107"/>
        <v>#N/A</v>
      </c>
      <c r="T25" s="407" t="e">
        <f t="shared" si="107"/>
        <v>#N/A</v>
      </c>
      <c r="U25" s="407" t="e">
        <f t="shared" si="107"/>
        <v>#N/A</v>
      </c>
      <c r="V25" s="407" t="e">
        <f t="shared" si="107"/>
        <v>#N/A</v>
      </c>
      <c r="W25" s="407" t="e">
        <f t="shared" si="107"/>
        <v>#N/A</v>
      </c>
      <c r="X25" s="407" t="e">
        <f t="shared" si="107"/>
        <v>#N/A</v>
      </c>
      <c r="Y25" s="407" t="e">
        <f t="shared" si="107"/>
        <v>#N/A</v>
      </c>
      <c r="Z25" s="407" t="e">
        <f t="shared" si="107"/>
        <v>#N/A</v>
      </c>
      <c r="AA25" s="407" t="e">
        <f t="shared" si="107"/>
        <v>#N/A</v>
      </c>
      <c r="AB25" s="407" t="e">
        <f t="shared" si="107"/>
        <v>#N/A</v>
      </c>
      <c r="AC25" s="407" t="e">
        <f t="shared" si="107"/>
        <v>#N/A</v>
      </c>
      <c r="AD25" s="407" t="e">
        <f t="shared" si="107"/>
        <v>#N/A</v>
      </c>
      <c r="AE25" s="407" t="e">
        <f t="shared" si="107"/>
        <v>#N/A</v>
      </c>
      <c r="AF25" s="407" t="e">
        <f t="shared" si="107"/>
        <v>#N/A</v>
      </c>
      <c r="AG25" s="407" t="e">
        <f t="shared" si="107"/>
        <v>#N/A</v>
      </c>
      <c r="AH25" s="407" t="e">
        <f t="shared" si="107"/>
        <v>#N/A</v>
      </c>
      <c r="AI25" s="407" t="e">
        <f t="shared" si="107"/>
        <v>#N/A</v>
      </c>
      <c r="AJ25" s="407" t="e">
        <f t="shared" si="107"/>
        <v>#N/A</v>
      </c>
      <c r="AK25" s="407" t="e">
        <f t="shared" si="107"/>
        <v>#N/A</v>
      </c>
      <c r="AL25" s="407" t="e">
        <f t="shared" si="107"/>
        <v>#N/A</v>
      </c>
      <c r="AM25" s="407" t="e">
        <f t="shared" si="107"/>
        <v>#N/A</v>
      </c>
      <c r="AN25" s="407" t="e">
        <f t="shared" si="107"/>
        <v>#N/A</v>
      </c>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N25" s="408" t="str">
        <f t="shared" si="27"/>
        <v/>
      </c>
      <c r="CO25" s="408" t="str">
        <f t="shared" si="28"/>
        <v/>
      </c>
      <c r="CP25" s="408" t="str">
        <f t="shared" si="29"/>
        <v/>
      </c>
    </row>
    <row r="26" spans="1:94" ht="17.25" collapsed="1" thickTop="1" thickBot="1">
      <c r="A26" s="383" t="s">
        <v>154</v>
      </c>
      <c r="B26" s="383"/>
      <c r="C26" s="383"/>
      <c r="D26" s="383"/>
      <c r="E26" s="385">
        <v>2015</v>
      </c>
      <c r="F26" s="386">
        <f>E26+1</f>
        <v>2016</v>
      </c>
      <c r="G26" s="386">
        <f t="shared" ref="G26:I26" si="109">F26+1</f>
        <v>2017</v>
      </c>
      <c r="H26" s="386">
        <f t="shared" si="109"/>
        <v>2018</v>
      </c>
      <c r="I26" s="386">
        <f t="shared" si="109"/>
        <v>2019</v>
      </c>
      <c r="J26" s="386">
        <f>E26+5</f>
        <v>2020</v>
      </c>
      <c r="K26" s="386">
        <f>J26+1</f>
        <v>2021</v>
      </c>
      <c r="L26" s="386">
        <f t="shared" ref="L26:N26" si="110">K26+1</f>
        <v>2022</v>
      </c>
      <c r="M26" s="386">
        <f t="shared" si="110"/>
        <v>2023</v>
      </c>
      <c r="N26" s="386">
        <f t="shared" si="110"/>
        <v>2024</v>
      </c>
      <c r="O26" s="386">
        <f>J26+5</f>
        <v>2025</v>
      </c>
      <c r="P26" s="386">
        <f>O26+1</f>
        <v>2026</v>
      </c>
      <c r="Q26" s="386">
        <f t="shared" ref="Q26:S26" si="111">P26+1</f>
        <v>2027</v>
      </c>
      <c r="R26" s="386">
        <f t="shared" si="111"/>
        <v>2028</v>
      </c>
      <c r="S26" s="386">
        <f t="shared" si="111"/>
        <v>2029</v>
      </c>
      <c r="T26" s="386">
        <f>O26+5</f>
        <v>2030</v>
      </c>
      <c r="U26" s="386">
        <f>T26+1</f>
        <v>2031</v>
      </c>
      <c r="V26" s="386">
        <f t="shared" ref="V26:X26" si="112">U26+1</f>
        <v>2032</v>
      </c>
      <c r="W26" s="386">
        <f t="shared" si="112"/>
        <v>2033</v>
      </c>
      <c r="X26" s="386">
        <f t="shared" si="112"/>
        <v>2034</v>
      </c>
      <c r="Y26" s="386">
        <f>T26+5</f>
        <v>2035</v>
      </c>
      <c r="Z26" s="386">
        <f>Y26+1</f>
        <v>2036</v>
      </c>
      <c r="AA26" s="386">
        <f t="shared" ref="AA26:AC26" si="113">Z26+1</f>
        <v>2037</v>
      </c>
      <c r="AB26" s="386">
        <f t="shared" si="113"/>
        <v>2038</v>
      </c>
      <c r="AC26" s="386">
        <f t="shared" si="113"/>
        <v>2039</v>
      </c>
      <c r="AD26" s="386">
        <f>Y26+5</f>
        <v>2040</v>
      </c>
      <c r="AE26" s="386">
        <f>AD26+1</f>
        <v>2041</v>
      </c>
      <c r="AF26" s="386">
        <f t="shared" ref="AF26:AH26" si="114">AE26+1</f>
        <v>2042</v>
      </c>
      <c r="AG26" s="386">
        <f t="shared" si="114"/>
        <v>2043</v>
      </c>
      <c r="AH26" s="386">
        <f t="shared" si="114"/>
        <v>2044</v>
      </c>
      <c r="AI26" s="386">
        <f>AD26+5</f>
        <v>2045</v>
      </c>
      <c r="AJ26" s="386">
        <f>AI26+1</f>
        <v>2046</v>
      </c>
      <c r="AK26" s="386">
        <f t="shared" ref="AK26:AM26" si="115">AJ26+1</f>
        <v>2047</v>
      </c>
      <c r="AL26" s="386">
        <f t="shared" si="115"/>
        <v>2048</v>
      </c>
      <c r="AM26" s="386">
        <f t="shared" si="115"/>
        <v>2049</v>
      </c>
      <c r="AN26" s="386">
        <f>AI26+5</f>
        <v>2050</v>
      </c>
      <c r="AO26" s="386">
        <f>AN26+1</f>
        <v>2051</v>
      </c>
      <c r="AP26" s="386">
        <f t="shared" ref="AP26:AR26" si="116">AO26+1</f>
        <v>2052</v>
      </c>
      <c r="AQ26" s="386">
        <f t="shared" si="116"/>
        <v>2053</v>
      </c>
      <c r="AR26" s="386">
        <f t="shared" si="116"/>
        <v>2054</v>
      </c>
      <c r="AS26" s="386">
        <f>AN26+5</f>
        <v>2055</v>
      </c>
      <c r="AT26" s="386">
        <f>AS26+1</f>
        <v>2056</v>
      </c>
      <c r="AU26" s="386">
        <f t="shared" ref="AU26:AW26" si="117">AT26+1</f>
        <v>2057</v>
      </c>
      <c r="AV26" s="386">
        <f t="shared" si="117"/>
        <v>2058</v>
      </c>
      <c r="AW26" s="386">
        <f t="shared" si="117"/>
        <v>2059</v>
      </c>
      <c r="AX26" s="386">
        <f>AS26+5</f>
        <v>2060</v>
      </c>
      <c r="AY26" s="386">
        <f>AX26+1</f>
        <v>2061</v>
      </c>
      <c r="AZ26" s="386">
        <f t="shared" ref="AZ26:BB26" si="118">AY26+1</f>
        <v>2062</v>
      </c>
      <c r="BA26" s="386">
        <f t="shared" si="118"/>
        <v>2063</v>
      </c>
      <c r="BB26" s="386">
        <f t="shared" si="118"/>
        <v>2064</v>
      </c>
      <c r="BC26" s="386">
        <f>AX26+5</f>
        <v>2065</v>
      </c>
      <c r="BD26" s="386">
        <f>BC26+1</f>
        <v>2066</v>
      </c>
      <c r="BE26" s="386">
        <f t="shared" ref="BE26:BG26" si="119">BD26+1</f>
        <v>2067</v>
      </c>
      <c r="BF26" s="386">
        <f t="shared" si="119"/>
        <v>2068</v>
      </c>
      <c r="BG26" s="386">
        <f t="shared" si="119"/>
        <v>2069</v>
      </c>
      <c r="BH26" s="386">
        <f>BC26+5</f>
        <v>2070</v>
      </c>
      <c r="BI26" s="386">
        <f>BH26+1</f>
        <v>2071</v>
      </c>
      <c r="BJ26" s="386">
        <f t="shared" ref="BJ26:BL26" si="120">BI26+1</f>
        <v>2072</v>
      </c>
      <c r="BK26" s="386">
        <f t="shared" si="120"/>
        <v>2073</v>
      </c>
      <c r="BL26" s="386">
        <f t="shared" si="120"/>
        <v>2074</v>
      </c>
      <c r="BM26" s="386">
        <f>BH26+5</f>
        <v>2075</v>
      </c>
      <c r="BN26" s="386">
        <f>BM26+1</f>
        <v>2076</v>
      </c>
      <c r="BO26" s="386">
        <f t="shared" ref="BO26:BQ26" si="121">BN26+1</f>
        <v>2077</v>
      </c>
      <c r="BP26" s="386">
        <f t="shared" si="121"/>
        <v>2078</v>
      </c>
      <c r="BQ26" s="386">
        <f t="shared" si="121"/>
        <v>2079</v>
      </c>
      <c r="BR26" s="386">
        <f>BM26+5</f>
        <v>2080</v>
      </c>
      <c r="BS26" s="386">
        <f>BR26+1</f>
        <v>2081</v>
      </c>
      <c r="BT26" s="386">
        <f t="shared" ref="BT26:BV26" si="122">BS26+1</f>
        <v>2082</v>
      </c>
      <c r="BU26" s="386">
        <f t="shared" si="122"/>
        <v>2083</v>
      </c>
      <c r="BV26" s="386">
        <f t="shared" si="122"/>
        <v>2084</v>
      </c>
      <c r="BW26" s="386">
        <f>BR26+5</f>
        <v>2085</v>
      </c>
      <c r="BX26" s="386">
        <f>BW26+1</f>
        <v>2086</v>
      </c>
      <c r="BY26" s="386">
        <f t="shared" ref="BY26:CA26" si="123">BX26+1</f>
        <v>2087</v>
      </c>
      <c r="BZ26" s="386">
        <f t="shared" si="123"/>
        <v>2088</v>
      </c>
      <c r="CA26" s="386">
        <f t="shared" si="123"/>
        <v>2089</v>
      </c>
      <c r="CB26" s="386">
        <f>BW26+5</f>
        <v>2090</v>
      </c>
      <c r="CC26" s="386">
        <f>CB26+1</f>
        <v>2091</v>
      </c>
      <c r="CD26" s="386">
        <f t="shared" ref="CD26:CF26" si="124">CC26+1</f>
        <v>2092</v>
      </c>
      <c r="CE26" s="386">
        <f t="shared" si="124"/>
        <v>2093</v>
      </c>
      <c r="CF26" s="386">
        <f t="shared" si="124"/>
        <v>2094</v>
      </c>
      <c r="CG26" s="386">
        <f>CB26+5</f>
        <v>2095</v>
      </c>
      <c r="CH26" s="386">
        <f>CG26+1</f>
        <v>2096</v>
      </c>
      <c r="CI26" s="386">
        <f t="shared" ref="CI26:CK26" si="125">CH26+1</f>
        <v>2097</v>
      </c>
      <c r="CJ26" s="386">
        <f t="shared" si="125"/>
        <v>2098</v>
      </c>
      <c r="CK26" s="386">
        <f t="shared" si="125"/>
        <v>2099</v>
      </c>
      <c r="CL26" s="386">
        <f>CG26+5</f>
        <v>2100</v>
      </c>
      <c r="CN26" s="387" t="s">
        <v>409</v>
      </c>
      <c r="CO26" s="387" t="s">
        <v>411</v>
      </c>
      <c r="CP26" s="387" t="s">
        <v>410</v>
      </c>
    </row>
    <row r="27" spans="1:94" ht="16.5" hidden="1" outlineLevel="1" thickTop="1">
      <c r="A27" s="388" t="s">
        <v>152</v>
      </c>
      <c r="B27" s="388" t="str">
        <f>$A$26</f>
        <v>Ded-long</v>
      </c>
      <c r="C27" s="389" t="s">
        <v>310</v>
      </c>
      <c r="D27" s="389"/>
      <c r="E27" s="390">
        <f ca="1">'SDS Calc'!E27</f>
        <v>65.550775358376001</v>
      </c>
      <c r="F27" s="531">
        <f ca="1">'SDS Calc'!F27</f>
        <v>67.283995981103999</v>
      </c>
      <c r="G27" s="531">
        <f ca="1">'SDS Calc'!G27</f>
        <v>69.017216603831997</v>
      </c>
      <c r="H27" s="531">
        <f ca="1">'SDS Calc'!H27</f>
        <v>70.750437226559995</v>
      </c>
      <c r="I27" s="531">
        <f ca="1">'SDS Calc'!I27</f>
        <v>67.135127874275994</v>
      </c>
      <c r="J27" s="531" t="e">
        <f ca="1">'SDS Calc'!J27</f>
        <v>#N/A</v>
      </c>
      <c r="K27" s="531" t="e">
        <f ca="1">'SDS Calc'!K27</f>
        <v>#N/A</v>
      </c>
      <c r="L27" s="531" t="e">
        <f ca="1">'SDS Calc'!L27</f>
        <v>#N/A</v>
      </c>
      <c r="M27" s="531">
        <f ca="1">'SDS Calc'!M27</f>
        <v>66.065314196131467</v>
      </c>
      <c r="N27" s="531">
        <f ca="1">'SDS Calc'!N27</f>
        <v>65.797860776595357</v>
      </c>
      <c r="O27" s="531">
        <f ca="1">'SDS Calc'!O27</f>
        <v>65.530407357059218</v>
      </c>
      <c r="P27" s="531">
        <f ca="1">'SDS Calc'!P27</f>
        <v>65.262953937523093</v>
      </c>
      <c r="Q27" s="531">
        <f ca="1">'SDS Calc'!Q27</f>
        <v>64.995500517986954</v>
      </c>
      <c r="R27" s="531">
        <f ca="1">'SDS Calc'!R27</f>
        <v>64.728047098450816</v>
      </c>
      <c r="S27" s="531">
        <f ca="1">'SDS Calc'!S27</f>
        <v>64.460593678914677</v>
      </c>
      <c r="T27" s="531">
        <f ca="1">'SDS Calc'!T27</f>
        <v>64.193140259378509</v>
      </c>
      <c r="U27" s="531">
        <f ca="1">'SDS Calc'!U27</f>
        <v>63.518621295451474</v>
      </c>
      <c r="V27" s="531">
        <f ca="1">IF($B$6="ON", IF(V26&gt;=covid_start, IF(V26&lt;covid_recovery,NA(),SUMIFS(INDIRECT("Data_main"&amp;"["&amp;V$8&amp;"]"),Data_main[Data],$A27, Data_main[Segment],$B27, Data_main[Scenario],$B$3)),SUMIFS(INDIRECT("Data_main"&amp;"["&amp;V$8&amp;"]"),Data_main[Data],$A27, Data_main[Segment],$B27, Data_main[Scenario],$B$3)),SUMIFS(INDIRECT("Data_main"&amp;"["&amp;V$8&amp;"]"),Data_main[Data],$A27, Data_main[Segment],$B27, Data_main[Scenario],$B$3))</f>
        <v>66.355929112275604</v>
      </c>
      <c r="W27" s="390">
        <f ca="1">IF($B$6="ON", IF(W26&gt;=covid_start, IF(W26&lt;covid_recovery,NA(),SUMIFS(INDIRECT("Data_main"&amp;"["&amp;W$8&amp;"]"),Data_main[Data],$A27, Data_main[Segment],$B27, Data_main[Scenario],$B$3)),SUMIFS(INDIRECT("Data_main"&amp;"["&amp;W$8&amp;"]"),Data_main[Data],$A27, Data_main[Segment],$B27, Data_main[Scenario],$B$3)),SUMIFS(INDIRECT("Data_main"&amp;"["&amp;W$8&amp;"]"),Data_main[Data],$A27, Data_main[Segment],$B27, Data_main[Scenario],$B$3))</f>
        <v>64.450459337058646</v>
      </c>
      <c r="X27" s="390">
        <f ca="1">IF($B$6="ON", IF(X26&gt;=covid_start, IF(X26&lt;covid_recovery,NA(),SUMIFS(INDIRECT("Data_main"&amp;"["&amp;X$8&amp;"]"),Data_main[Data],$A27, Data_main[Segment],$B27, Data_main[Scenario],$B$3)),SUMIFS(INDIRECT("Data_main"&amp;"["&amp;X$8&amp;"]"),Data_main[Data],$A27, Data_main[Segment],$B27, Data_main[Scenario],$B$3)),SUMIFS(INDIRECT("Data_main"&amp;"["&amp;X$8&amp;"]"),Data_main[Data],$A27, Data_main[Segment],$B27, Data_main[Scenario],$B$3))</f>
        <v>62.461634381651642</v>
      </c>
      <c r="Y27" s="390">
        <f ca="1">IF($B$6="ON", IF(Y26&gt;=covid_start, IF(Y26&lt;covid_recovery,NA(),SUMIFS(INDIRECT("Data_main"&amp;"["&amp;Y$8&amp;"]"),Data_main[Data],$A27, Data_main[Segment],$B27, Data_main[Scenario],$B$3)),SUMIFS(INDIRECT("Data_main"&amp;"["&amp;Y$8&amp;"]"),Data_main[Data],$A27, Data_main[Segment],$B27, Data_main[Scenario],$B$3)),SUMIFS(INDIRECT("Data_main"&amp;"["&amp;Y$8&amp;"]"),Data_main[Data],$A27, Data_main[Segment],$B27, Data_main[Scenario],$B$3))</f>
        <v>60.121316961814578</v>
      </c>
      <c r="Z27" s="390">
        <f ca="1">IF($B$6="ON", IF(Z26&gt;=covid_start, IF(Z26&lt;covid_recovery,NA(),SUMIFS(INDIRECT("Data_main"&amp;"["&amp;Z$8&amp;"]"),Data_main[Data],$A27, Data_main[Segment],$B27, Data_main[Scenario],$B$3)),SUMIFS(INDIRECT("Data_main"&amp;"["&amp;Z$8&amp;"]"),Data_main[Data],$A27, Data_main[Segment],$B27, Data_main[Scenario],$B$3)),SUMIFS(INDIRECT("Data_main"&amp;"["&amp;Z$8&amp;"]"),Data_main[Data],$A27, Data_main[Segment],$B27, Data_main[Scenario],$B$3))</f>
        <v>57.497305283096615</v>
      </c>
      <c r="AA27" s="390">
        <f ca="1">IF($B$6="ON", IF(AA26&gt;=covid_start, IF(AA26&lt;covid_recovery,NA(),SUMIFS(INDIRECT("Data_main"&amp;"["&amp;AA$8&amp;"]"),Data_main[Data],$A27, Data_main[Segment],$B27, Data_main[Scenario],$B$3)),SUMIFS(INDIRECT("Data_main"&amp;"["&amp;AA$8&amp;"]"),Data_main[Data],$A27, Data_main[Segment],$B27, Data_main[Scenario],$B$3)),SUMIFS(INDIRECT("Data_main"&amp;"["&amp;AA$8&amp;"]"),Data_main[Data],$A27, Data_main[Segment],$B27, Data_main[Scenario],$B$3))</f>
        <v>54.612821506238859</v>
      </c>
      <c r="AB27" s="390">
        <f ca="1">IF($B$6="ON", IF(AB26&gt;=covid_start, IF(AB26&lt;covid_recovery,NA(),SUMIFS(INDIRECT("Data_main"&amp;"["&amp;AB$8&amp;"]"),Data_main[Data],$A27, Data_main[Segment],$B27, Data_main[Scenario],$B$3)),SUMIFS(INDIRECT("Data_main"&amp;"["&amp;AB$8&amp;"]"),Data_main[Data],$A27, Data_main[Segment],$B27, Data_main[Scenario],$B$3)),SUMIFS(INDIRECT("Data_main"&amp;"["&amp;AB$8&amp;"]"),Data_main[Data],$A27, Data_main[Segment],$B27, Data_main[Scenario],$B$3))</f>
        <v>51.452470414341526</v>
      </c>
      <c r="AC27" s="390">
        <f ca="1">IF($B$6="ON", IF(AC26&gt;=covid_start, IF(AC26&lt;covid_recovery,NA(),SUMIFS(INDIRECT("Data_main"&amp;"["&amp;AC$8&amp;"]"),Data_main[Data],$A27, Data_main[Segment],$B27, Data_main[Scenario],$B$3)),SUMIFS(INDIRECT("Data_main"&amp;"["&amp;AC$8&amp;"]"),Data_main[Data],$A27, Data_main[Segment],$B27, Data_main[Scenario],$B$3)),SUMIFS(INDIRECT("Data_main"&amp;"["&amp;AC$8&amp;"]"),Data_main[Data],$A27, Data_main[Segment],$B27, Data_main[Scenario],$B$3))</f>
        <v>48.006519594223342</v>
      </c>
      <c r="AD27" s="390">
        <f ca="1">IF($B$6="ON", IF(AD26&gt;=covid_start, IF(AD26&lt;covid_recovery,NA(),SUMIFS(INDIRECT("Data_main"&amp;"["&amp;AD$8&amp;"]"),Data_main[Data],$A27, Data_main[Segment],$B27, Data_main[Scenario],$B$3)),SUMIFS(INDIRECT("Data_main"&amp;"["&amp;AD$8&amp;"]"),Data_main[Data],$A27, Data_main[Segment],$B27, Data_main[Scenario],$B$3)),SUMIFS(INDIRECT("Data_main"&amp;"["&amp;AD$8&amp;"]"),Data_main[Data],$A27, Data_main[Segment],$B27, Data_main[Scenario],$B$3))</f>
        <v>44.269535711474553</v>
      </c>
      <c r="AE27" s="390">
        <f ca="1">IF($B$6="ON", IF(AE26&gt;=covid_start, IF(AE26&lt;covid_recovery,NA(),SUMIFS(INDIRECT("Data_main"&amp;"["&amp;AE$8&amp;"]"),Data_main[Data],$A27, Data_main[Segment],$B27, Data_main[Scenario],$B$3)),SUMIFS(INDIRECT("Data_main"&amp;"["&amp;AE$8&amp;"]"),Data_main[Data],$A27, Data_main[Segment],$B27, Data_main[Scenario],$B$3)),SUMIFS(INDIRECT("Data_main"&amp;"["&amp;AE$8&amp;"]"),Data_main[Data],$A27, Data_main[Segment],$B27, Data_main[Scenario],$B$3))</f>
        <v>40.858716975410793</v>
      </c>
      <c r="AF27" s="390">
        <f ca="1">IF($B$6="ON", IF(AF26&gt;=covid_start, IF(AF26&lt;covid_recovery,NA(),SUMIFS(INDIRECT("Data_main"&amp;"["&amp;AF$8&amp;"]"),Data_main[Data],$A27, Data_main[Segment],$B27, Data_main[Scenario],$B$3)),SUMIFS(INDIRECT("Data_main"&amp;"["&amp;AF$8&amp;"]"),Data_main[Data],$A27, Data_main[Segment],$B27, Data_main[Scenario],$B$3)),SUMIFS(INDIRECT("Data_main"&amp;"["&amp;AF$8&amp;"]"),Data_main[Data],$A27, Data_main[Segment],$B27, Data_main[Scenario],$B$3))</f>
        <v>37.199641490977896</v>
      </c>
      <c r="AG27" s="390">
        <f ca="1">IF($B$6="ON", IF(AG26&gt;=covid_start, IF(AG26&lt;covid_recovery,NA(),SUMIFS(INDIRECT("Data_main"&amp;"["&amp;AG$8&amp;"]"),Data_main[Data],$A27, Data_main[Segment],$B27, Data_main[Scenario],$B$3)),SUMIFS(INDIRECT("Data_main"&amp;"["&amp;AG$8&amp;"]"),Data_main[Data],$A27, Data_main[Segment],$B27, Data_main[Scenario],$B$3)),SUMIFS(INDIRECT("Data_main"&amp;"["&amp;AG$8&amp;"]"),Data_main[Data],$A27, Data_main[Segment],$B27, Data_main[Scenario],$B$3))</f>
        <v>33.28722614047782</v>
      </c>
      <c r="AH27" s="390">
        <f ca="1">IF($B$6="ON", IF(AH26&gt;=covid_start, IF(AH26&lt;covid_recovery,NA(),SUMIFS(INDIRECT("Data_main"&amp;"["&amp;AH$8&amp;"]"),Data_main[Data],$A27, Data_main[Segment],$B27, Data_main[Scenario],$B$3)),SUMIFS(INDIRECT("Data_main"&amp;"["&amp;AH$8&amp;"]"),Data_main[Data],$A27, Data_main[Segment],$B27, Data_main[Scenario],$B$3)),SUMIFS(INDIRECT("Data_main"&amp;"["&amp;AH$8&amp;"]"),Data_main[Data],$A27, Data_main[Segment],$B27, Data_main[Scenario],$B$3))</f>
        <v>29.112609527498194</v>
      </c>
      <c r="AI27" s="390">
        <f ca="1">IF($B$6="ON", IF(AI26&gt;=covid_start, IF(AI26&lt;covid_recovery,NA(),SUMIFS(INDIRECT("Data_main"&amp;"["&amp;AI$8&amp;"]"),Data_main[Data],$A27, Data_main[Segment],$B27, Data_main[Scenario],$B$3)),SUMIFS(INDIRECT("Data_main"&amp;"["&amp;AI$8&amp;"]"),Data_main[Data],$A27, Data_main[Segment],$B27, Data_main[Scenario],$B$3)),SUMIFS(INDIRECT("Data_main"&amp;"["&amp;AI$8&amp;"]"),Data_main[Data],$A27, Data_main[Segment],$B27, Data_main[Scenario],$B$3))</f>
        <v>24.662906253479928</v>
      </c>
      <c r="AJ27" s="390">
        <f ca="1">IF($B$6="ON", IF(AJ26&gt;=covid_start, IF(AJ26&lt;covid_recovery,NA(),SUMIFS(INDIRECT("Data_main"&amp;"["&amp;AJ$8&amp;"]"),Data_main[Data],$A27, Data_main[Segment],$B27, Data_main[Scenario],$B$3)),SUMIFS(INDIRECT("Data_main"&amp;"["&amp;AJ$8&amp;"]"),Data_main[Data],$A27, Data_main[Segment],$B27, Data_main[Scenario],$B$3)),SUMIFS(INDIRECT("Data_main"&amp;"["&amp;AJ$8&amp;"]"),Data_main[Data],$A27, Data_main[Segment],$B27, Data_main[Scenario],$B$3))</f>
        <v>19.871411945967289</v>
      </c>
      <c r="AK27" s="390">
        <f ca="1">IF($B$6="ON", IF(AK26&gt;=covid_start, IF(AK26&lt;covid_recovery,NA(),SUMIFS(INDIRECT("Data_main"&amp;"["&amp;AK$8&amp;"]"),Data_main[Data],$A27, Data_main[Segment],$B27, Data_main[Scenario],$B$3)),SUMIFS(INDIRECT("Data_main"&amp;"["&amp;AK$8&amp;"]"),Data_main[Data],$A27, Data_main[Segment],$B27, Data_main[Scenario],$B$3)),SUMIFS(INDIRECT("Data_main"&amp;"["&amp;AK$8&amp;"]"),Data_main[Data],$A27, Data_main[Segment],$B27, Data_main[Scenario],$B$3))</f>
        <v>14.76105162032508</v>
      </c>
      <c r="AL27" s="390">
        <f ca="1">IF($B$6="ON", IF(AL26&gt;=covid_start, IF(AL26&lt;covid_recovery,NA(),SUMIFS(INDIRECT("Data_main"&amp;"["&amp;AL$8&amp;"]"),Data_main[Data],$A27, Data_main[Segment],$B27, Data_main[Scenario],$B$3)),SUMIFS(INDIRECT("Data_main"&amp;"["&amp;AL$8&amp;"]"),Data_main[Data],$A27, Data_main[Segment],$B27, Data_main[Scenario],$B$3)),SUMIFS(INDIRECT("Data_main"&amp;"["&amp;AL$8&amp;"]"),Data_main[Data],$A27, Data_main[Segment],$B27, Data_main[Scenario],$B$3))</f>
        <v>9.3133878972532447</v>
      </c>
      <c r="AM27" s="390">
        <f ca="1">IF($B$6="ON", IF(AM26&gt;=covid_start, IF(AM26&lt;covid_recovery,NA(),SUMIFS(INDIRECT("Data_main"&amp;"["&amp;AM$8&amp;"]"),Data_main[Data],$A27, Data_main[Segment],$B27, Data_main[Scenario],$B$3)),SUMIFS(INDIRECT("Data_main"&amp;"["&amp;AM$8&amp;"]"),Data_main[Data],$A27, Data_main[Segment],$B27, Data_main[Scenario],$B$3)),SUMIFS(INDIRECT("Data_main"&amp;"["&amp;AM$8&amp;"]"),Data_main[Data],$A27, Data_main[Segment],$B27, Data_main[Scenario],$B$3))</f>
        <v>8.018151012989593</v>
      </c>
      <c r="AN27" s="390">
        <f ca="1">IF($B$6="ON", IF(AN26&gt;=covid_start, IF(AN26&lt;covid_recovery,NA(),SUMIFS(INDIRECT("Data_main"&amp;"["&amp;AN$8&amp;"]"),Data_main[Data],$A27, Data_main[Segment],$B27, Data_main[Scenario],$B$3)),SUMIFS(INDIRECT("Data_main"&amp;"["&amp;AN$8&amp;"]"),Data_main[Data],$A27, Data_main[Segment],$B27, Data_main[Scenario],$B$3)),SUMIFS(INDIRECT("Data_main"&amp;"["&amp;AN$8&amp;"]"),Data_main[Data],$A27, Data_main[Segment],$B27, Data_main[Scenario],$B$3))</f>
        <v>8.0920535571686081</v>
      </c>
      <c r="AO27" s="390">
        <f ca="1">IF($B$6="ON", IF(AO26&gt;=covid_start, IF(AO26&lt;covid_recovery,NA(),SUMIFS(INDIRECT("Data_main"&amp;"["&amp;AO$8&amp;"]"),Data_main[Data],$A27, Data_main[Segment],$B27, Data_main[Scenario],$B$3)),SUMIFS(INDIRECT("Data_main"&amp;"["&amp;AO$8&amp;"]"),Data_main[Data],$A27, Data_main[Segment],$B27, Data_main[Scenario],$B$3)),SUMIFS(INDIRECT("Data_main"&amp;"["&amp;AO$8&amp;"]"),Data_main[Data],$A27, Data_main[Segment],$B27, Data_main[Scenario],$B$3))</f>
        <v>0</v>
      </c>
      <c r="AP27" s="390">
        <f ca="1">IF($B$6="ON", IF(AP26&gt;=covid_start, IF(AP26&lt;covid_recovery,NA(),SUMIFS(INDIRECT("Data_main"&amp;"["&amp;AP$8&amp;"]"),Data_main[Data],$A27, Data_main[Segment],$B27, Data_main[Scenario],$B$3)),SUMIFS(INDIRECT("Data_main"&amp;"["&amp;AP$8&amp;"]"),Data_main[Data],$A27, Data_main[Segment],$B27, Data_main[Scenario],$B$3)),SUMIFS(INDIRECT("Data_main"&amp;"["&amp;AP$8&amp;"]"),Data_main[Data],$A27, Data_main[Segment],$B27, Data_main[Scenario],$B$3))</f>
        <v>0</v>
      </c>
      <c r="AQ27" s="390">
        <f ca="1">IF($B$6="ON", IF(AQ26&gt;=covid_start, IF(AQ26&lt;covid_recovery,NA(),SUMIFS(INDIRECT("Data_main"&amp;"["&amp;AQ$8&amp;"]"),Data_main[Data],$A27, Data_main[Segment],$B27, Data_main[Scenario],$B$3)),SUMIFS(INDIRECT("Data_main"&amp;"["&amp;AQ$8&amp;"]"),Data_main[Data],$A27, Data_main[Segment],$B27, Data_main[Scenario],$B$3)),SUMIFS(INDIRECT("Data_main"&amp;"["&amp;AQ$8&amp;"]"),Data_main[Data],$A27, Data_main[Segment],$B27, Data_main[Scenario],$B$3))</f>
        <v>0</v>
      </c>
      <c r="AR27" s="390">
        <f ca="1">IF($B$6="ON", IF(AR26&gt;=covid_start, IF(AR26&lt;covid_recovery,NA(),SUMIFS(INDIRECT("Data_main"&amp;"["&amp;AR$8&amp;"]"),Data_main[Data],$A27, Data_main[Segment],$B27, Data_main[Scenario],$B$3)),SUMIFS(INDIRECT("Data_main"&amp;"["&amp;AR$8&amp;"]"),Data_main[Data],$A27, Data_main[Segment],$B27, Data_main[Scenario],$B$3)),SUMIFS(INDIRECT("Data_main"&amp;"["&amp;AR$8&amp;"]"),Data_main[Data],$A27, Data_main[Segment],$B27, Data_main[Scenario],$B$3))</f>
        <v>0</v>
      </c>
      <c r="AS27" s="390">
        <f ca="1">IF($B$6="ON", IF(AS26&gt;=covid_start, IF(AS26&lt;covid_recovery,NA(),SUMIFS(INDIRECT("Data_main"&amp;"["&amp;AS$8&amp;"]"),Data_main[Data],$A27, Data_main[Segment],$B27, Data_main[Scenario],$B$3)),SUMIFS(INDIRECT("Data_main"&amp;"["&amp;AS$8&amp;"]"),Data_main[Data],$A27, Data_main[Segment],$B27, Data_main[Scenario],$B$3)),SUMIFS(INDIRECT("Data_main"&amp;"["&amp;AS$8&amp;"]"),Data_main[Data],$A27, Data_main[Segment],$B27, Data_main[Scenario],$B$3))</f>
        <v>0</v>
      </c>
      <c r="AT27" s="390">
        <f ca="1">IF($B$6="ON", IF(AT26&gt;=covid_start, IF(AT26&lt;covid_recovery,NA(),SUMIFS(INDIRECT("Data_main"&amp;"["&amp;AT$8&amp;"]"),Data_main[Data],$A27, Data_main[Segment],$B27, Data_main[Scenario],$B$3)),SUMIFS(INDIRECT("Data_main"&amp;"["&amp;AT$8&amp;"]"),Data_main[Data],$A27, Data_main[Segment],$B27, Data_main[Scenario],$B$3)),SUMIFS(INDIRECT("Data_main"&amp;"["&amp;AT$8&amp;"]"),Data_main[Data],$A27, Data_main[Segment],$B27, Data_main[Scenario],$B$3))</f>
        <v>0</v>
      </c>
      <c r="AU27" s="390">
        <f ca="1">IF($B$6="ON", IF(AU26&gt;=covid_start, IF(AU26&lt;covid_recovery,NA(),SUMIFS(INDIRECT("Data_main"&amp;"["&amp;AU$8&amp;"]"),Data_main[Data],$A27, Data_main[Segment],$B27, Data_main[Scenario],$B$3)),SUMIFS(INDIRECT("Data_main"&amp;"["&amp;AU$8&amp;"]"),Data_main[Data],$A27, Data_main[Segment],$B27, Data_main[Scenario],$B$3)),SUMIFS(INDIRECT("Data_main"&amp;"["&amp;AU$8&amp;"]"),Data_main[Data],$A27, Data_main[Segment],$B27, Data_main[Scenario],$B$3))</f>
        <v>0</v>
      </c>
      <c r="AV27" s="390">
        <f ca="1">IF($B$6="ON", IF(AV26&gt;=covid_start, IF(AV26&lt;covid_recovery,NA(),SUMIFS(INDIRECT("Data_main"&amp;"["&amp;AV$8&amp;"]"),Data_main[Data],$A27, Data_main[Segment],$B27, Data_main[Scenario],$B$3)),SUMIFS(INDIRECT("Data_main"&amp;"["&amp;AV$8&amp;"]"),Data_main[Data],$A27, Data_main[Segment],$B27, Data_main[Scenario],$B$3)),SUMIFS(INDIRECT("Data_main"&amp;"["&amp;AV$8&amp;"]"),Data_main[Data],$A27, Data_main[Segment],$B27, Data_main[Scenario],$B$3))</f>
        <v>0</v>
      </c>
      <c r="AW27" s="390">
        <f ca="1">IF($B$6="ON", IF(AW26&gt;=covid_start, IF(AW26&lt;covid_recovery,NA(),SUMIFS(INDIRECT("Data_main"&amp;"["&amp;AW$8&amp;"]"),Data_main[Data],$A27, Data_main[Segment],$B27, Data_main[Scenario],$B$3)),SUMIFS(INDIRECT("Data_main"&amp;"["&amp;AW$8&amp;"]"),Data_main[Data],$A27, Data_main[Segment],$B27, Data_main[Scenario],$B$3)),SUMIFS(INDIRECT("Data_main"&amp;"["&amp;AW$8&amp;"]"),Data_main[Data],$A27, Data_main[Segment],$B27, Data_main[Scenario],$B$3))</f>
        <v>0</v>
      </c>
      <c r="AX27" s="390">
        <f ca="1">IF($B$6="ON", IF(AX26&gt;=covid_start, IF(AX26&lt;covid_recovery,NA(),SUMIFS(INDIRECT("Data_main"&amp;"["&amp;AX$8&amp;"]"),Data_main[Data],$A27, Data_main[Segment],$B27, Data_main[Scenario],$B$3)),SUMIFS(INDIRECT("Data_main"&amp;"["&amp;AX$8&amp;"]"),Data_main[Data],$A27, Data_main[Segment],$B27, Data_main[Scenario],$B$3)),SUMIFS(INDIRECT("Data_main"&amp;"["&amp;AX$8&amp;"]"),Data_main[Data],$A27, Data_main[Segment],$B27, Data_main[Scenario],$B$3))</f>
        <v>0</v>
      </c>
      <c r="AY27" s="390">
        <f ca="1">IF($B$6="ON", IF(AY26&gt;=covid_start, IF(AY26&lt;covid_recovery,NA(),SUMIFS(INDIRECT("Data_main"&amp;"["&amp;AY$8&amp;"]"),Data_main[Data],$A27, Data_main[Segment],$B27, Data_main[Scenario],$B$3)),SUMIFS(INDIRECT("Data_main"&amp;"["&amp;AY$8&amp;"]"),Data_main[Data],$A27, Data_main[Segment],$B27, Data_main[Scenario],$B$3)),SUMIFS(INDIRECT("Data_main"&amp;"["&amp;AY$8&amp;"]"),Data_main[Data],$A27, Data_main[Segment],$B27, Data_main[Scenario],$B$3))</f>
        <v>0</v>
      </c>
      <c r="AZ27" s="390">
        <f ca="1">IF($B$6="ON", IF(AZ26&gt;=covid_start, IF(AZ26&lt;covid_recovery,NA(),SUMIFS(INDIRECT("Data_main"&amp;"["&amp;AZ$8&amp;"]"),Data_main[Data],$A27, Data_main[Segment],$B27, Data_main[Scenario],$B$3)),SUMIFS(INDIRECT("Data_main"&amp;"["&amp;AZ$8&amp;"]"),Data_main[Data],$A27, Data_main[Segment],$B27, Data_main[Scenario],$B$3)),SUMIFS(INDIRECT("Data_main"&amp;"["&amp;AZ$8&amp;"]"),Data_main[Data],$A27, Data_main[Segment],$B27, Data_main[Scenario],$B$3))</f>
        <v>0</v>
      </c>
      <c r="BA27" s="390">
        <f ca="1">IF($B$6="ON", IF(BA26&gt;=covid_start, IF(BA26&lt;covid_recovery,NA(),SUMIFS(INDIRECT("Data_main"&amp;"["&amp;BA$8&amp;"]"),Data_main[Data],$A27, Data_main[Segment],$B27, Data_main[Scenario],$B$3)),SUMIFS(INDIRECT("Data_main"&amp;"["&amp;BA$8&amp;"]"),Data_main[Data],$A27, Data_main[Segment],$B27, Data_main[Scenario],$B$3)),SUMIFS(INDIRECT("Data_main"&amp;"["&amp;BA$8&amp;"]"),Data_main[Data],$A27, Data_main[Segment],$B27, Data_main[Scenario],$B$3))</f>
        <v>0</v>
      </c>
      <c r="BB27" s="390">
        <f ca="1">IF($B$6="ON", IF(BB26&gt;=covid_start, IF(BB26&lt;covid_recovery,NA(),SUMIFS(INDIRECT("Data_main"&amp;"["&amp;BB$8&amp;"]"),Data_main[Data],$A27, Data_main[Segment],$B27, Data_main[Scenario],$B$3)),SUMIFS(INDIRECT("Data_main"&amp;"["&amp;BB$8&amp;"]"),Data_main[Data],$A27, Data_main[Segment],$B27, Data_main[Scenario],$B$3)),SUMIFS(INDIRECT("Data_main"&amp;"["&amp;BB$8&amp;"]"),Data_main[Data],$A27, Data_main[Segment],$B27, Data_main[Scenario],$B$3))</f>
        <v>0</v>
      </c>
      <c r="BC27" s="390">
        <f ca="1">IF($B$6="ON", IF(BC26&gt;=covid_start, IF(BC26&lt;covid_recovery,NA(),SUMIFS(INDIRECT("Data_main"&amp;"["&amp;BC$8&amp;"]"),Data_main[Data],$A27, Data_main[Segment],$B27, Data_main[Scenario],$B$3)),SUMIFS(INDIRECT("Data_main"&amp;"["&amp;BC$8&amp;"]"),Data_main[Data],$A27, Data_main[Segment],$B27, Data_main[Scenario],$B$3)),SUMIFS(INDIRECT("Data_main"&amp;"["&amp;BC$8&amp;"]"),Data_main[Data],$A27, Data_main[Segment],$B27, Data_main[Scenario],$B$3))</f>
        <v>0</v>
      </c>
      <c r="BD27" s="390">
        <f ca="1">IF($B$6="ON", IF(BD26&gt;=covid_start, IF(BD26&lt;covid_recovery,NA(),SUMIFS(INDIRECT("Data_main"&amp;"["&amp;BD$8&amp;"]"),Data_main[Data],$A27, Data_main[Segment],$B27, Data_main[Scenario],$B$3)),SUMIFS(INDIRECT("Data_main"&amp;"["&amp;BD$8&amp;"]"),Data_main[Data],$A27, Data_main[Segment],$B27, Data_main[Scenario],$B$3)),SUMIFS(INDIRECT("Data_main"&amp;"["&amp;BD$8&amp;"]"),Data_main[Data],$A27, Data_main[Segment],$B27, Data_main[Scenario],$B$3))</f>
        <v>0</v>
      </c>
      <c r="BE27" s="390">
        <f ca="1">IF($B$6="ON", IF(BE26&gt;=covid_start, IF(BE26&lt;covid_recovery,NA(),SUMIFS(INDIRECT("Data_main"&amp;"["&amp;BE$8&amp;"]"),Data_main[Data],$A27, Data_main[Segment],$B27, Data_main[Scenario],$B$3)),SUMIFS(INDIRECT("Data_main"&amp;"["&amp;BE$8&amp;"]"),Data_main[Data],$A27, Data_main[Segment],$B27, Data_main[Scenario],$B$3)),SUMIFS(INDIRECT("Data_main"&amp;"["&amp;BE$8&amp;"]"),Data_main[Data],$A27, Data_main[Segment],$B27, Data_main[Scenario],$B$3))</f>
        <v>0</v>
      </c>
      <c r="BF27" s="390">
        <f ca="1">IF($B$6="ON", IF(BF26&gt;=covid_start, IF(BF26&lt;covid_recovery,NA(),SUMIFS(INDIRECT("Data_main"&amp;"["&amp;BF$8&amp;"]"),Data_main[Data],$A27, Data_main[Segment],$B27, Data_main[Scenario],$B$3)),SUMIFS(INDIRECT("Data_main"&amp;"["&amp;BF$8&amp;"]"),Data_main[Data],$A27, Data_main[Segment],$B27, Data_main[Scenario],$B$3)),SUMIFS(INDIRECT("Data_main"&amp;"["&amp;BF$8&amp;"]"),Data_main[Data],$A27, Data_main[Segment],$B27, Data_main[Scenario],$B$3))</f>
        <v>0</v>
      </c>
      <c r="BG27" s="390">
        <f ca="1">IF($B$6="ON", IF(BG26&gt;=covid_start, IF(BG26&lt;covid_recovery,NA(),SUMIFS(INDIRECT("Data_main"&amp;"["&amp;BG$8&amp;"]"),Data_main[Data],$A27, Data_main[Segment],$B27, Data_main[Scenario],$B$3)),SUMIFS(INDIRECT("Data_main"&amp;"["&amp;BG$8&amp;"]"),Data_main[Data],$A27, Data_main[Segment],$B27, Data_main[Scenario],$B$3)),SUMIFS(INDIRECT("Data_main"&amp;"["&amp;BG$8&amp;"]"),Data_main[Data],$A27, Data_main[Segment],$B27, Data_main[Scenario],$B$3))</f>
        <v>0</v>
      </c>
      <c r="BH27" s="390">
        <f ca="1">IF($B$6="ON", IF(BH26&gt;=covid_start, IF(BH26&lt;covid_recovery,NA(),SUMIFS(INDIRECT("Data_main"&amp;"["&amp;BH$8&amp;"]"),Data_main[Data],$A27, Data_main[Segment],$B27, Data_main[Scenario],$B$3)),SUMIFS(INDIRECT("Data_main"&amp;"["&amp;BH$8&amp;"]"),Data_main[Data],$A27, Data_main[Segment],$B27, Data_main[Scenario],$B$3)),SUMIFS(INDIRECT("Data_main"&amp;"["&amp;BH$8&amp;"]"),Data_main[Data],$A27, Data_main[Segment],$B27, Data_main[Scenario],$B$3))</f>
        <v>0</v>
      </c>
      <c r="BI27" s="390">
        <f ca="1">IF($B$6="ON", IF(BI26&gt;=covid_start, IF(BI26&lt;covid_recovery,NA(),SUMIFS(INDIRECT("Data_main"&amp;"["&amp;BI$8&amp;"]"),Data_main[Data],$A27, Data_main[Segment],$B27, Data_main[Scenario],$B$3)),SUMIFS(INDIRECT("Data_main"&amp;"["&amp;BI$8&amp;"]"),Data_main[Data],$A27, Data_main[Segment],$B27, Data_main[Scenario],$B$3)),SUMIFS(INDIRECT("Data_main"&amp;"["&amp;BI$8&amp;"]"),Data_main[Data],$A27, Data_main[Segment],$B27, Data_main[Scenario],$B$3))</f>
        <v>0</v>
      </c>
      <c r="BJ27" s="390">
        <f ca="1">IF($B$6="ON", IF(BJ26&gt;=covid_start, IF(BJ26&lt;covid_recovery,NA(),SUMIFS(INDIRECT("Data_main"&amp;"["&amp;BJ$8&amp;"]"),Data_main[Data],$A27, Data_main[Segment],$B27, Data_main[Scenario],$B$3)),SUMIFS(INDIRECT("Data_main"&amp;"["&amp;BJ$8&amp;"]"),Data_main[Data],$A27, Data_main[Segment],$B27, Data_main[Scenario],$B$3)),SUMIFS(INDIRECT("Data_main"&amp;"["&amp;BJ$8&amp;"]"),Data_main[Data],$A27, Data_main[Segment],$B27, Data_main[Scenario],$B$3))</f>
        <v>0</v>
      </c>
      <c r="BK27" s="390">
        <f ca="1">IF($B$6="ON", IF(BK26&gt;=covid_start, IF(BK26&lt;covid_recovery,NA(),SUMIFS(INDIRECT("Data_main"&amp;"["&amp;BK$8&amp;"]"),Data_main[Data],$A27, Data_main[Segment],$B27, Data_main[Scenario],$B$3)),SUMIFS(INDIRECT("Data_main"&amp;"["&amp;BK$8&amp;"]"),Data_main[Data],$A27, Data_main[Segment],$B27, Data_main[Scenario],$B$3)),SUMIFS(INDIRECT("Data_main"&amp;"["&amp;BK$8&amp;"]"),Data_main[Data],$A27, Data_main[Segment],$B27, Data_main[Scenario],$B$3))</f>
        <v>0</v>
      </c>
      <c r="BL27" s="390">
        <f ca="1">IF($B$6="ON", IF(BL26&gt;=covid_start, IF(BL26&lt;covid_recovery,NA(),SUMIFS(INDIRECT("Data_main"&amp;"["&amp;BL$8&amp;"]"),Data_main[Data],$A27, Data_main[Segment],$B27, Data_main[Scenario],$B$3)),SUMIFS(INDIRECT("Data_main"&amp;"["&amp;BL$8&amp;"]"),Data_main[Data],$A27, Data_main[Segment],$B27, Data_main[Scenario],$B$3)),SUMIFS(INDIRECT("Data_main"&amp;"["&amp;BL$8&amp;"]"),Data_main[Data],$A27, Data_main[Segment],$B27, Data_main[Scenario],$B$3))</f>
        <v>0</v>
      </c>
      <c r="BM27" s="390">
        <f ca="1">IF($B$6="ON", IF(BM26&gt;=covid_start, IF(BM26&lt;covid_recovery,NA(),SUMIFS(INDIRECT("Data_main"&amp;"["&amp;BM$8&amp;"]"),Data_main[Data],$A27, Data_main[Segment],$B27, Data_main[Scenario],$B$3)),SUMIFS(INDIRECT("Data_main"&amp;"["&amp;BM$8&amp;"]"),Data_main[Data],$A27, Data_main[Segment],$B27, Data_main[Scenario],$B$3)),SUMIFS(INDIRECT("Data_main"&amp;"["&amp;BM$8&amp;"]"),Data_main[Data],$A27, Data_main[Segment],$B27, Data_main[Scenario],$B$3))</f>
        <v>0</v>
      </c>
      <c r="BN27" s="390">
        <f ca="1">IF($B$6="ON", IF(BN26&gt;=covid_start, IF(BN26&lt;covid_recovery,NA(),SUMIFS(INDIRECT("Data_main"&amp;"["&amp;BN$8&amp;"]"),Data_main[Data],$A27, Data_main[Segment],$B27, Data_main[Scenario],$B$3)),SUMIFS(INDIRECT("Data_main"&amp;"["&amp;BN$8&amp;"]"),Data_main[Data],$A27, Data_main[Segment],$B27, Data_main[Scenario],$B$3)),SUMIFS(INDIRECT("Data_main"&amp;"["&amp;BN$8&amp;"]"),Data_main[Data],$A27, Data_main[Segment],$B27, Data_main[Scenario],$B$3))</f>
        <v>0</v>
      </c>
      <c r="BO27" s="390">
        <f ca="1">IF($B$6="ON", IF(BO26&gt;=covid_start, IF(BO26&lt;covid_recovery,NA(),SUMIFS(INDIRECT("Data_main"&amp;"["&amp;BO$8&amp;"]"),Data_main[Data],$A27, Data_main[Segment],$B27, Data_main[Scenario],$B$3)),SUMIFS(INDIRECT("Data_main"&amp;"["&amp;BO$8&amp;"]"),Data_main[Data],$A27, Data_main[Segment],$B27, Data_main[Scenario],$B$3)),SUMIFS(INDIRECT("Data_main"&amp;"["&amp;BO$8&amp;"]"),Data_main[Data],$A27, Data_main[Segment],$B27, Data_main[Scenario],$B$3))</f>
        <v>0</v>
      </c>
      <c r="BP27" s="390">
        <f ca="1">IF($B$6="ON", IF(BP26&gt;=covid_start, IF(BP26&lt;covid_recovery,NA(),SUMIFS(INDIRECT("Data_main"&amp;"["&amp;BP$8&amp;"]"),Data_main[Data],$A27, Data_main[Segment],$B27, Data_main[Scenario],$B$3)),SUMIFS(INDIRECT("Data_main"&amp;"["&amp;BP$8&amp;"]"),Data_main[Data],$A27, Data_main[Segment],$B27, Data_main[Scenario],$B$3)),SUMIFS(INDIRECT("Data_main"&amp;"["&amp;BP$8&amp;"]"),Data_main[Data],$A27, Data_main[Segment],$B27, Data_main[Scenario],$B$3))</f>
        <v>0</v>
      </c>
      <c r="BQ27" s="390">
        <f ca="1">IF($B$6="ON", IF(BQ26&gt;=covid_start, IF(BQ26&lt;covid_recovery,NA(),SUMIFS(INDIRECT("Data_main"&amp;"["&amp;BQ$8&amp;"]"),Data_main[Data],$A27, Data_main[Segment],$B27, Data_main[Scenario],$B$3)),SUMIFS(INDIRECT("Data_main"&amp;"["&amp;BQ$8&amp;"]"),Data_main[Data],$A27, Data_main[Segment],$B27, Data_main[Scenario],$B$3)),SUMIFS(INDIRECT("Data_main"&amp;"["&amp;BQ$8&amp;"]"),Data_main[Data],$A27, Data_main[Segment],$B27, Data_main[Scenario],$B$3))</f>
        <v>0</v>
      </c>
      <c r="BR27" s="390">
        <f ca="1">IF($B$6="ON", IF(BR26&gt;=covid_start, IF(BR26&lt;covid_recovery,NA(),SUMIFS(INDIRECT("Data_main"&amp;"["&amp;BR$8&amp;"]"),Data_main[Data],$A27, Data_main[Segment],$B27, Data_main[Scenario],$B$3)),SUMIFS(INDIRECT("Data_main"&amp;"["&amp;BR$8&amp;"]"),Data_main[Data],$A27, Data_main[Segment],$B27, Data_main[Scenario],$B$3)),SUMIFS(INDIRECT("Data_main"&amp;"["&amp;BR$8&amp;"]"),Data_main[Data],$A27, Data_main[Segment],$B27, Data_main[Scenario],$B$3))</f>
        <v>0</v>
      </c>
      <c r="BS27" s="390">
        <f ca="1">IF($B$6="ON", IF(BS26&gt;=covid_start, IF(BS26&lt;covid_recovery,NA(),SUMIFS(INDIRECT("Data_main"&amp;"["&amp;BS$8&amp;"]"),Data_main[Data],$A27, Data_main[Segment],$B27, Data_main[Scenario],$B$3)),SUMIFS(INDIRECT("Data_main"&amp;"["&amp;BS$8&amp;"]"),Data_main[Data],$A27, Data_main[Segment],$B27, Data_main[Scenario],$B$3)),SUMIFS(INDIRECT("Data_main"&amp;"["&amp;BS$8&amp;"]"),Data_main[Data],$A27, Data_main[Segment],$B27, Data_main[Scenario],$B$3))</f>
        <v>0</v>
      </c>
      <c r="BT27" s="390">
        <f ca="1">IF($B$6="ON", IF(BT26&gt;=covid_start, IF(BT26&lt;covid_recovery,NA(),SUMIFS(INDIRECT("Data_main"&amp;"["&amp;BT$8&amp;"]"),Data_main[Data],$A27, Data_main[Segment],$B27, Data_main[Scenario],$B$3)),SUMIFS(INDIRECT("Data_main"&amp;"["&amp;BT$8&amp;"]"),Data_main[Data],$A27, Data_main[Segment],$B27, Data_main[Scenario],$B$3)),SUMIFS(INDIRECT("Data_main"&amp;"["&amp;BT$8&amp;"]"),Data_main[Data],$A27, Data_main[Segment],$B27, Data_main[Scenario],$B$3))</f>
        <v>0</v>
      </c>
      <c r="BU27" s="390">
        <f ca="1">IF($B$6="ON", IF(BU26&gt;=covid_start, IF(BU26&lt;covid_recovery,NA(),SUMIFS(INDIRECT("Data_main"&amp;"["&amp;BU$8&amp;"]"),Data_main[Data],$A27, Data_main[Segment],$B27, Data_main[Scenario],$B$3)),SUMIFS(INDIRECT("Data_main"&amp;"["&amp;BU$8&amp;"]"),Data_main[Data],$A27, Data_main[Segment],$B27, Data_main[Scenario],$B$3)),SUMIFS(INDIRECT("Data_main"&amp;"["&amp;BU$8&amp;"]"),Data_main[Data],$A27, Data_main[Segment],$B27, Data_main[Scenario],$B$3))</f>
        <v>0</v>
      </c>
      <c r="BV27" s="390">
        <f ca="1">IF($B$6="ON", IF(BV26&gt;=covid_start, IF(BV26&lt;covid_recovery,NA(),SUMIFS(INDIRECT("Data_main"&amp;"["&amp;BV$8&amp;"]"),Data_main[Data],$A27, Data_main[Segment],$B27, Data_main[Scenario],$B$3)),SUMIFS(INDIRECT("Data_main"&amp;"["&amp;BV$8&amp;"]"),Data_main[Data],$A27, Data_main[Segment],$B27, Data_main[Scenario],$B$3)),SUMIFS(INDIRECT("Data_main"&amp;"["&amp;BV$8&amp;"]"),Data_main[Data],$A27, Data_main[Segment],$B27, Data_main[Scenario],$B$3))</f>
        <v>0</v>
      </c>
      <c r="BW27" s="390">
        <f ca="1">IF($B$6="ON", IF(BW26&gt;=covid_start, IF(BW26&lt;covid_recovery,NA(),SUMIFS(INDIRECT("Data_main"&amp;"["&amp;BW$8&amp;"]"),Data_main[Data],$A27, Data_main[Segment],$B27, Data_main[Scenario],$B$3)),SUMIFS(INDIRECT("Data_main"&amp;"["&amp;BW$8&amp;"]"),Data_main[Data],$A27, Data_main[Segment],$B27, Data_main[Scenario],$B$3)),SUMIFS(INDIRECT("Data_main"&amp;"["&amp;BW$8&amp;"]"),Data_main[Data],$A27, Data_main[Segment],$B27, Data_main[Scenario],$B$3))</f>
        <v>0</v>
      </c>
      <c r="BX27" s="390">
        <f ca="1">IF($B$6="ON", IF(BX26&gt;=covid_start, IF(BX26&lt;covid_recovery,NA(),SUMIFS(INDIRECT("Data_main"&amp;"["&amp;BX$8&amp;"]"),Data_main[Data],$A27, Data_main[Segment],$B27, Data_main[Scenario],$B$3)),SUMIFS(INDIRECT("Data_main"&amp;"["&amp;BX$8&amp;"]"),Data_main[Data],$A27, Data_main[Segment],$B27, Data_main[Scenario],$B$3)),SUMIFS(INDIRECT("Data_main"&amp;"["&amp;BX$8&amp;"]"),Data_main[Data],$A27, Data_main[Segment],$B27, Data_main[Scenario],$B$3))</f>
        <v>0</v>
      </c>
      <c r="BY27" s="390">
        <f ca="1">IF($B$6="ON", IF(BY26&gt;=covid_start, IF(BY26&lt;covid_recovery,NA(),SUMIFS(INDIRECT("Data_main"&amp;"["&amp;BY$8&amp;"]"),Data_main[Data],$A27, Data_main[Segment],$B27, Data_main[Scenario],$B$3)),SUMIFS(INDIRECT("Data_main"&amp;"["&amp;BY$8&amp;"]"),Data_main[Data],$A27, Data_main[Segment],$B27, Data_main[Scenario],$B$3)),SUMIFS(INDIRECT("Data_main"&amp;"["&amp;BY$8&amp;"]"),Data_main[Data],$A27, Data_main[Segment],$B27, Data_main[Scenario],$B$3))</f>
        <v>0</v>
      </c>
      <c r="BZ27" s="390">
        <f ca="1">IF($B$6="ON", IF(BZ26&gt;=covid_start, IF(BZ26&lt;covid_recovery,NA(),SUMIFS(INDIRECT("Data_main"&amp;"["&amp;BZ$8&amp;"]"),Data_main[Data],$A27, Data_main[Segment],$B27, Data_main[Scenario],$B$3)),SUMIFS(INDIRECT("Data_main"&amp;"["&amp;BZ$8&amp;"]"),Data_main[Data],$A27, Data_main[Segment],$B27, Data_main[Scenario],$B$3)),SUMIFS(INDIRECT("Data_main"&amp;"["&amp;BZ$8&amp;"]"),Data_main[Data],$A27, Data_main[Segment],$B27, Data_main[Scenario],$B$3))</f>
        <v>0</v>
      </c>
      <c r="CA27" s="390">
        <f ca="1">IF($B$6="ON", IF(CA26&gt;=covid_start, IF(CA26&lt;covid_recovery,NA(),SUMIFS(INDIRECT("Data_main"&amp;"["&amp;CA$8&amp;"]"),Data_main[Data],$A27, Data_main[Segment],$B27, Data_main[Scenario],$B$3)),SUMIFS(INDIRECT("Data_main"&amp;"["&amp;CA$8&amp;"]"),Data_main[Data],$A27, Data_main[Segment],$B27, Data_main[Scenario],$B$3)),SUMIFS(INDIRECT("Data_main"&amp;"["&amp;CA$8&amp;"]"),Data_main[Data],$A27, Data_main[Segment],$B27, Data_main[Scenario],$B$3))</f>
        <v>0</v>
      </c>
      <c r="CB27" s="390">
        <f ca="1">IF($B$6="ON", IF(CB26&gt;=covid_start, IF(CB26&lt;covid_recovery,NA(),SUMIFS(INDIRECT("Data_main"&amp;"["&amp;CB$8&amp;"]"),Data_main[Data],$A27, Data_main[Segment],$B27, Data_main[Scenario],$B$3)),SUMIFS(INDIRECT("Data_main"&amp;"["&amp;CB$8&amp;"]"),Data_main[Data],$A27, Data_main[Segment],$B27, Data_main[Scenario],$B$3)),SUMIFS(INDIRECT("Data_main"&amp;"["&amp;CB$8&amp;"]"),Data_main[Data],$A27, Data_main[Segment],$B27, Data_main[Scenario],$B$3))</f>
        <v>0</v>
      </c>
      <c r="CC27" s="390">
        <f ca="1">IF($B$6="ON", IF(CC26&gt;=covid_start, IF(CC26&lt;covid_recovery,NA(),SUMIFS(INDIRECT("Data_main"&amp;"["&amp;CC$8&amp;"]"),Data_main[Data],$A27, Data_main[Segment],$B27, Data_main[Scenario],$B$3)),SUMIFS(INDIRECT("Data_main"&amp;"["&amp;CC$8&amp;"]"),Data_main[Data],$A27, Data_main[Segment],$B27, Data_main[Scenario],$B$3)),SUMIFS(INDIRECT("Data_main"&amp;"["&amp;CC$8&amp;"]"),Data_main[Data],$A27, Data_main[Segment],$B27, Data_main[Scenario],$B$3))</f>
        <v>0</v>
      </c>
      <c r="CD27" s="390">
        <f ca="1">IF($B$6="ON", IF(CD26&gt;=covid_start, IF(CD26&lt;covid_recovery,NA(),SUMIFS(INDIRECT("Data_main"&amp;"["&amp;CD$8&amp;"]"),Data_main[Data],$A27, Data_main[Segment],$B27, Data_main[Scenario],$B$3)),SUMIFS(INDIRECT("Data_main"&amp;"["&amp;CD$8&amp;"]"),Data_main[Data],$A27, Data_main[Segment],$B27, Data_main[Scenario],$B$3)),SUMIFS(INDIRECT("Data_main"&amp;"["&amp;CD$8&amp;"]"),Data_main[Data],$A27, Data_main[Segment],$B27, Data_main[Scenario],$B$3))</f>
        <v>0</v>
      </c>
      <c r="CE27" s="390">
        <f ca="1">IF($B$6="ON", IF(CE26&gt;=covid_start, IF(CE26&lt;covid_recovery,NA(),SUMIFS(INDIRECT("Data_main"&amp;"["&amp;CE$8&amp;"]"),Data_main[Data],$A27, Data_main[Segment],$B27, Data_main[Scenario],$B$3)),SUMIFS(INDIRECT("Data_main"&amp;"["&amp;CE$8&amp;"]"),Data_main[Data],$A27, Data_main[Segment],$B27, Data_main[Scenario],$B$3)),SUMIFS(INDIRECT("Data_main"&amp;"["&amp;CE$8&amp;"]"),Data_main[Data],$A27, Data_main[Segment],$B27, Data_main[Scenario],$B$3))</f>
        <v>0</v>
      </c>
      <c r="CF27" s="390">
        <f ca="1">IF($B$6="ON", IF(CF26&gt;=covid_start, IF(CF26&lt;covid_recovery,NA(),SUMIFS(INDIRECT("Data_main"&amp;"["&amp;CF$8&amp;"]"),Data_main[Data],$A27, Data_main[Segment],$B27, Data_main[Scenario],$B$3)),SUMIFS(INDIRECT("Data_main"&amp;"["&amp;CF$8&amp;"]"),Data_main[Data],$A27, Data_main[Segment],$B27, Data_main[Scenario],$B$3)),SUMIFS(INDIRECT("Data_main"&amp;"["&amp;CF$8&amp;"]"),Data_main[Data],$A27, Data_main[Segment],$B27, Data_main[Scenario],$B$3))</f>
        <v>0</v>
      </c>
      <c r="CG27" s="390">
        <f ca="1">IF($B$6="ON", IF(CG26&gt;=covid_start, IF(CG26&lt;covid_recovery,NA(),SUMIFS(INDIRECT("Data_main"&amp;"["&amp;CG$8&amp;"]"),Data_main[Data],$A27, Data_main[Segment],$B27, Data_main[Scenario],$B$3)),SUMIFS(INDIRECT("Data_main"&amp;"["&amp;CG$8&amp;"]"),Data_main[Data],$A27, Data_main[Segment],$B27, Data_main[Scenario],$B$3)),SUMIFS(INDIRECT("Data_main"&amp;"["&amp;CG$8&amp;"]"),Data_main[Data],$A27, Data_main[Segment],$B27, Data_main[Scenario],$B$3))</f>
        <v>0</v>
      </c>
      <c r="CH27" s="390">
        <f ca="1">IF($B$6="ON", IF(CH26&gt;=covid_start, IF(CH26&lt;covid_recovery,NA(),SUMIFS(INDIRECT("Data_main"&amp;"["&amp;CH$8&amp;"]"),Data_main[Data],$A27, Data_main[Segment],$B27, Data_main[Scenario],$B$3)),SUMIFS(INDIRECT("Data_main"&amp;"["&amp;CH$8&amp;"]"),Data_main[Data],$A27, Data_main[Segment],$B27, Data_main[Scenario],$B$3)),SUMIFS(INDIRECT("Data_main"&amp;"["&amp;CH$8&amp;"]"),Data_main[Data],$A27, Data_main[Segment],$B27, Data_main[Scenario],$B$3))</f>
        <v>0</v>
      </c>
      <c r="CI27" s="390">
        <f ca="1">IF($B$6="ON", IF(CI26&gt;=covid_start, IF(CI26&lt;covid_recovery,NA(),SUMIFS(INDIRECT("Data_main"&amp;"["&amp;CI$8&amp;"]"),Data_main[Data],$A27, Data_main[Segment],$B27, Data_main[Scenario],$B$3)),SUMIFS(INDIRECT("Data_main"&amp;"["&amp;CI$8&amp;"]"),Data_main[Data],$A27, Data_main[Segment],$B27, Data_main[Scenario],$B$3)),SUMIFS(INDIRECT("Data_main"&amp;"["&amp;CI$8&amp;"]"),Data_main[Data],$A27, Data_main[Segment],$B27, Data_main[Scenario],$B$3))</f>
        <v>0</v>
      </c>
      <c r="CJ27" s="390">
        <f ca="1">IF($B$6="ON", IF(CJ26&gt;=covid_start, IF(CJ26&lt;covid_recovery,NA(),SUMIFS(INDIRECT("Data_main"&amp;"["&amp;CJ$8&amp;"]"),Data_main[Data],$A27, Data_main[Segment],$B27, Data_main[Scenario],$B$3)),SUMIFS(INDIRECT("Data_main"&amp;"["&amp;CJ$8&amp;"]"),Data_main[Data],$A27, Data_main[Segment],$B27, Data_main[Scenario],$B$3)),SUMIFS(INDIRECT("Data_main"&amp;"["&amp;CJ$8&amp;"]"),Data_main[Data],$A27, Data_main[Segment],$B27, Data_main[Scenario],$B$3))</f>
        <v>0</v>
      </c>
      <c r="CK27" s="390">
        <f ca="1">IF($B$6="ON", IF(CK26&gt;=covid_start, IF(CK26&lt;covid_recovery,NA(),SUMIFS(INDIRECT("Data_main"&amp;"["&amp;CK$8&amp;"]"),Data_main[Data],$A27, Data_main[Segment],$B27, Data_main[Scenario],$B$3)),SUMIFS(INDIRECT("Data_main"&amp;"["&amp;CK$8&amp;"]"),Data_main[Data],$A27, Data_main[Segment],$B27, Data_main[Scenario],$B$3)),SUMIFS(INDIRECT("Data_main"&amp;"["&amp;CK$8&amp;"]"),Data_main[Data],$A27, Data_main[Segment],$B27, Data_main[Scenario],$B$3))</f>
        <v>0</v>
      </c>
      <c r="CL27" s="390">
        <f ca="1">IF($B$6="ON", IF(CL26&gt;=covid_start, IF(CL26&lt;covid_recovery,NA(),SUMIFS(INDIRECT("Data_main"&amp;"["&amp;CL$8&amp;"]"),Data_main[Data],$A27, Data_main[Segment],$B27, Data_main[Scenario],$B$3)),SUMIFS(INDIRECT("Data_main"&amp;"["&amp;CL$8&amp;"]"),Data_main[Data],$A27, Data_main[Segment],$B27, Data_main[Scenario],$B$3)),SUMIFS(INDIRECT("Data_main"&amp;"["&amp;CL$8&amp;"]"),Data_main[Data],$A27, Data_main[Segment],$B27, Data_main[Scenario],$B$3))</f>
        <v>0</v>
      </c>
      <c r="CN27" s="391">
        <f ca="1">IFERROR((Y27/H27)^(1/17)-1,"")</f>
        <v>-9.5304269845940537E-3</v>
      </c>
      <c r="CO27" s="391">
        <f ca="1">IFERROR((AN27/Y27)^(1/15)-1,"")</f>
        <v>-0.12514646524939466</v>
      </c>
      <c r="CP27" s="391">
        <f ca="1">IFERROR((AN27/H27)^(1/32)-1,"")</f>
        <v>-6.5513997297573789E-2</v>
      </c>
    </row>
    <row r="28" spans="1:94" hidden="1" outlineLevel="1">
      <c r="A28" s="392" t="s">
        <v>157</v>
      </c>
      <c r="B28" s="392" t="str">
        <f t="shared" ref="B28:B29" si="126">$A$26</f>
        <v>Ded-long</v>
      </c>
      <c r="C28" s="393" t="s">
        <v>311</v>
      </c>
      <c r="D28" s="389"/>
      <c r="E28" s="390">
        <f ca="1">'SDS Calc'!E28</f>
        <v>106.11366620800401</v>
      </c>
      <c r="F28" s="531">
        <f ca="1">'SDS Calc'!F28</f>
        <v>112.90224450195599</v>
      </c>
      <c r="G28" s="531">
        <f ca="1">'SDS Calc'!G28</f>
        <v>119.69082279590801</v>
      </c>
      <c r="H28" s="531">
        <f ca="1">'SDS Calc'!H28</f>
        <v>126.47940108986</v>
      </c>
      <c r="I28" s="531">
        <f ca="1">'SDS Calc'!I28</f>
        <v>114.76953638423001</v>
      </c>
      <c r="J28" s="531" t="e">
        <f ca="1">'SDS Calc'!J28</f>
        <v>#N/A</v>
      </c>
      <c r="K28" s="531" t="e">
        <f ca="1">'SDS Calc'!K28</f>
        <v>#N/A</v>
      </c>
      <c r="L28" s="531" t="e">
        <f ca="1">'SDS Calc'!L28</f>
        <v>#N/A</v>
      </c>
      <c r="M28" s="531">
        <f ca="1">'SDS Calc'!M28</f>
        <v>129.6890767599657</v>
      </c>
      <c r="N28" s="531">
        <f ca="1">'SDS Calc'!N28</f>
        <v>133.41896185389967</v>
      </c>
      <c r="O28" s="531">
        <f ca="1">'SDS Calc'!O28</f>
        <v>137.14884694783362</v>
      </c>
      <c r="P28" s="531">
        <f ca="1">'SDS Calc'!P28</f>
        <v>140.87873204176742</v>
      </c>
      <c r="Q28" s="531">
        <f ca="1">'SDS Calc'!Q28</f>
        <v>144.60861713570139</v>
      </c>
      <c r="R28" s="531">
        <f ca="1">'SDS Calc'!R28</f>
        <v>148.33850222963534</v>
      </c>
      <c r="S28" s="531">
        <f ca="1">'SDS Calc'!S28</f>
        <v>152.06838732356928</v>
      </c>
      <c r="T28" s="531">
        <f ca="1">'SDS Calc'!T28</f>
        <v>155.79827241750326</v>
      </c>
      <c r="U28" s="531">
        <f ca="1">'SDS Calc'!U28</f>
        <v>160.52802948358629</v>
      </c>
      <c r="V28" s="531">
        <f ca="1">IF($B$6="ON", IF(V26&gt;=covid_start, IF(V26&lt;covid_recovery,NA(),SUMIFS(INDIRECT("Data_main"&amp;"["&amp;V$8&amp;"]"),Data_main[Data],$A28, Data_main[Segment],$B28, Data_main[Scenario],$B$3)),SUMIFS(INDIRECT("Data_main"&amp;"["&amp;V$8&amp;"]"),Data_main[Data],$A28, Data_main[Segment],$B28, Data_main[Scenario],$B$3)),SUMIFS(INDIRECT("Data_main"&amp;"["&amp;V$8&amp;"]"),Data_main[Data],$A28, Data_main[Segment],$B28, Data_main[Scenario],$B$3))</f>
        <v>189.34153354024636</v>
      </c>
      <c r="W28" s="390">
        <f ca="1">IF($B$6="ON", IF(W26&gt;=covid_start, IF(W26&lt;covid_recovery,NA(),SUMIFS(INDIRECT("Data_main"&amp;"["&amp;W$8&amp;"]"),Data_main[Data],$A28, Data_main[Segment],$B28, Data_main[Scenario],$B$3)),SUMIFS(INDIRECT("Data_main"&amp;"["&amp;W$8&amp;"]"),Data_main[Data],$A28, Data_main[Segment],$B28, Data_main[Scenario],$B$3)),SUMIFS(INDIRECT("Data_main"&amp;"["&amp;W$8&amp;"]"),Data_main[Data],$A28, Data_main[Segment],$B28, Data_main[Scenario],$B$3))</f>
        <v>197.45125190505897</v>
      </c>
      <c r="X28" s="390">
        <f ca="1">IF($B$6="ON", IF(X26&gt;=covid_start, IF(X26&lt;covid_recovery,NA(),SUMIFS(INDIRECT("Data_main"&amp;"["&amp;X$8&amp;"]"),Data_main[Data],$A28, Data_main[Segment],$B28, Data_main[Scenario],$B$3)),SUMIFS(INDIRECT("Data_main"&amp;"["&amp;X$8&amp;"]"),Data_main[Data],$A28, Data_main[Segment],$B28, Data_main[Scenario],$B$3)),SUMIFS(INDIRECT("Data_main"&amp;"["&amp;X$8&amp;"]"),Data_main[Data],$A28, Data_main[Segment],$B28, Data_main[Scenario],$B$3))</f>
        <v>205.88509035010372</v>
      </c>
      <c r="Y28" s="390">
        <f ca="1">IF($B$6="ON", IF(Y26&gt;=covid_start, IF(Y26&lt;covid_recovery,NA(),SUMIFS(INDIRECT("Data_main"&amp;"["&amp;Y$8&amp;"]"),Data_main[Data],$A28, Data_main[Segment],$B28, Data_main[Scenario],$B$3)),SUMIFS(INDIRECT("Data_main"&amp;"["&amp;Y$8&amp;"]"),Data_main[Data],$A28, Data_main[Segment],$B28, Data_main[Scenario],$B$3)),SUMIFS(INDIRECT("Data_main"&amp;"["&amp;Y$8&amp;"]"),Data_main[Data],$A28, Data_main[Segment],$B28, Data_main[Scenario],$B$3))</f>
        <v>215.01107224220533</v>
      </c>
      <c r="Z28" s="390">
        <f ca="1">IF($B$6="ON", IF(Z26&gt;=covid_start, IF(Z26&lt;covid_recovery,NA(),SUMIFS(INDIRECT("Data_main"&amp;"["&amp;Z$8&amp;"]"),Data_main[Data],$A28, Data_main[Segment],$B28, Data_main[Scenario],$B$3)),SUMIFS(INDIRECT("Data_main"&amp;"["&amp;Z$8&amp;"]"),Data_main[Data],$A28, Data_main[Segment],$B28, Data_main[Scenario],$B$3)),SUMIFS(INDIRECT("Data_main"&amp;"["&amp;Z$8&amp;"]"),Data_main[Data],$A28, Data_main[Segment],$B28, Data_main[Scenario],$B$3))</f>
        <v>224.56800121578098</v>
      </c>
      <c r="AA28" s="390">
        <f ca="1">IF($B$6="ON", IF(AA26&gt;=covid_start, IF(AA26&lt;covid_recovery,NA(),SUMIFS(INDIRECT("Data_main"&amp;"["&amp;AA$8&amp;"]"),Data_main[Data],$A28, Data_main[Segment],$B28, Data_main[Scenario],$B$3)),SUMIFS(INDIRECT("Data_main"&amp;"["&amp;AA$8&amp;"]"),Data_main[Data],$A28, Data_main[Segment],$B28, Data_main[Scenario],$B$3)),SUMIFS(INDIRECT("Data_main"&amp;"["&amp;AA$8&amp;"]"),Data_main[Data],$A28, Data_main[Segment],$B28, Data_main[Scenario],$B$3))</f>
        <v>234.58360737254534</v>
      </c>
      <c r="AB28" s="390">
        <f ca="1">IF($B$6="ON", IF(AB26&gt;=covid_start, IF(AB26&lt;covid_recovery,NA(),SUMIFS(INDIRECT("Data_main"&amp;"["&amp;AB$8&amp;"]"),Data_main[Data],$A28, Data_main[Segment],$B28, Data_main[Scenario],$B$3)),SUMIFS(INDIRECT("Data_main"&amp;"["&amp;AB$8&amp;"]"),Data_main[Data],$A28, Data_main[Segment],$B28, Data_main[Scenario],$B$3)),SUMIFS(INDIRECT("Data_main"&amp;"["&amp;AB$8&amp;"]"),Data_main[Data],$A28, Data_main[Segment],$B28, Data_main[Scenario],$B$3))</f>
        <v>245.07286566826883</v>
      </c>
      <c r="AC28" s="390">
        <f ca="1">IF($B$6="ON", IF(AC26&gt;=covid_start, IF(AC26&lt;covid_recovery,NA(),SUMIFS(INDIRECT("Data_main"&amp;"["&amp;AC$8&amp;"]"),Data_main[Data],$A28, Data_main[Segment],$B28, Data_main[Scenario],$B$3)),SUMIFS(INDIRECT("Data_main"&amp;"["&amp;AC$8&amp;"]"),Data_main[Data],$A28, Data_main[Segment],$B28, Data_main[Scenario],$B$3)),SUMIFS(INDIRECT("Data_main"&amp;"["&amp;AC$8&amp;"]"),Data_main[Data],$A28, Data_main[Segment],$B28, Data_main[Scenario],$B$3))</f>
        <v>256.05068517112272</v>
      </c>
      <c r="AD28" s="390">
        <f ca="1">IF($B$6="ON", IF(AD26&gt;=covid_start, IF(AD26&lt;covid_recovery,NA(),SUMIFS(INDIRECT("Data_main"&amp;"["&amp;AD$8&amp;"]"),Data_main[Data],$A28, Data_main[Segment],$B28, Data_main[Scenario],$B$3)),SUMIFS(INDIRECT("Data_main"&amp;"["&amp;AD$8&amp;"]"),Data_main[Data],$A28, Data_main[Segment],$B28, Data_main[Scenario],$B$3)),SUMIFS(INDIRECT("Data_main"&amp;"["&amp;AD$8&amp;"]"),Data_main[Data],$A28, Data_main[Segment],$B28, Data_main[Scenario],$B$3))</f>
        <v>267.5322770909807</v>
      </c>
      <c r="AE28" s="390">
        <f ca="1">IF($B$6="ON", IF(AE26&gt;=covid_start, IF(AE26&lt;covid_recovery,NA(),SUMIFS(INDIRECT("Data_main"&amp;"["&amp;AE$8&amp;"]"),Data_main[Data],$A28, Data_main[Segment],$B28, Data_main[Scenario],$B$3)),SUMIFS(INDIRECT("Data_main"&amp;"["&amp;AE$8&amp;"]"),Data_main[Data],$A28, Data_main[Segment],$B28, Data_main[Scenario],$B$3)),SUMIFS(INDIRECT("Data_main"&amp;"["&amp;AE$8&amp;"]"),Data_main[Data],$A28, Data_main[Segment],$B28, Data_main[Scenario],$B$3))</f>
        <v>279.53359425169089</v>
      </c>
      <c r="AF28" s="390">
        <f ca="1">IF($B$6="ON", IF(AF26&gt;=covid_start, IF(AF26&lt;covid_recovery,NA(),SUMIFS(INDIRECT("Data_main"&amp;"["&amp;AF$8&amp;"]"),Data_main[Data],$A28, Data_main[Segment],$B28, Data_main[Scenario],$B$3)),SUMIFS(INDIRECT("Data_main"&amp;"["&amp;AF$8&amp;"]"),Data_main[Data],$A28, Data_main[Segment],$B28, Data_main[Scenario],$B$3)),SUMIFS(INDIRECT("Data_main"&amp;"["&amp;AF$8&amp;"]"),Data_main[Data],$A28, Data_main[Segment],$B28, Data_main[Scenario],$B$3))</f>
        <v>292.07099041782755</v>
      </c>
      <c r="AG28" s="390">
        <f ca="1">IF($B$6="ON", IF(AG26&gt;=covid_start, IF(AG26&lt;covid_recovery,NA(),SUMIFS(INDIRECT("Data_main"&amp;"["&amp;AG$8&amp;"]"),Data_main[Data],$A28, Data_main[Segment],$B28, Data_main[Scenario],$B$3)),SUMIFS(INDIRECT("Data_main"&amp;"["&amp;AG$8&amp;"]"),Data_main[Data],$A28, Data_main[Segment],$B28, Data_main[Scenario],$B$3)),SUMIFS(INDIRECT("Data_main"&amp;"["&amp;AG$8&amp;"]"),Data_main[Data],$A28, Data_main[Segment],$B28, Data_main[Scenario],$B$3))</f>
        <v>305.1624138605934</v>
      </c>
      <c r="AH28" s="390">
        <f ca="1">IF($B$6="ON", IF(AH26&gt;=covid_start, IF(AH26&lt;covid_recovery,NA(),SUMIFS(INDIRECT("Data_main"&amp;"["&amp;AH$8&amp;"]"),Data_main[Data],$A28, Data_main[Segment],$B28, Data_main[Scenario],$B$3)),SUMIFS(INDIRECT("Data_main"&amp;"["&amp;AH$8&amp;"]"),Data_main[Data],$A28, Data_main[Segment],$B28, Data_main[Scenario],$B$3)),SUMIFS(INDIRECT("Data_main"&amp;"["&amp;AH$8&amp;"]"),Data_main[Data],$A28, Data_main[Segment],$B28, Data_main[Scenario],$B$3))</f>
        <v>318.82742687683981</v>
      </c>
      <c r="AI28" s="390">
        <f ca="1">IF($B$6="ON", IF(AI26&gt;=covid_start, IF(AI26&lt;covid_recovery,NA(),SUMIFS(INDIRECT("Data_main"&amp;"["&amp;AI$8&amp;"]"),Data_main[Data],$A28, Data_main[Segment],$B28, Data_main[Scenario],$B$3)),SUMIFS(INDIRECT("Data_main"&amp;"["&amp;AI$8&amp;"]"),Data_main[Data],$A28, Data_main[Segment],$B28, Data_main[Scenario],$B$3)),SUMIFS(INDIRECT("Data_main"&amp;"["&amp;AI$8&amp;"]"),Data_main[Data],$A28, Data_main[Segment],$B28, Data_main[Scenario],$B$3))</f>
        <v>333.08709599436179</v>
      </c>
      <c r="AJ28" s="390">
        <f ca="1">IF($B$6="ON", IF(AJ26&gt;=covid_start, IF(AJ26&lt;covid_recovery,NA(),SUMIFS(INDIRECT("Data_main"&amp;"["&amp;AJ$8&amp;"]"),Data_main[Data],$A28, Data_main[Segment],$B28, Data_main[Scenario],$B$3)),SUMIFS(INDIRECT("Data_main"&amp;"["&amp;AJ$8&amp;"]"),Data_main[Data],$A28, Data_main[Segment],$B28, Data_main[Scenario],$B$3)),SUMIFS(INDIRECT("Data_main"&amp;"["&amp;AJ$8&amp;"]"),Data_main[Data],$A28, Data_main[Segment],$B28, Data_main[Scenario],$B$3))</f>
        <v>347.96369221620006</v>
      </c>
      <c r="AK28" s="390">
        <f ca="1">IF($B$6="ON", IF(AK26&gt;=covid_start, IF(AK26&lt;covid_recovery,NA(),SUMIFS(INDIRECT("Data_main"&amp;"["&amp;AK$8&amp;"]"),Data_main[Data],$A28, Data_main[Segment],$B28, Data_main[Scenario],$B$3)),SUMIFS(INDIRECT("Data_main"&amp;"["&amp;AK$8&amp;"]"),Data_main[Data],$A28, Data_main[Segment],$B28, Data_main[Scenario],$B$3)),SUMIFS(INDIRECT("Data_main"&amp;"["&amp;AK$8&amp;"]"),Data_main[Data],$A28, Data_main[Segment],$B28, Data_main[Scenario],$B$3))</f>
        <v>363.48024134952078</v>
      </c>
      <c r="AL28" s="390">
        <f ca="1">IF($B$6="ON", IF(AL26&gt;=covid_start, IF(AL26&lt;covid_recovery,NA(),SUMIFS(INDIRECT("Data_main"&amp;"["&amp;AL$8&amp;"]"),Data_main[Data],$A28, Data_main[Segment],$B28, Data_main[Scenario],$B$3)),SUMIFS(INDIRECT("Data_main"&amp;"["&amp;AL$8&amp;"]"),Data_main[Data],$A28, Data_main[Segment],$B28, Data_main[Scenario],$B$3)),SUMIFS(INDIRECT("Data_main"&amp;"["&amp;AL$8&amp;"]"),Data_main[Data],$A28, Data_main[Segment],$B28, Data_main[Scenario],$B$3))</f>
        <v>379.66005304747978</v>
      </c>
      <c r="AM28" s="390">
        <f ca="1">IF($B$6="ON", IF(AM26&gt;=covid_start, IF(AM26&lt;covid_recovery,NA(),SUMIFS(INDIRECT("Data_main"&amp;"["&amp;AM$8&amp;"]"),Data_main[Data],$A28, Data_main[Segment],$B28, Data_main[Scenario],$B$3)),SUMIFS(INDIRECT("Data_main"&amp;"["&amp;AM$8&amp;"]"),Data_main[Data],$A28, Data_main[Segment],$B28, Data_main[Scenario],$B$3)),SUMIFS(INDIRECT("Data_main"&amp;"["&amp;AM$8&amp;"]"),Data_main[Data],$A28, Data_main[Segment],$B28, Data_main[Scenario],$B$3))</f>
        <v>396.52617799943516</v>
      </c>
      <c r="AN28" s="390">
        <f ca="1">IF($B$6="ON", IF(AN26&gt;=covid_start, IF(AN26&lt;covid_recovery,NA(),SUMIFS(INDIRECT("Data_main"&amp;"["&amp;AN$8&amp;"]"),Data_main[Data],$A28, Data_main[Segment],$B28, Data_main[Scenario],$B$3)),SUMIFS(INDIRECT("Data_main"&amp;"["&amp;AN$8&amp;"]"),Data_main[Data],$A28, Data_main[Segment],$B28, Data_main[Scenario],$B$3)),SUMIFS(INDIRECT("Data_main"&amp;"["&amp;AN$8&amp;"]"),Data_main[Data],$A28, Data_main[Segment],$B28, Data_main[Scenario],$B$3))</f>
        <v>414.0883135383786</v>
      </c>
      <c r="AO28" s="390">
        <f ca="1">IF($B$6="ON", IF(AO26&gt;=covid_start, IF(AO26&lt;covid_recovery,NA(),SUMIFS(INDIRECT("Data_main"&amp;"["&amp;AO$8&amp;"]"),Data_main[Data],$A28, Data_main[Segment],$B28, Data_main[Scenario],$B$3)),SUMIFS(INDIRECT("Data_main"&amp;"["&amp;AO$8&amp;"]"),Data_main[Data],$A28, Data_main[Segment],$B28, Data_main[Scenario],$B$3)),SUMIFS(INDIRECT("Data_main"&amp;"["&amp;AO$8&amp;"]"),Data_main[Data],$A28, Data_main[Segment],$B28, Data_main[Scenario],$B$3))</f>
        <v>0</v>
      </c>
      <c r="AP28" s="390">
        <f ca="1">IF($B$6="ON", IF(AP26&gt;=covid_start, IF(AP26&lt;covid_recovery,NA(),SUMIFS(INDIRECT("Data_main"&amp;"["&amp;AP$8&amp;"]"),Data_main[Data],$A28, Data_main[Segment],$B28, Data_main[Scenario],$B$3)),SUMIFS(INDIRECT("Data_main"&amp;"["&amp;AP$8&amp;"]"),Data_main[Data],$A28, Data_main[Segment],$B28, Data_main[Scenario],$B$3)),SUMIFS(INDIRECT("Data_main"&amp;"["&amp;AP$8&amp;"]"),Data_main[Data],$A28, Data_main[Segment],$B28, Data_main[Scenario],$B$3))</f>
        <v>0</v>
      </c>
      <c r="AQ28" s="390">
        <f ca="1">IF($B$6="ON", IF(AQ26&gt;=covid_start, IF(AQ26&lt;covid_recovery,NA(),SUMIFS(INDIRECT("Data_main"&amp;"["&amp;AQ$8&amp;"]"),Data_main[Data],$A28, Data_main[Segment],$B28, Data_main[Scenario],$B$3)),SUMIFS(INDIRECT("Data_main"&amp;"["&amp;AQ$8&amp;"]"),Data_main[Data],$A28, Data_main[Segment],$B28, Data_main[Scenario],$B$3)),SUMIFS(INDIRECT("Data_main"&amp;"["&amp;AQ$8&amp;"]"),Data_main[Data],$A28, Data_main[Segment],$B28, Data_main[Scenario],$B$3))</f>
        <v>0</v>
      </c>
      <c r="AR28" s="390">
        <f ca="1">IF($B$6="ON", IF(AR26&gt;=covid_start, IF(AR26&lt;covid_recovery,NA(),SUMIFS(INDIRECT("Data_main"&amp;"["&amp;AR$8&amp;"]"),Data_main[Data],$A28, Data_main[Segment],$B28, Data_main[Scenario],$B$3)),SUMIFS(INDIRECT("Data_main"&amp;"["&amp;AR$8&amp;"]"),Data_main[Data],$A28, Data_main[Segment],$B28, Data_main[Scenario],$B$3)),SUMIFS(INDIRECT("Data_main"&amp;"["&amp;AR$8&amp;"]"),Data_main[Data],$A28, Data_main[Segment],$B28, Data_main[Scenario],$B$3))</f>
        <v>0</v>
      </c>
      <c r="AS28" s="390">
        <f ca="1">IF($B$6="ON", IF(AS26&gt;=covid_start, IF(AS26&lt;covid_recovery,NA(),SUMIFS(INDIRECT("Data_main"&amp;"["&amp;AS$8&amp;"]"),Data_main[Data],$A28, Data_main[Segment],$B28, Data_main[Scenario],$B$3)),SUMIFS(INDIRECT("Data_main"&amp;"["&amp;AS$8&amp;"]"),Data_main[Data],$A28, Data_main[Segment],$B28, Data_main[Scenario],$B$3)),SUMIFS(INDIRECT("Data_main"&amp;"["&amp;AS$8&amp;"]"),Data_main[Data],$A28, Data_main[Segment],$B28, Data_main[Scenario],$B$3))</f>
        <v>0</v>
      </c>
      <c r="AT28" s="390">
        <f ca="1">IF($B$6="ON", IF(AT26&gt;=covid_start, IF(AT26&lt;covid_recovery,NA(),SUMIFS(INDIRECT("Data_main"&amp;"["&amp;AT$8&amp;"]"),Data_main[Data],$A28, Data_main[Segment],$B28, Data_main[Scenario],$B$3)),SUMIFS(INDIRECT("Data_main"&amp;"["&amp;AT$8&amp;"]"),Data_main[Data],$A28, Data_main[Segment],$B28, Data_main[Scenario],$B$3)),SUMIFS(INDIRECT("Data_main"&amp;"["&amp;AT$8&amp;"]"),Data_main[Data],$A28, Data_main[Segment],$B28, Data_main[Scenario],$B$3))</f>
        <v>0</v>
      </c>
      <c r="AU28" s="390">
        <f ca="1">IF($B$6="ON", IF(AU26&gt;=covid_start, IF(AU26&lt;covid_recovery,NA(),SUMIFS(INDIRECT("Data_main"&amp;"["&amp;AU$8&amp;"]"),Data_main[Data],$A28, Data_main[Segment],$B28, Data_main[Scenario],$B$3)),SUMIFS(INDIRECT("Data_main"&amp;"["&amp;AU$8&amp;"]"),Data_main[Data],$A28, Data_main[Segment],$B28, Data_main[Scenario],$B$3)),SUMIFS(INDIRECT("Data_main"&amp;"["&amp;AU$8&amp;"]"),Data_main[Data],$A28, Data_main[Segment],$B28, Data_main[Scenario],$B$3))</f>
        <v>0</v>
      </c>
      <c r="AV28" s="390">
        <f ca="1">IF($B$6="ON", IF(AV26&gt;=covid_start, IF(AV26&lt;covid_recovery,NA(),SUMIFS(INDIRECT("Data_main"&amp;"["&amp;AV$8&amp;"]"),Data_main[Data],$A28, Data_main[Segment],$B28, Data_main[Scenario],$B$3)),SUMIFS(INDIRECT("Data_main"&amp;"["&amp;AV$8&amp;"]"),Data_main[Data],$A28, Data_main[Segment],$B28, Data_main[Scenario],$B$3)),SUMIFS(INDIRECT("Data_main"&amp;"["&amp;AV$8&amp;"]"),Data_main[Data],$A28, Data_main[Segment],$B28, Data_main[Scenario],$B$3))</f>
        <v>0</v>
      </c>
      <c r="AW28" s="390">
        <f ca="1">IF($B$6="ON", IF(AW26&gt;=covid_start, IF(AW26&lt;covid_recovery,NA(),SUMIFS(INDIRECT("Data_main"&amp;"["&amp;AW$8&amp;"]"),Data_main[Data],$A28, Data_main[Segment],$B28, Data_main[Scenario],$B$3)),SUMIFS(INDIRECT("Data_main"&amp;"["&amp;AW$8&amp;"]"),Data_main[Data],$A28, Data_main[Segment],$B28, Data_main[Scenario],$B$3)),SUMIFS(INDIRECT("Data_main"&amp;"["&amp;AW$8&amp;"]"),Data_main[Data],$A28, Data_main[Segment],$B28, Data_main[Scenario],$B$3))</f>
        <v>0</v>
      </c>
      <c r="AX28" s="390">
        <f ca="1">IF($B$6="ON", IF(AX26&gt;=covid_start, IF(AX26&lt;covid_recovery,NA(),SUMIFS(INDIRECT("Data_main"&amp;"["&amp;AX$8&amp;"]"),Data_main[Data],$A28, Data_main[Segment],$B28, Data_main[Scenario],$B$3)),SUMIFS(INDIRECT("Data_main"&amp;"["&amp;AX$8&amp;"]"),Data_main[Data],$A28, Data_main[Segment],$B28, Data_main[Scenario],$B$3)),SUMIFS(INDIRECT("Data_main"&amp;"["&amp;AX$8&amp;"]"),Data_main[Data],$A28, Data_main[Segment],$B28, Data_main[Scenario],$B$3))</f>
        <v>0</v>
      </c>
      <c r="AY28" s="390">
        <f ca="1">IF($B$6="ON", IF(AY26&gt;=covid_start, IF(AY26&lt;covid_recovery,NA(),SUMIFS(INDIRECT("Data_main"&amp;"["&amp;AY$8&amp;"]"),Data_main[Data],$A28, Data_main[Segment],$B28, Data_main[Scenario],$B$3)),SUMIFS(INDIRECT("Data_main"&amp;"["&amp;AY$8&amp;"]"),Data_main[Data],$A28, Data_main[Segment],$B28, Data_main[Scenario],$B$3)),SUMIFS(INDIRECT("Data_main"&amp;"["&amp;AY$8&amp;"]"),Data_main[Data],$A28, Data_main[Segment],$B28, Data_main[Scenario],$B$3))</f>
        <v>0</v>
      </c>
      <c r="AZ28" s="390">
        <f ca="1">IF($B$6="ON", IF(AZ26&gt;=covid_start, IF(AZ26&lt;covid_recovery,NA(),SUMIFS(INDIRECT("Data_main"&amp;"["&amp;AZ$8&amp;"]"),Data_main[Data],$A28, Data_main[Segment],$B28, Data_main[Scenario],$B$3)),SUMIFS(INDIRECT("Data_main"&amp;"["&amp;AZ$8&amp;"]"),Data_main[Data],$A28, Data_main[Segment],$B28, Data_main[Scenario],$B$3)),SUMIFS(INDIRECT("Data_main"&amp;"["&amp;AZ$8&amp;"]"),Data_main[Data],$A28, Data_main[Segment],$B28, Data_main[Scenario],$B$3))</f>
        <v>0</v>
      </c>
      <c r="BA28" s="390">
        <f ca="1">IF($B$6="ON", IF(BA26&gt;=covid_start, IF(BA26&lt;covid_recovery,NA(),SUMIFS(INDIRECT("Data_main"&amp;"["&amp;BA$8&amp;"]"),Data_main[Data],$A28, Data_main[Segment],$B28, Data_main[Scenario],$B$3)),SUMIFS(INDIRECT("Data_main"&amp;"["&amp;BA$8&amp;"]"),Data_main[Data],$A28, Data_main[Segment],$B28, Data_main[Scenario],$B$3)),SUMIFS(INDIRECT("Data_main"&amp;"["&amp;BA$8&amp;"]"),Data_main[Data],$A28, Data_main[Segment],$B28, Data_main[Scenario],$B$3))</f>
        <v>0</v>
      </c>
      <c r="BB28" s="390">
        <f ca="1">IF($B$6="ON", IF(BB26&gt;=covid_start, IF(BB26&lt;covid_recovery,NA(),SUMIFS(INDIRECT("Data_main"&amp;"["&amp;BB$8&amp;"]"),Data_main[Data],$A28, Data_main[Segment],$B28, Data_main[Scenario],$B$3)),SUMIFS(INDIRECT("Data_main"&amp;"["&amp;BB$8&amp;"]"),Data_main[Data],$A28, Data_main[Segment],$B28, Data_main[Scenario],$B$3)),SUMIFS(INDIRECT("Data_main"&amp;"["&amp;BB$8&amp;"]"),Data_main[Data],$A28, Data_main[Segment],$B28, Data_main[Scenario],$B$3))</f>
        <v>0</v>
      </c>
      <c r="BC28" s="390">
        <f ca="1">IF($B$6="ON", IF(BC26&gt;=covid_start, IF(BC26&lt;covid_recovery,NA(),SUMIFS(INDIRECT("Data_main"&amp;"["&amp;BC$8&amp;"]"),Data_main[Data],$A28, Data_main[Segment],$B28, Data_main[Scenario],$B$3)),SUMIFS(INDIRECT("Data_main"&amp;"["&amp;BC$8&amp;"]"),Data_main[Data],$A28, Data_main[Segment],$B28, Data_main[Scenario],$B$3)),SUMIFS(INDIRECT("Data_main"&amp;"["&amp;BC$8&amp;"]"),Data_main[Data],$A28, Data_main[Segment],$B28, Data_main[Scenario],$B$3))</f>
        <v>0</v>
      </c>
      <c r="BD28" s="390">
        <f ca="1">IF($B$6="ON", IF(BD26&gt;=covid_start, IF(BD26&lt;covid_recovery,NA(),SUMIFS(INDIRECT("Data_main"&amp;"["&amp;BD$8&amp;"]"),Data_main[Data],$A28, Data_main[Segment],$B28, Data_main[Scenario],$B$3)),SUMIFS(INDIRECT("Data_main"&amp;"["&amp;BD$8&amp;"]"),Data_main[Data],$A28, Data_main[Segment],$B28, Data_main[Scenario],$B$3)),SUMIFS(INDIRECT("Data_main"&amp;"["&amp;BD$8&amp;"]"),Data_main[Data],$A28, Data_main[Segment],$B28, Data_main[Scenario],$B$3))</f>
        <v>0</v>
      </c>
      <c r="BE28" s="390">
        <f ca="1">IF($B$6="ON", IF(BE26&gt;=covid_start, IF(BE26&lt;covid_recovery,NA(),SUMIFS(INDIRECT("Data_main"&amp;"["&amp;BE$8&amp;"]"),Data_main[Data],$A28, Data_main[Segment],$B28, Data_main[Scenario],$B$3)),SUMIFS(INDIRECT("Data_main"&amp;"["&amp;BE$8&amp;"]"),Data_main[Data],$A28, Data_main[Segment],$B28, Data_main[Scenario],$B$3)),SUMIFS(INDIRECT("Data_main"&amp;"["&amp;BE$8&amp;"]"),Data_main[Data],$A28, Data_main[Segment],$B28, Data_main[Scenario],$B$3))</f>
        <v>0</v>
      </c>
      <c r="BF28" s="390">
        <f ca="1">IF($B$6="ON", IF(BF26&gt;=covid_start, IF(BF26&lt;covid_recovery,NA(),SUMIFS(INDIRECT("Data_main"&amp;"["&amp;BF$8&amp;"]"),Data_main[Data],$A28, Data_main[Segment],$B28, Data_main[Scenario],$B$3)),SUMIFS(INDIRECT("Data_main"&amp;"["&amp;BF$8&amp;"]"),Data_main[Data],$A28, Data_main[Segment],$B28, Data_main[Scenario],$B$3)),SUMIFS(INDIRECT("Data_main"&amp;"["&amp;BF$8&amp;"]"),Data_main[Data],$A28, Data_main[Segment],$B28, Data_main[Scenario],$B$3))</f>
        <v>0</v>
      </c>
      <c r="BG28" s="390">
        <f ca="1">IF($B$6="ON", IF(BG26&gt;=covid_start, IF(BG26&lt;covid_recovery,NA(),SUMIFS(INDIRECT("Data_main"&amp;"["&amp;BG$8&amp;"]"),Data_main[Data],$A28, Data_main[Segment],$B28, Data_main[Scenario],$B$3)),SUMIFS(INDIRECT("Data_main"&amp;"["&amp;BG$8&amp;"]"),Data_main[Data],$A28, Data_main[Segment],$B28, Data_main[Scenario],$B$3)),SUMIFS(INDIRECT("Data_main"&amp;"["&amp;BG$8&amp;"]"),Data_main[Data],$A28, Data_main[Segment],$B28, Data_main[Scenario],$B$3))</f>
        <v>0</v>
      </c>
      <c r="BH28" s="390">
        <f ca="1">IF($B$6="ON", IF(BH26&gt;=covid_start, IF(BH26&lt;covid_recovery,NA(),SUMIFS(INDIRECT("Data_main"&amp;"["&amp;BH$8&amp;"]"),Data_main[Data],$A28, Data_main[Segment],$B28, Data_main[Scenario],$B$3)),SUMIFS(INDIRECT("Data_main"&amp;"["&amp;BH$8&amp;"]"),Data_main[Data],$A28, Data_main[Segment],$B28, Data_main[Scenario],$B$3)),SUMIFS(INDIRECT("Data_main"&amp;"["&amp;BH$8&amp;"]"),Data_main[Data],$A28, Data_main[Segment],$B28, Data_main[Scenario],$B$3))</f>
        <v>0</v>
      </c>
      <c r="BI28" s="390">
        <f ca="1">IF($B$6="ON", IF(BI26&gt;=covid_start, IF(BI26&lt;covid_recovery,NA(),SUMIFS(INDIRECT("Data_main"&amp;"["&amp;BI$8&amp;"]"),Data_main[Data],$A28, Data_main[Segment],$B28, Data_main[Scenario],$B$3)),SUMIFS(INDIRECT("Data_main"&amp;"["&amp;BI$8&amp;"]"),Data_main[Data],$A28, Data_main[Segment],$B28, Data_main[Scenario],$B$3)),SUMIFS(INDIRECT("Data_main"&amp;"["&amp;BI$8&amp;"]"),Data_main[Data],$A28, Data_main[Segment],$B28, Data_main[Scenario],$B$3))</f>
        <v>0</v>
      </c>
      <c r="BJ28" s="390">
        <f ca="1">IF($B$6="ON", IF(BJ26&gt;=covid_start, IF(BJ26&lt;covid_recovery,NA(),SUMIFS(INDIRECT("Data_main"&amp;"["&amp;BJ$8&amp;"]"),Data_main[Data],$A28, Data_main[Segment],$B28, Data_main[Scenario],$B$3)),SUMIFS(INDIRECT("Data_main"&amp;"["&amp;BJ$8&amp;"]"),Data_main[Data],$A28, Data_main[Segment],$B28, Data_main[Scenario],$B$3)),SUMIFS(INDIRECT("Data_main"&amp;"["&amp;BJ$8&amp;"]"),Data_main[Data],$A28, Data_main[Segment],$B28, Data_main[Scenario],$B$3))</f>
        <v>0</v>
      </c>
      <c r="BK28" s="390">
        <f ca="1">IF($B$6="ON", IF(BK26&gt;=covid_start, IF(BK26&lt;covid_recovery,NA(),SUMIFS(INDIRECT("Data_main"&amp;"["&amp;BK$8&amp;"]"),Data_main[Data],$A28, Data_main[Segment],$B28, Data_main[Scenario],$B$3)),SUMIFS(INDIRECT("Data_main"&amp;"["&amp;BK$8&amp;"]"),Data_main[Data],$A28, Data_main[Segment],$B28, Data_main[Scenario],$B$3)),SUMIFS(INDIRECT("Data_main"&amp;"["&amp;BK$8&amp;"]"),Data_main[Data],$A28, Data_main[Segment],$B28, Data_main[Scenario],$B$3))</f>
        <v>0</v>
      </c>
      <c r="BL28" s="390">
        <f ca="1">IF($B$6="ON", IF(BL26&gt;=covid_start, IF(BL26&lt;covid_recovery,NA(),SUMIFS(INDIRECT("Data_main"&amp;"["&amp;BL$8&amp;"]"),Data_main[Data],$A28, Data_main[Segment],$B28, Data_main[Scenario],$B$3)),SUMIFS(INDIRECT("Data_main"&amp;"["&amp;BL$8&amp;"]"),Data_main[Data],$A28, Data_main[Segment],$B28, Data_main[Scenario],$B$3)),SUMIFS(INDIRECT("Data_main"&amp;"["&amp;BL$8&amp;"]"),Data_main[Data],$A28, Data_main[Segment],$B28, Data_main[Scenario],$B$3))</f>
        <v>0</v>
      </c>
      <c r="BM28" s="390">
        <f ca="1">IF($B$6="ON", IF(BM26&gt;=covid_start, IF(BM26&lt;covid_recovery,NA(),SUMIFS(INDIRECT("Data_main"&amp;"["&amp;BM$8&amp;"]"),Data_main[Data],$A28, Data_main[Segment],$B28, Data_main[Scenario],$B$3)),SUMIFS(INDIRECT("Data_main"&amp;"["&amp;BM$8&amp;"]"),Data_main[Data],$A28, Data_main[Segment],$B28, Data_main[Scenario],$B$3)),SUMIFS(INDIRECT("Data_main"&amp;"["&amp;BM$8&amp;"]"),Data_main[Data],$A28, Data_main[Segment],$B28, Data_main[Scenario],$B$3))</f>
        <v>0</v>
      </c>
      <c r="BN28" s="390">
        <f ca="1">IF($B$6="ON", IF(BN26&gt;=covid_start, IF(BN26&lt;covid_recovery,NA(),SUMIFS(INDIRECT("Data_main"&amp;"["&amp;BN$8&amp;"]"),Data_main[Data],$A28, Data_main[Segment],$B28, Data_main[Scenario],$B$3)),SUMIFS(INDIRECT("Data_main"&amp;"["&amp;BN$8&amp;"]"),Data_main[Data],$A28, Data_main[Segment],$B28, Data_main[Scenario],$B$3)),SUMIFS(INDIRECT("Data_main"&amp;"["&amp;BN$8&amp;"]"),Data_main[Data],$A28, Data_main[Segment],$B28, Data_main[Scenario],$B$3))</f>
        <v>0</v>
      </c>
      <c r="BO28" s="390">
        <f ca="1">IF($B$6="ON", IF(BO26&gt;=covid_start, IF(BO26&lt;covid_recovery,NA(),SUMIFS(INDIRECT("Data_main"&amp;"["&amp;BO$8&amp;"]"),Data_main[Data],$A28, Data_main[Segment],$B28, Data_main[Scenario],$B$3)),SUMIFS(INDIRECT("Data_main"&amp;"["&amp;BO$8&amp;"]"),Data_main[Data],$A28, Data_main[Segment],$B28, Data_main[Scenario],$B$3)),SUMIFS(INDIRECT("Data_main"&amp;"["&amp;BO$8&amp;"]"),Data_main[Data],$A28, Data_main[Segment],$B28, Data_main[Scenario],$B$3))</f>
        <v>0</v>
      </c>
      <c r="BP28" s="390">
        <f ca="1">IF($B$6="ON", IF(BP26&gt;=covid_start, IF(BP26&lt;covid_recovery,NA(),SUMIFS(INDIRECT("Data_main"&amp;"["&amp;BP$8&amp;"]"),Data_main[Data],$A28, Data_main[Segment],$B28, Data_main[Scenario],$B$3)),SUMIFS(INDIRECT("Data_main"&amp;"["&amp;BP$8&amp;"]"),Data_main[Data],$A28, Data_main[Segment],$B28, Data_main[Scenario],$B$3)),SUMIFS(INDIRECT("Data_main"&amp;"["&amp;BP$8&amp;"]"),Data_main[Data],$A28, Data_main[Segment],$B28, Data_main[Scenario],$B$3))</f>
        <v>0</v>
      </c>
      <c r="BQ28" s="390">
        <f ca="1">IF($B$6="ON", IF(BQ26&gt;=covid_start, IF(BQ26&lt;covid_recovery,NA(),SUMIFS(INDIRECT("Data_main"&amp;"["&amp;BQ$8&amp;"]"),Data_main[Data],$A28, Data_main[Segment],$B28, Data_main[Scenario],$B$3)),SUMIFS(INDIRECT("Data_main"&amp;"["&amp;BQ$8&amp;"]"),Data_main[Data],$A28, Data_main[Segment],$B28, Data_main[Scenario],$B$3)),SUMIFS(INDIRECT("Data_main"&amp;"["&amp;BQ$8&amp;"]"),Data_main[Data],$A28, Data_main[Segment],$B28, Data_main[Scenario],$B$3))</f>
        <v>0</v>
      </c>
      <c r="BR28" s="390">
        <f ca="1">IF($B$6="ON", IF(BR26&gt;=covid_start, IF(BR26&lt;covid_recovery,NA(),SUMIFS(INDIRECT("Data_main"&amp;"["&amp;BR$8&amp;"]"),Data_main[Data],$A28, Data_main[Segment],$B28, Data_main[Scenario],$B$3)),SUMIFS(INDIRECT("Data_main"&amp;"["&amp;BR$8&amp;"]"),Data_main[Data],$A28, Data_main[Segment],$B28, Data_main[Scenario],$B$3)),SUMIFS(INDIRECT("Data_main"&amp;"["&amp;BR$8&amp;"]"),Data_main[Data],$A28, Data_main[Segment],$B28, Data_main[Scenario],$B$3))</f>
        <v>0</v>
      </c>
      <c r="BS28" s="390">
        <f ca="1">IF($B$6="ON", IF(BS26&gt;=covid_start, IF(BS26&lt;covid_recovery,NA(),SUMIFS(INDIRECT("Data_main"&amp;"["&amp;BS$8&amp;"]"),Data_main[Data],$A28, Data_main[Segment],$B28, Data_main[Scenario],$B$3)),SUMIFS(INDIRECT("Data_main"&amp;"["&amp;BS$8&amp;"]"),Data_main[Data],$A28, Data_main[Segment],$B28, Data_main[Scenario],$B$3)),SUMIFS(INDIRECT("Data_main"&amp;"["&amp;BS$8&amp;"]"),Data_main[Data],$A28, Data_main[Segment],$B28, Data_main[Scenario],$B$3))</f>
        <v>0</v>
      </c>
      <c r="BT28" s="390">
        <f ca="1">IF($B$6="ON", IF(BT26&gt;=covid_start, IF(BT26&lt;covid_recovery,NA(),SUMIFS(INDIRECT("Data_main"&amp;"["&amp;BT$8&amp;"]"),Data_main[Data],$A28, Data_main[Segment],$B28, Data_main[Scenario],$B$3)),SUMIFS(INDIRECT("Data_main"&amp;"["&amp;BT$8&amp;"]"),Data_main[Data],$A28, Data_main[Segment],$B28, Data_main[Scenario],$B$3)),SUMIFS(INDIRECT("Data_main"&amp;"["&amp;BT$8&amp;"]"),Data_main[Data],$A28, Data_main[Segment],$B28, Data_main[Scenario],$B$3))</f>
        <v>0</v>
      </c>
      <c r="BU28" s="390">
        <f ca="1">IF($B$6="ON", IF(BU26&gt;=covid_start, IF(BU26&lt;covid_recovery,NA(),SUMIFS(INDIRECT("Data_main"&amp;"["&amp;BU$8&amp;"]"),Data_main[Data],$A28, Data_main[Segment],$B28, Data_main[Scenario],$B$3)),SUMIFS(INDIRECT("Data_main"&amp;"["&amp;BU$8&amp;"]"),Data_main[Data],$A28, Data_main[Segment],$B28, Data_main[Scenario],$B$3)),SUMIFS(INDIRECT("Data_main"&amp;"["&amp;BU$8&amp;"]"),Data_main[Data],$A28, Data_main[Segment],$B28, Data_main[Scenario],$B$3))</f>
        <v>0</v>
      </c>
      <c r="BV28" s="390">
        <f ca="1">IF($B$6="ON", IF(BV26&gt;=covid_start, IF(BV26&lt;covid_recovery,NA(),SUMIFS(INDIRECT("Data_main"&amp;"["&amp;BV$8&amp;"]"),Data_main[Data],$A28, Data_main[Segment],$B28, Data_main[Scenario],$B$3)),SUMIFS(INDIRECT("Data_main"&amp;"["&amp;BV$8&amp;"]"),Data_main[Data],$A28, Data_main[Segment],$B28, Data_main[Scenario],$B$3)),SUMIFS(INDIRECT("Data_main"&amp;"["&amp;BV$8&amp;"]"),Data_main[Data],$A28, Data_main[Segment],$B28, Data_main[Scenario],$B$3))</f>
        <v>0</v>
      </c>
      <c r="BW28" s="390">
        <f ca="1">IF($B$6="ON", IF(BW26&gt;=covid_start, IF(BW26&lt;covid_recovery,NA(),SUMIFS(INDIRECT("Data_main"&amp;"["&amp;BW$8&amp;"]"),Data_main[Data],$A28, Data_main[Segment],$B28, Data_main[Scenario],$B$3)),SUMIFS(INDIRECT("Data_main"&amp;"["&amp;BW$8&amp;"]"),Data_main[Data],$A28, Data_main[Segment],$B28, Data_main[Scenario],$B$3)),SUMIFS(INDIRECT("Data_main"&amp;"["&amp;BW$8&amp;"]"),Data_main[Data],$A28, Data_main[Segment],$B28, Data_main[Scenario],$B$3))</f>
        <v>0</v>
      </c>
      <c r="BX28" s="390">
        <f ca="1">IF($B$6="ON", IF(BX26&gt;=covid_start, IF(BX26&lt;covid_recovery,NA(),SUMIFS(INDIRECT("Data_main"&amp;"["&amp;BX$8&amp;"]"),Data_main[Data],$A28, Data_main[Segment],$B28, Data_main[Scenario],$B$3)),SUMIFS(INDIRECT("Data_main"&amp;"["&amp;BX$8&amp;"]"),Data_main[Data],$A28, Data_main[Segment],$B28, Data_main[Scenario],$B$3)),SUMIFS(INDIRECT("Data_main"&amp;"["&amp;BX$8&amp;"]"),Data_main[Data],$A28, Data_main[Segment],$B28, Data_main[Scenario],$B$3))</f>
        <v>0</v>
      </c>
      <c r="BY28" s="390">
        <f ca="1">IF($B$6="ON", IF(BY26&gt;=covid_start, IF(BY26&lt;covid_recovery,NA(),SUMIFS(INDIRECT("Data_main"&amp;"["&amp;BY$8&amp;"]"),Data_main[Data],$A28, Data_main[Segment],$B28, Data_main[Scenario],$B$3)),SUMIFS(INDIRECT("Data_main"&amp;"["&amp;BY$8&amp;"]"),Data_main[Data],$A28, Data_main[Segment],$B28, Data_main[Scenario],$B$3)),SUMIFS(INDIRECT("Data_main"&amp;"["&amp;BY$8&amp;"]"),Data_main[Data],$A28, Data_main[Segment],$B28, Data_main[Scenario],$B$3))</f>
        <v>0</v>
      </c>
      <c r="BZ28" s="390">
        <f ca="1">IF($B$6="ON", IF(BZ26&gt;=covid_start, IF(BZ26&lt;covid_recovery,NA(),SUMIFS(INDIRECT("Data_main"&amp;"["&amp;BZ$8&amp;"]"),Data_main[Data],$A28, Data_main[Segment],$B28, Data_main[Scenario],$B$3)),SUMIFS(INDIRECT("Data_main"&amp;"["&amp;BZ$8&amp;"]"),Data_main[Data],$A28, Data_main[Segment],$B28, Data_main[Scenario],$B$3)),SUMIFS(INDIRECT("Data_main"&amp;"["&amp;BZ$8&amp;"]"),Data_main[Data],$A28, Data_main[Segment],$B28, Data_main[Scenario],$B$3))</f>
        <v>0</v>
      </c>
      <c r="CA28" s="390">
        <f ca="1">IF($B$6="ON", IF(CA26&gt;=covid_start, IF(CA26&lt;covid_recovery,NA(),SUMIFS(INDIRECT("Data_main"&amp;"["&amp;CA$8&amp;"]"),Data_main[Data],$A28, Data_main[Segment],$B28, Data_main[Scenario],$B$3)),SUMIFS(INDIRECT("Data_main"&amp;"["&amp;CA$8&amp;"]"),Data_main[Data],$A28, Data_main[Segment],$B28, Data_main[Scenario],$B$3)),SUMIFS(INDIRECT("Data_main"&amp;"["&amp;CA$8&amp;"]"),Data_main[Data],$A28, Data_main[Segment],$B28, Data_main[Scenario],$B$3))</f>
        <v>0</v>
      </c>
      <c r="CB28" s="390">
        <f ca="1">IF($B$6="ON", IF(CB26&gt;=covid_start, IF(CB26&lt;covid_recovery,NA(),SUMIFS(INDIRECT("Data_main"&amp;"["&amp;CB$8&amp;"]"),Data_main[Data],$A28, Data_main[Segment],$B28, Data_main[Scenario],$B$3)),SUMIFS(INDIRECT("Data_main"&amp;"["&amp;CB$8&amp;"]"),Data_main[Data],$A28, Data_main[Segment],$B28, Data_main[Scenario],$B$3)),SUMIFS(INDIRECT("Data_main"&amp;"["&amp;CB$8&amp;"]"),Data_main[Data],$A28, Data_main[Segment],$B28, Data_main[Scenario],$B$3))</f>
        <v>0</v>
      </c>
      <c r="CC28" s="390">
        <f ca="1">IF($B$6="ON", IF(CC26&gt;=covid_start, IF(CC26&lt;covid_recovery,NA(),SUMIFS(INDIRECT("Data_main"&amp;"["&amp;CC$8&amp;"]"),Data_main[Data],$A28, Data_main[Segment],$B28, Data_main[Scenario],$B$3)),SUMIFS(INDIRECT("Data_main"&amp;"["&amp;CC$8&amp;"]"),Data_main[Data],$A28, Data_main[Segment],$B28, Data_main[Scenario],$B$3)),SUMIFS(INDIRECT("Data_main"&amp;"["&amp;CC$8&amp;"]"),Data_main[Data],$A28, Data_main[Segment],$B28, Data_main[Scenario],$B$3))</f>
        <v>0</v>
      </c>
      <c r="CD28" s="390">
        <f ca="1">IF($B$6="ON", IF(CD26&gt;=covid_start, IF(CD26&lt;covid_recovery,NA(),SUMIFS(INDIRECT("Data_main"&amp;"["&amp;CD$8&amp;"]"),Data_main[Data],$A28, Data_main[Segment],$B28, Data_main[Scenario],$B$3)),SUMIFS(INDIRECT("Data_main"&amp;"["&amp;CD$8&amp;"]"),Data_main[Data],$A28, Data_main[Segment],$B28, Data_main[Scenario],$B$3)),SUMIFS(INDIRECT("Data_main"&amp;"["&amp;CD$8&amp;"]"),Data_main[Data],$A28, Data_main[Segment],$B28, Data_main[Scenario],$B$3))</f>
        <v>0</v>
      </c>
      <c r="CE28" s="390">
        <f ca="1">IF($B$6="ON", IF(CE26&gt;=covid_start, IF(CE26&lt;covid_recovery,NA(),SUMIFS(INDIRECT("Data_main"&amp;"["&amp;CE$8&amp;"]"),Data_main[Data],$A28, Data_main[Segment],$B28, Data_main[Scenario],$B$3)),SUMIFS(INDIRECT("Data_main"&amp;"["&amp;CE$8&amp;"]"),Data_main[Data],$A28, Data_main[Segment],$B28, Data_main[Scenario],$B$3)),SUMIFS(INDIRECT("Data_main"&amp;"["&amp;CE$8&amp;"]"),Data_main[Data],$A28, Data_main[Segment],$B28, Data_main[Scenario],$B$3))</f>
        <v>0</v>
      </c>
      <c r="CF28" s="390">
        <f ca="1">IF($B$6="ON", IF(CF26&gt;=covid_start, IF(CF26&lt;covid_recovery,NA(),SUMIFS(INDIRECT("Data_main"&amp;"["&amp;CF$8&amp;"]"),Data_main[Data],$A28, Data_main[Segment],$B28, Data_main[Scenario],$B$3)),SUMIFS(INDIRECT("Data_main"&amp;"["&amp;CF$8&amp;"]"),Data_main[Data],$A28, Data_main[Segment],$B28, Data_main[Scenario],$B$3)),SUMIFS(INDIRECT("Data_main"&amp;"["&amp;CF$8&amp;"]"),Data_main[Data],$A28, Data_main[Segment],$B28, Data_main[Scenario],$B$3))</f>
        <v>0</v>
      </c>
      <c r="CG28" s="390">
        <f ca="1">IF($B$6="ON", IF(CG26&gt;=covid_start, IF(CG26&lt;covid_recovery,NA(),SUMIFS(INDIRECT("Data_main"&amp;"["&amp;CG$8&amp;"]"),Data_main[Data],$A28, Data_main[Segment],$B28, Data_main[Scenario],$B$3)),SUMIFS(INDIRECT("Data_main"&amp;"["&amp;CG$8&amp;"]"),Data_main[Data],$A28, Data_main[Segment],$B28, Data_main[Scenario],$B$3)),SUMIFS(INDIRECT("Data_main"&amp;"["&amp;CG$8&amp;"]"),Data_main[Data],$A28, Data_main[Segment],$B28, Data_main[Scenario],$B$3))</f>
        <v>0</v>
      </c>
      <c r="CH28" s="390">
        <f ca="1">IF($B$6="ON", IF(CH26&gt;=covid_start, IF(CH26&lt;covid_recovery,NA(),SUMIFS(INDIRECT("Data_main"&amp;"["&amp;CH$8&amp;"]"),Data_main[Data],$A28, Data_main[Segment],$B28, Data_main[Scenario],$B$3)),SUMIFS(INDIRECT("Data_main"&amp;"["&amp;CH$8&amp;"]"),Data_main[Data],$A28, Data_main[Segment],$B28, Data_main[Scenario],$B$3)),SUMIFS(INDIRECT("Data_main"&amp;"["&amp;CH$8&amp;"]"),Data_main[Data],$A28, Data_main[Segment],$B28, Data_main[Scenario],$B$3))</f>
        <v>0</v>
      </c>
      <c r="CI28" s="390">
        <f ca="1">IF($B$6="ON", IF(CI26&gt;=covid_start, IF(CI26&lt;covid_recovery,NA(),SUMIFS(INDIRECT("Data_main"&amp;"["&amp;CI$8&amp;"]"),Data_main[Data],$A28, Data_main[Segment],$B28, Data_main[Scenario],$B$3)),SUMIFS(INDIRECT("Data_main"&amp;"["&amp;CI$8&amp;"]"),Data_main[Data],$A28, Data_main[Segment],$B28, Data_main[Scenario],$B$3)),SUMIFS(INDIRECT("Data_main"&amp;"["&amp;CI$8&amp;"]"),Data_main[Data],$A28, Data_main[Segment],$B28, Data_main[Scenario],$B$3))</f>
        <v>0</v>
      </c>
      <c r="CJ28" s="390">
        <f ca="1">IF($B$6="ON", IF(CJ26&gt;=covid_start, IF(CJ26&lt;covid_recovery,NA(),SUMIFS(INDIRECT("Data_main"&amp;"["&amp;CJ$8&amp;"]"),Data_main[Data],$A28, Data_main[Segment],$B28, Data_main[Scenario],$B$3)),SUMIFS(INDIRECT("Data_main"&amp;"["&amp;CJ$8&amp;"]"),Data_main[Data],$A28, Data_main[Segment],$B28, Data_main[Scenario],$B$3)),SUMIFS(INDIRECT("Data_main"&amp;"["&amp;CJ$8&amp;"]"),Data_main[Data],$A28, Data_main[Segment],$B28, Data_main[Scenario],$B$3))</f>
        <v>0</v>
      </c>
      <c r="CK28" s="390">
        <f ca="1">IF($B$6="ON", IF(CK26&gt;=covid_start, IF(CK26&lt;covid_recovery,NA(),SUMIFS(INDIRECT("Data_main"&amp;"["&amp;CK$8&amp;"]"),Data_main[Data],$A28, Data_main[Segment],$B28, Data_main[Scenario],$B$3)),SUMIFS(INDIRECT("Data_main"&amp;"["&amp;CK$8&amp;"]"),Data_main[Data],$A28, Data_main[Segment],$B28, Data_main[Scenario],$B$3)),SUMIFS(INDIRECT("Data_main"&amp;"["&amp;CK$8&amp;"]"),Data_main[Data],$A28, Data_main[Segment],$B28, Data_main[Scenario],$B$3))</f>
        <v>0</v>
      </c>
      <c r="CL28" s="390">
        <f ca="1">IF($B$6="ON", IF(CL26&gt;=covid_start, IF(CL26&lt;covid_recovery,NA(),SUMIFS(INDIRECT("Data_main"&amp;"["&amp;CL$8&amp;"]"),Data_main[Data],$A28, Data_main[Segment],$B28, Data_main[Scenario],$B$3)),SUMIFS(INDIRECT("Data_main"&amp;"["&amp;CL$8&amp;"]"),Data_main[Data],$A28, Data_main[Segment],$B28, Data_main[Scenario],$B$3)),SUMIFS(INDIRECT("Data_main"&amp;"["&amp;CL$8&amp;"]"),Data_main[Data],$A28, Data_main[Segment],$B28, Data_main[Scenario],$B$3))</f>
        <v>0</v>
      </c>
      <c r="CN28" s="391">
        <f ca="1">IFERROR((Y28/H28)^(1/17)-1,"")</f>
        <v>3.1704570247980568E-2</v>
      </c>
      <c r="CO28" s="391">
        <f ca="1">IFERROR((AN28/Y28)^(1/15)-1,"")</f>
        <v>4.4661228439600853E-2</v>
      </c>
      <c r="CP28" s="391">
        <f ca="1">IFERROR((AN28/H28)^(1/32)-1,"")</f>
        <v>3.7757872553640492E-2</v>
      </c>
    </row>
    <row r="29" spans="1:94" hidden="1" outlineLevel="1">
      <c r="A29" s="392" t="s">
        <v>158</v>
      </c>
      <c r="B29" s="392" t="str">
        <f t="shared" si="126"/>
        <v>Ded-long</v>
      </c>
      <c r="C29" s="393" t="s">
        <v>312</v>
      </c>
      <c r="D29" s="389" t="s">
        <v>313</v>
      </c>
      <c r="E29" s="390">
        <f ca="1">'SDS Calc'!E29</f>
        <v>617.74112327702801</v>
      </c>
      <c r="F29" s="531">
        <f ca="1">'SDS Calc'!F29</f>
        <v>595.94914412829348</v>
      </c>
      <c r="G29" s="531">
        <f ca="1">'SDS Calc'!G29</f>
        <v>576.62914325116969</v>
      </c>
      <c r="H29" s="531">
        <f ca="1">'SDS Calc'!H29</f>
        <v>559.38308227988705</v>
      </c>
      <c r="I29" s="531">
        <f ca="1">'SDS Calc'!I29</f>
        <v>584.95599084340938</v>
      </c>
      <c r="J29" s="531" t="e">
        <f ca="1">'SDS Calc'!J29</f>
        <v>#N/A</v>
      </c>
      <c r="K29" s="531" t="e">
        <f ca="1">'SDS Calc'!K29</f>
        <v>#N/A</v>
      </c>
      <c r="L29" s="531" t="e">
        <f ca="1">'SDS Calc'!L29</f>
        <v>#N/A</v>
      </c>
      <c r="M29" s="531">
        <f ca="1">'SDS Calc'!M29</f>
        <v>509.41309666663813</v>
      </c>
      <c r="N29" s="531">
        <f ca="1">'SDS Calc'!N29</f>
        <v>493.16723696776518</v>
      </c>
      <c r="O29" s="531">
        <f ca="1">'SDS Calc'!O29</f>
        <v>477.80501852840638</v>
      </c>
      <c r="P29" s="531">
        <f ca="1">'SDS Calc'!P29</f>
        <v>463.25625587100029</v>
      </c>
      <c r="Q29" s="531">
        <f ca="1">'SDS Calc'!Q29</f>
        <v>449.45800468442951</v>
      </c>
      <c r="R29" s="531">
        <f ca="1">'SDS Calc'!R29</f>
        <v>436.35365144949753</v>
      </c>
      <c r="S29" s="531">
        <f ca="1">'SDS Calc'!S29</f>
        <v>423.89213704066054</v>
      </c>
      <c r="T29" s="531">
        <f ca="1">'SDS Calc'!T29</f>
        <v>412.02729185183631</v>
      </c>
      <c r="U29" s="531">
        <f ca="1">'SDS Calc'!U29</f>
        <v>395.68554787465416</v>
      </c>
      <c r="V29" s="531">
        <f ca="1">IF($B$6="ON", IF(V26&gt;=covid_start, IF(V26&lt;covid_recovery,NA(),SUMIFS(INDIRECT("Data_main"&amp;"["&amp;V$8&amp;"]"),Data_main[Data],$A29, Data_main[Segment],$B29, Data_main[Scenario],$B$3)),SUMIFS(INDIRECT("Data_main"&amp;"["&amp;V$8&amp;"]"),Data_main[Data],$A29, Data_main[Segment],$B29, Data_main[Scenario],$B$3)),SUMIFS(INDIRECT("Data_main"&amp;"["&amp;V$8&amp;"]"),Data_main[Data],$A29, Data_main[Segment],$B29, Data_main[Scenario],$B$3))</f>
        <v>350.45627798388466</v>
      </c>
      <c r="W29" s="390">
        <f ca="1">IF($B$6="ON", IF(W26&gt;=covid_start, IF(W26&lt;covid_recovery,NA(),SUMIFS(INDIRECT("Data_main"&amp;"["&amp;W$8&amp;"]"),Data_main[Data],$A29, Data_main[Segment],$B29, Data_main[Scenario],$B$3)),SUMIFS(INDIRECT("Data_main"&amp;"["&amp;W$8&amp;"]"),Data_main[Data],$A29, Data_main[Segment],$B29, Data_main[Scenario],$B$3)),SUMIFS(INDIRECT("Data_main"&amp;"["&amp;W$8&amp;"]"),Data_main[Data],$A29, Data_main[Segment],$B29, Data_main[Scenario],$B$3))</f>
        <v>326.41200658504079</v>
      </c>
      <c r="X29" s="390">
        <f ca="1">IF($B$6="ON", IF(X26&gt;=covid_start, IF(X26&lt;covid_recovery,NA(),SUMIFS(INDIRECT("Data_main"&amp;"["&amp;X$8&amp;"]"),Data_main[Data],$A29, Data_main[Segment],$B29, Data_main[Scenario],$B$3)),SUMIFS(INDIRECT("Data_main"&amp;"["&amp;X$8&amp;"]"),Data_main[Data],$A29, Data_main[Segment],$B29, Data_main[Scenario],$B$3)),SUMIFS(INDIRECT("Data_main"&amp;"["&amp;X$8&amp;"]"),Data_main[Data],$A29, Data_main[Segment],$B29, Data_main[Scenario],$B$3))</f>
        <v>303.3810475320812</v>
      </c>
      <c r="Y29" s="390">
        <f ca="1">IF($B$6="ON", IF(Y26&gt;=covid_start, IF(Y26&lt;covid_recovery,NA(),SUMIFS(INDIRECT("Data_main"&amp;"["&amp;Y$8&amp;"]"),Data_main[Data],$A29, Data_main[Segment],$B29, Data_main[Scenario],$B$3)),SUMIFS(INDIRECT("Data_main"&amp;"["&amp;Y$8&amp;"]"),Data_main[Data],$A29, Data_main[Segment],$B29, Data_main[Scenario],$B$3)),SUMIFS(INDIRECT("Data_main"&amp;"["&amp;Y$8&amp;"]"),Data_main[Data],$A29, Data_main[Segment],$B29, Data_main[Scenario],$B$3))</f>
        <v>279.61963230474572</v>
      </c>
      <c r="Z29" s="390">
        <f ca="1">IF($B$6="ON", IF(Z26&gt;=covid_start, IF(Z26&lt;covid_recovery,NA(),SUMIFS(INDIRECT("Data_main"&amp;"["&amp;Z$8&amp;"]"),Data_main[Data],$A29, Data_main[Segment],$B29, Data_main[Scenario],$B$3)),SUMIFS(INDIRECT("Data_main"&amp;"["&amp;Z$8&amp;"]"),Data_main[Data],$A29, Data_main[Segment],$B29, Data_main[Scenario],$B$3)),SUMIFS(INDIRECT("Data_main"&amp;"["&amp;Z$8&amp;"]"),Data_main[Data],$A29, Data_main[Segment],$B29, Data_main[Scenario],$B$3))</f>
        <v>256.03516516963202</v>
      </c>
      <c r="AA29" s="390">
        <f ca="1">IF($B$6="ON", IF(AA26&gt;=covid_start, IF(AA26&lt;covid_recovery,NA(),SUMIFS(INDIRECT("Data_main"&amp;"["&amp;AA$8&amp;"]"),Data_main[Data],$A29, Data_main[Segment],$B29, Data_main[Scenario],$B$3)),SUMIFS(INDIRECT("Data_main"&amp;"["&amp;AA$8&amp;"]"),Data_main[Data],$A29, Data_main[Segment],$B29, Data_main[Scenario],$B$3)),SUMIFS(INDIRECT("Data_main"&amp;"["&amp;AA$8&amp;"]"),Data_main[Data],$A29, Data_main[Segment],$B29, Data_main[Scenario],$B$3))</f>
        <v>232.80749289317353</v>
      </c>
      <c r="AB29" s="390">
        <f ca="1">IF($B$6="ON", IF(AB26&gt;=covid_start, IF(AB26&lt;covid_recovery,NA(),SUMIFS(INDIRECT("Data_main"&amp;"["&amp;AB$8&amp;"]"),Data_main[Data],$A29, Data_main[Segment],$B29, Data_main[Scenario],$B$3)),SUMIFS(INDIRECT("Data_main"&amp;"["&amp;AB$8&amp;"]"),Data_main[Data],$A29, Data_main[Segment],$B29, Data_main[Scenario],$B$3)),SUMIFS(INDIRECT("Data_main"&amp;"["&amp;AB$8&amp;"]"),Data_main[Data],$A29, Data_main[Segment],$B29, Data_main[Scenario],$B$3))</f>
        <v>209.94764260841387</v>
      </c>
      <c r="AC29" s="390">
        <f ca="1">IF($B$6="ON", IF(AC26&gt;=covid_start, IF(AC26&lt;covid_recovery,NA(),SUMIFS(INDIRECT("Data_main"&amp;"["&amp;AC$8&amp;"]"),Data_main[Data],$A29, Data_main[Segment],$B29, Data_main[Scenario],$B$3)),SUMIFS(INDIRECT("Data_main"&amp;"["&amp;AC$8&amp;"]"),Data_main[Data],$A29, Data_main[Segment],$B29, Data_main[Scenario],$B$3)),SUMIFS(INDIRECT("Data_main"&amp;"["&amp;AC$8&amp;"]"),Data_main[Data],$A29, Data_main[Segment],$B29, Data_main[Scenario],$B$3))</f>
        <v>187.48834654412204</v>
      </c>
      <c r="AD29" s="390">
        <f ca="1">IF($B$6="ON", IF(AD26&gt;=covid_start, IF(AD26&lt;covid_recovery,NA(),SUMIFS(INDIRECT("Data_main"&amp;"["&amp;AD$8&amp;"]"),Data_main[Data],$A29, Data_main[Segment],$B29, Data_main[Scenario],$B$3)),SUMIFS(INDIRECT("Data_main"&amp;"["&amp;AD$8&amp;"]"),Data_main[Data],$A29, Data_main[Segment],$B29, Data_main[Scenario],$B$3)),SUMIFS(INDIRECT("Data_main"&amp;"["&amp;AD$8&amp;"]"),Data_main[Data],$A29, Data_main[Segment],$B29, Data_main[Scenario],$B$3))</f>
        <v>165.47362506251778</v>
      </c>
      <c r="AE29" s="390">
        <f ca="1">IF($B$6="ON", IF(AE26&gt;=covid_start, IF(AE26&lt;covid_recovery,NA(),SUMIFS(INDIRECT("Data_main"&amp;"["&amp;AE$8&amp;"]"),Data_main[Data],$A29, Data_main[Segment],$B29, Data_main[Scenario],$B$3)),SUMIFS(INDIRECT("Data_main"&amp;"["&amp;AE$8&amp;"]"),Data_main[Data],$A29, Data_main[Segment],$B29, Data_main[Scenario],$B$3)),SUMIFS(INDIRECT("Data_main"&amp;"["&amp;AE$8&amp;"]"),Data_main[Data],$A29, Data_main[Segment],$B29, Data_main[Scenario],$B$3))</f>
        <v>146.16746543394629</v>
      </c>
      <c r="AF29" s="390">
        <f ca="1">IF($B$6="ON", IF(AF26&gt;=covid_start, IF(AF26&lt;covid_recovery,NA(),SUMIFS(INDIRECT("Data_main"&amp;"["&amp;AF$8&amp;"]"),Data_main[Data],$A29, Data_main[Segment],$B29, Data_main[Scenario],$B$3)),SUMIFS(INDIRECT("Data_main"&amp;"["&amp;AF$8&amp;"]"),Data_main[Data],$A29, Data_main[Segment],$B29, Data_main[Scenario],$B$3)),SUMIFS(INDIRECT("Data_main"&amp;"["&amp;AF$8&amp;"]"),Data_main[Data],$A29, Data_main[Segment],$B29, Data_main[Scenario],$B$3))</f>
        <v>127.3650677794507</v>
      </c>
      <c r="AG29" s="390">
        <f ca="1">IF($B$6="ON", IF(AG26&gt;=covid_start, IF(AG26&lt;covid_recovery,NA(),SUMIFS(INDIRECT("Data_main"&amp;"["&amp;AG$8&amp;"]"),Data_main[Data],$A29, Data_main[Segment],$B29, Data_main[Scenario],$B$3)),SUMIFS(INDIRECT("Data_main"&amp;"["&amp;AG$8&amp;"]"),Data_main[Data],$A29, Data_main[Segment],$B29, Data_main[Scenario],$B$3)),SUMIFS(INDIRECT("Data_main"&amp;"["&amp;AG$8&amp;"]"),Data_main[Data],$A29, Data_main[Segment],$B29, Data_main[Scenario],$B$3))</f>
        <v>109.08036058360824</v>
      </c>
      <c r="AH29" s="390">
        <f ca="1">IF($B$6="ON", IF(AH26&gt;=covid_start, IF(AH26&lt;covid_recovery,NA(),SUMIFS(INDIRECT("Data_main"&amp;"["&amp;AH$8&amp;"]"),Data_main[Data],$A29, Data_main[Segment],$B29, Data_main[Scenario],$B$3)),SUMIFS(INDIRECT("Data_main"&amp;"["&amp;AH$8&amp;"]"),Data_main[Data],$A29, Data_main[Segment],$B29, Data_main[Scenario],$B$3)),SUMIFS(INDIRECT("Data_main"&amp;"["&amp;AH$8&amp;"]"),Data_main[Data],$A29, Data_main[Segment],$B29, Data_main[Scenario],$B$3))</f>
        <v>91.311496669777213</v>
      </c>
      <c r="AI29" s="390">
        <f ca="1">IF($B$6="ON", IF(AI26&gt;=covid_start, IF(AI26&lt;covid_recovery,NA(),SUMIFS(INDIRECT("Data_main"&amp;"["&amp;AI$8&amp;"]"),Data_main[Data],$A29, Data_main[Segment],$B29, Data_main[Scenario],$B$3)),SUMIFS(INDIRECT("Data_main"&amp;"["&amp;AI$8&amp;"]"),Data_main[Data],$A29, Data_main[Segment],$B29, Data_main[Scenario],$B$3)),SUMIFS(INDIRECT("Data_main"&amp;"["&amp;AI$8&amp;"]"),Data_main[Data],$A29, Data_main[Segment],$B29, Data_main[Scenario],$B$3))</f>
        <v>74.043415521258751</v>
      </c>
      <c r="AJ29" s="390">
        <f ca="1">IF($B$6="ON", IF(AJ26&gt;=covid_start, IF(AJ26&lt;covid_recovery,NA(),SUMIFS(INDIRECT("Data_main"&amp;"["&amp;AJ$8&amp;"]"),Data_main[Data],$A29, Data_main[Segment],$B29, Data_main[Scenario],$B$3)),SUMIFS(INDIRECT("Data_main"&amp;"["&amp;AJ$8&amp;"]"),Data_main[Data],$A29, Data_main[Segment],$B29, Data_main[Scenario],$B$3)),SUMIFS(INDIRECT("Data_main"&amp;"["&amp;AJ$8&amp;"]"),Data_main[Data],$A29, Data_main[Segment],$B29, Data_main[Scenario],$B$3))</f>
        <v>57.107716668383311</v>
      </c>
      <c r="AK29" s="390">
        <f ca="1">IF($B$6="ON", IF(AK26&gt;=covid_start, IF(AK26&lt;covid_recovery,NA(),SUMIFS(INDIRECT("Data_main"&amp;"["&amp;AK$8&amp;"]"),Data_main[Data],$A29, Data_main[Segment],$B29, Data_main[Scenario],$B$3)),SUMIFS(INDIRECT("Data_main"&amp;"["&amp;AK$8&amp;"]"),Data_main[Data],$A29, Data_main[Segment],$B29, Data_main[Scenario],$B$3)),SUMIFS(INDIRECT("Data_main"&amp;"["&amp;AK$8&amp;"]"),Data_main[Data],$A29, Data_main[Segment],$B29, Data_main[Scenario],$B$3))</f>
        <v>40.610327443166099</v>
      </c>
      <c r="AL29" s="390">
        <f ca="1">IF($B$6="ON", IF(AL26&gt;=covid_start, IF(AL26&lt;covid_recovery,NA(),SUMIFS(INDIRECT("Data_main"&amp;"["&amp;AL$8&amp;"]"),Data_main[Data],$A29, Data_main[Segment],$B29, Data_main[Scenario],$B$3)),SUMIFS(INDIRECT("Data_main"&amp;"["&amp;AL$8&amp;"]"),Data_main[Data],$A29, Data_main[Segment],$B29, Data_main[Scenario],$B$3)),SUMIFS(INDIRECT("Data_main"&amp;"["&amp;AL$8&amp;"]"),Data_main[Data],$A29, Data_main[Segment],$B29, Data_main[Scenario],$B$3))</f>
        <v>24.530860759502989</v>
      </c>
      <c r="AM29" s="390">
        <f ca="1">IF($B$6="ON", IF(AM26&gt;=covid_start, IF(AM26&lt;covid_recovery,NA(),SUMIFS(INDIRECT("Data_main"&amp;"["&amp;AM$8&amp;"]"),Data_main[Data],$A29, Data_main[Segment],$B29, Data_main[Scenario],$B$3)),SUMIFS(INDIRECT("Data_main"&amp;"["&amp;AM$8&amp;"]"),Data_main[Data],$A29, Data_main[Segment],$B29, Data_main[Scenario],$B$3)),SUMIFS(INDIRECT("Data_main"&amp;"["&amp;AM$8&amp;"]"),Data_main[Data],$A29, Data_main[Segment],$B29, Data_main[Scenario],$B$3))</f>
        <v>20.22098781332166</v>
      </c>
      <c r="AN29" s="390">
        <f ca="1">IF($B$6="ON", IF(AN26&gt;=covid_start, IF(AN26&lt;covid_recovery,NA(),SUMIFS(INDIRECT("Data_main"&amp;"["&amp;AN$8&amp;"]"),Data_main[Data],$A29, Data_main[Segment],$B29, Data_main[Scenario],$B$3)),SUMIFS(INDIRECT("Data_main"&amp;"["&amp;AN$8&amp;"]"),Data_main[Data],$A29, Data_main[Segment],$B29, Data_main[Scenario],$B$3)),SUMIFS(INDIRECT("Data_main"&amp;"["&amp;AN$8&amp;"]"),Data_main[Data],$A29, Data_main[Segment],$B29, Data_main[Scenario],$B$3))</f>
        <v>19.541854461001638</v>
      </c>
      <c r="AO29" s="390">
        <f ca="1">IF($B$6="ON", IF(AO26&gt;=covid_start, IF(AO26&lt;covid_recovery,NA(),SUMIFS(INDIRECT("Data_main"&amp;"["&amp;AO$8&amp;"]"),Data_main[Data],$A29, Data_main[Segment],$B29, Data_main[Scenario],$B$3)),SUMIFS(INDIRECT("Data_main"&amp;"["&amp;AO$8&amp;"]"),Data_main[Data],$A29, Data_main[Segment],$B29, Data_main[Scenario],$B$3)),SUMIFS(INDIRECT("Data_main"&amp;"["&amp;AO$8&amp;"]"),Data_main[Data],$A29, Data_main[Segment],$B29, Data_main[Scenario],$B$3))</f>
        <v>0</v>
      </c>
      <c r="AP29" s="390">
        <f ca="1">IF($B$6="ON", IF(AP26&gt;=covid_start, IF(AP26&lt;covid_recovery,NA(),SUMIFS(INDIRECT("Data_main"&amp;"["&amp;AP$8&amp;"]"),Data_main[Data],$A29, Data_main[Segment],$B29, Data_main[Scenario],$B$3)),SUMIFS(INDIRECT("Data_main"&amp;"["&amp;AP$8&amp;"]"),Data_main[Data],$A29, Data_main[Segment],$B29, Data_main[Scenario],$B$3)),SUMIFS(INDIRECT("Data_main"&amp;"["&amp;AP$8&amp;"]"),Data_main[Data],$A29, Data_main[Segment],$B29, Data_main[Scenario],$B$3))</f>
        <v>0</v>
      </c>
      <c r="AQ29" s="390">
        <f ca="1">IF($B$6="ON", IF(AQ26&gt;=covid_start, IF(AQ26&lt;covid_recovery,NA(),SUMIFS(INDIRECT("Data_main"&amp;"["&amp;AQ$8&amp;"]"),Data_main[Data],$A29, Data_main[Segment],$B29, Data_main[Scenario],$B$3)),SUMIFS(INDIRECT("Data_main"&amp;"["&amp;AQ$8&amp;"]"),Data_main[Data],$A29, Data_main[Segment],$B29, Data_main[Scenario],$B$3)),SUMIFS(INDIRECT("Data_main"&amp;"["&amp;AQ$8&amp;"]"),Data_main[Data],$A29, Data_main[Segment],$B29, Data_main[Scenario],$B$3))</f>
        <v>0</v>
      </c>
      <c r="AR29" s="390">
        <f ca="1">IF($B$6="ON", IF(AR26&gt;=covid_start, IF(AR26&lt;covid_recovery,NA(),SUMIFS(INDIRECT("Data_main"&amp;"["&amp;AR$8&amp;"]"),Data_main[Data],$A29, Data_main[Segment],$B29, Data_main[Scenario],$B$3)),SUMIFS(INDIRECT("Data_main"&amp;"["&amp;AR$8&amp;"]"),Data_main[Data],$A29, Data_main[Segment],$B29, Data_main[Scenario],$B$3)),SUMIFS(INDIRECT("Data_main"&amp;"["&amp;AR$8&amp;"]"),Data_main[Data],$A29, Data_main[Segment],$B29, Data_main[Scenario],$B$3))</f>
        <v>0</v>
      </c>
      <c r="AS29" s="390">
        <f ca="1">IF($B$6="ON", IF(AS26&gt;=covid_start, IF(AS26&lt;covid_recovery,NA(),SUMIFS(INDIRECT("Data_main"&amp;"["&amp;AS$8&amp;"]"),Data_main[Data],$A29, Data_main[Segment],$B29, Data_main[Scenario],$B$3)),SUMIFS(INDIRECT("Data_main"&amp;"["&amp;AS$8&amp;"]"),Data_main[Data],$A29, Data_main[Segment],$B29, Data_main[Scenario],$B$3)),SUMIFS(INDIRECT("Data_main"&amp;"["&amp;AS$8&amp;"]"),Data_main[Data],$A29, Data_main[Segment],$B29, Data_main[Scenario],$B$3))</f>
        <v>0</v>
      </c>
      <c r="AT29" s="390">
        <f ca="1">IF($B$6="ON", IF(AT26&gt;=covid_start, IF(AT26&lt;covid_recovery,NA(),SUMIFS(INDIRECT("Data_main"&amp;"["&amp;AT$8&amp;"]"),Data_main[Data],$A29, Data_main[Segment],$B29, Data_main[Scenario],$B$3)),SUMIFS(INDIRECT("Data_main"&amp;"["&amp;AT$8&amp;"]"),Data_main[Data],$A29, Data_main[Segment],$B29, Data_main[Scenario],$B$3)),SUMIFS(INDIRECT("Data_main"&amp;"["&amp;AT$8&amp;"]"),Data_main[Data],$A29, Data_main[Segment],$B29, Data_main[Scenario],$B$3))</f>
        <v>0</v>
      </c>
      <c r="AU29" s="390">
        <f ca="1">IF($B$6="ON", IF(AU26&gt;=covid_start, IF(AU26&lt;covid_recovery,NA(),SUMIFS(INDIRECT("Data_main"&amp;"["&amp;AU$8&amp;"]"),Data_main[Data],$A29, Data_main[Segment],$B29, Data_main[Scenario],$B$3)),SUMIFS(INDIRECT("Data_main"&amp;"["&amp;AU$8&amp;"]"),Data_main[Data],$A29, Data_main[Segment],$B29, Data_main[Scenario],$B$3)),SUMIFS(INDIRECT("Data_main"&amp;"["&amp;AU$8&amp;"]"),Data_main[Data],$A29, Data_main[Segment],$B29, Data_main[Scenario],$B$3))</f>
        <v>0</v>
      </c>
      <c r="AV29" s="390">
        <f ca="1">IF($B$6="ON", IF(AV26&gt;=covid_start, IF(AV26&lt;covid_recovery,NA(),SUMIFS(INDIRECT("Data_main"&amp;"["&amp;AV$8&amp;"]"),Data_main[Data],$A29, Data_main[Segment],$B29, Data_main[Scenario],$B$3)),SUMIFS(INDIRECT("Data_main"&amp;"["&amp;AV$8&amp;"]"),Data_main[Data],$A29, Data_main[Segment],$B29, Data_main[Scenario],$B$3)),SUMIFS(INDIRECT("Data_main"&amp;"["&amp;AV$8&amp;"]"),Data_main[Data],$A29, Data_main[Segment],$B29, Data_main[Scenario],$B$3))</f>
        <v>0</v>
      </c>
      <c r="AW29" s="390">
        <f ca="1">IF($B$6="ON", IF(AW26&gt;=covid_start, IF(AW26&lt;covid_recovery,NA(),SUMIFS(INDIRECT("Data_main"&amp;"["&amp;AW$8&amp;"]"),Data_main[Data],$A29, Data_main[Segment],$B29, Data_main[Scenario],$B$3)),SUMIFS(INDIRECT("Data_main"&amp;"["&amp;AW$8&amp;"]"),Data_main[Data],$A29, Data_main[Segment],$B29, Data_main[Scenario],$B$3)),SUMIFS(INDIRECT("Data_main"&amp;"["&amp;AW$8&amp;"]"),Data_main[Data],$A29, Data_main[Segment],$B29, Data_main[Scenario],$B$3))</f>
        <v>0</v>
      </c>
      <c r="AX29" s="390">
        <f ca="1">IF($B$6="ON", IF(AX26&gt;=covid_start, IF(AX26&lt;covid_recovery,NA(),SUMIFS(INDIRECT("Data_main"&amp;"["&amp;AX$8&amp;"]"),Data_main[Data],$A29, Data_main[Segment],$B29, Data_main[Scenario],$B$3)),SUMIFS(INDIRECT("Data_main"&amp;"["&amp;AX$8&amp;"]"),Data_main[Data],$A29, Data_main[Segment],$B29, Data_main[Scenario],$B$3)),SUMIFS(INDIRECT("Data_main"&amp;"["&amp;AX$8&amp;"]"),Data_main[Data],$A29, Data_main[Segment],$B29, Data_main[Scenario],$B$3))</f>
        <v>0</v>
      </c>
      <c r="AY29" s="390">
        <f ca="1">IF($B$6="ON", IF(AY26&gt;=covid_start, IF(AY26&lt;covid_recovery,NA(),SUMIFS(INDIRECT("Data_main"&amp;"["&amp;AY$8&amp;"]"),Data_main[Data],$A29, Data_main[Segment],$B29, Data_main[Scenario],$B$3)),SUMIFS(INDIRECT("Data_main"&amp;"["&amp;AY$8&amp;"]"),Data_main[Data],$A29, Data_main[Segment],$B29, Data_main[Scenario],$B$3)),SUMIFS(INDIRECT("Data_main"&amp;"["&amp;AY$8&amp;"]"),Data_main[Data],$A29, Data_main[Segment],$B29, Data_main[Scenario],$B$3))</f>
        <v>0</v>
      </c>
      <c r="AZ29" s="390">
        <f ca="1">IF($B$6="ON", IF(AZ26&gt;=covid_start, IF(AZ26&lt;covid_recovery,NA(),SUMIFS(INDIRECT("Data_main"&amp;"["&amp;AZ$8&amp;"]"),Data_main[Data],$A29, Data_main[Segment],$B29, Data_main[Scenario],$B$3)),SUMIFS(INDIRECT("Data_main"&amp;"["&amp;AZ$8&amp;"]"),Data_main[Data],$A29, Data_main[Segment],$B29, Data_main[Scenario],$B$3)),SUMIFS(INDIRECT("Data_main"&amp;"["&amp;AZ$8&amp;"]"),Data_main[Data],$A29, Data_main[Segment],$B29, Data_main[Scenario],$B$3))</f>
        <v>0</v>
      </c>
      <c r="BA29" s="390">
        <f ca="1">IF($B$6="ON", IF(BA26&gt;=covid_start, IF(BA26&lt;covid_recovery,NA(),SUMIFS(INDIRECT("Data_main"&amp;"["&amp;BA$8&amp;"]"),Data_main[Data],$A29, Data_main[Segment],$B29, Data_main[Scenario],$B$3)),SUMIFS(INDIRECT("Data_main"&amp;"["&amp;BA$8&amp;"]"),Data_main[Data],$A29, Data_main[Segment],$B29, Data_main[Scenario],$B$3)),SUMIFS(INDIRECT("Data_main"&amp;"["&amp;BA$8&amp;"]"),Data_main[Data],$A29, Data_main[Segment],$B29, Data_main[Scenario],$B$3))</f>
        <v>0</v>
      </c>
      <c r="BB29" s="390">
        <f ca="1">IF($B$6="ON", IF(BB26&gt;=covid_start, IF(BB26&lt;covid_recovery,NA(),SUMIFS(INDIRECT("Data_main"&amp;"["&amp;BB$8&amp;"]"),Data_main[Data],$A29, Data_main[Segment],$B29, Data_main[Scenario],$B$3)),SUMIFS(INDIRECT("Data_main"&amp;"["&amp;BB$8&amp;"]"),Data_main[Data],$A29, Data_main[Segment],$B29, Data_main[Scenario],$B$3)),SUMIFS(INDIRECT("Data_main"&amp;"["&amp;BB$8&amp;"]"),Data_main[Data],$A29, Data_main[Segment],$B29, Data_main[Scenario],$B$3))</f>
        <v>0</v>
      </c>
      <c r="BC29" s="390">
        <f ca="1">IF($B$6="ON", IF(BC26&gt;=covid_start, IF(BC26&lt;covid_recovery,NA(),SUMIFS(INDIRECT("Data_main"&amp;"["&amp;BC$8&amp;"]"),Data_main[Data],$A29, Data_main[Segment],$B29, Data_main[Scenario],$B$3)),SUMIFS(INDIRECT("Data_main"&amp;"["&amp;BC$8&amp;"]"),Data_main[Data],$A29, Data_main[Segment],$B29, Data_main[Scenario],$B$3)),SUMIFS(INDIRECT("Data_main"&amp;"["&amp;BC$8&amp;"]"),Data_main[Data],$A29, Data_main[Segment],$B29, Data_main[Scenario],$B$3))</f>
        <v>0</v>
      </c>
      <c r="BD29" s="390">
        <f ca="1">IF($B$6="ON", IF(BD26&gt;=covid_start, IF(BD26&lt;covid_recovery,NA(),SUMIFS(INDIRECT("Data_main"&amp;"["&amp;BD$8&amp;"]"),Data_main[Data],$A29, Data_main[Segment],$B29, Data_main[Scenario],$B$3)),SUMIFS(INDIRECT("Data_main"&amp;"["&amp;BD$8&amp;"]"),Data_main[Data],$A29, Data_main[Segment],$B29, Data_main[Scenario],$B$3)),SUMIFS(INDIRECT("Data_main"&amp;"["&amp;BD$8&amp;"]"),Data_main[Data],$A29, Data_main[Segment],$B29, Data_main[Scenario],$B$3))</f>
        <v>0</v>
      </c>
      <c r="BE29" s="390">
        <f ca="1">IF($B$6="ON", IF(BE26&gt;=covid_start, IF(BE26&lt;covid_recovery,NA(),SUMIFS(INDIRECT("Data_main"&amp;"["&amp;BE$8&amp;"]"),Data_main[Data],$A29, Data_main[Segment],$B29, Data_main[Scenario],$B$3)),SUMIFS(INDIRECT("Data_main"&amp;"["&amp;BE$8&amp;"]"),Data_main[Data],$A29, Data_main[Segment],$B29, Data_main[Scenario],$B$3)),SUMIFS(INDIRECT("Data_main"&amp;"["&amp;BE$8&amp;"]"),Data_main[Data],$A29, Data_main[Segment],$B29, Data_main[Scenario],$B$3))</f>
        <v>0</v>
      </c>
      <c r="BF29" s="390">
        <f ca="1">IF($B$6="ON", IF(BF26&gt;=covid_start, IF(BF26&lt;covid_recovery,NA(),SUMIFS(INDIRECT("Data_main"&amp;"["&amp;BF$8&amp;"]"),Data_main[Data],$A29, Data_main[Segment],$B29, Data_main[Scenario],$B$3)),SUMIFS(INDIRECT("Data_main"&amp;"["&amp;BF$8&amp;"]"),Data_main[Data],$A29, Data_main[Segment],$B29, Data_main[Scenario],$B$3)),SUMIFS(INDIRECT("Data_main"&amp;"["&amp;BF$8&amp;"]"),Data_main[Data],$A29, Data_main[Segment],$B29, Data_main[Scenario],$B$3))</f>
        <v>0</v>
      </c>
      <c r="BG29" s="390">
        <f ca="1">IF($B$6="ON", IF(BG26&gt;=covid_start, IF(BG26&lt;covid_recovery,NA(),SUMIFS(INDIRECT("Data_main"&amp;"["&amp;BG$8&amp;"]"),Data_main[Data],$A29, Data_main[Segment],$B29, Data_main[Scenario],$B$3)),SUMIFS(INDIRECT("Data_main"&amp;"["&amp;BG$8&amp;"]"),Data_main[Data],$A29, Data_main[Segment],$B29, Data_main[Scenario],$B$3)),SUMIFS(INDIRECT("Data_main"&amp;"["&amp;BG$8&amp;"]"),Data_main[Data],$A29, Data_main[Segment],$B29, Data_main[Scenario],$B$3))</f>
        <v>0</v>
      </c>
      <c r="BH29" s="390">
        <f ca="1">IF($B$6="ON", IF(BH26&gt;=covid_start, IF(BH26&lt;covid_recovery,NA(),SUMIFS(INDIRECT("Data_main"&amp;"["&amp;BH$8&amp;"]"),Data_main[Data],$A29, Data_main[Segment],$B29, Data_main[Scenario],$B$3)),SUMIFS(INDIRECT("Data_main"&amp;"["&amp;BH$8&amp;"]"),Data_main[Data],$A29, Data_main[Segment],$B29, Data_main[Scenario],$B$3)),SUMIFS(INDIRECT("Data_main"&amp;"["&amp;BH$8&amp;"]"),Data_main[Data],$A29, Data_main[Segment],$B29, Data_main[Scenario],$B$3))</f>
        <v>0</v>
      </c>
      <c r="BI29" s="390">
        <f ca="1">IF($B$6="ON", IF(BI26&gt;=covid_start, IF(BI26&lt;covid_recovery,NA(),SUMIFS(INDIRECT("Data_main"&amp;"["&amp;BI$8&amp;"]"),Data_main[Data],$A29, Data_main[Segment],$B29, Data_main[Scenario],$B$3)),SUMIFS(INDIRECT("Data_main"&amp;"["&amp;BI$8&amp;"]"),Data_main[Data],$A29, Data_main[Segment],$B29, Data_main[Scenario],$B$3)),SUMIFS(INDIRECT("Data_main"&amp;"["&amp;BI$8&amp;"]"),Data_main[Data],$A29, Data_main[Segment],$B29, Data_main[Scenario],$B$3))</f>
        <v>0</v>
      </c>
      <c r="BJ29" s="390">
        <f ca="1">IF($B$6="ON", IF(BJ26&gt;=covid_start, IF(BJ26&lt;covid_recovery,NA(),SUMIFS(INDIRECT("Data_main"&amp;"["&amp;BJ$8&amp;"]"),Data_main[Data],$A29, Data_main[Segment],$B29, Data_main[Scenario],$B$3)),SUMIFS(INDIRECT("Data_main"&amp;"["&amp;BJ$8&amp;"]"),Data_main[Data],$A29, Data_main[Segment],$B29, Data_main[Scenario],$B$3)),SUMIFS(INDIRECT("Data_main"&amp;"["&amp;BJ$8&amp;"]"),Data_main[Data],$A29, Data_main[Segment],$B29, Data_main[Scenario],$B$3))</f>
        <v>0</v>
      </c>
      <c r="BK29" s="390">
        <f ca="1">IF($B$6="ON", IF(BK26&gt;=covid_start, IF(BK26&lt;covid_recovery,NA(),SUMIFS(INDIRECT("Data_main"&amp;"["&amp;BK$8&amp;"]"),Data_main[Data],$A29, Data_main[Segment],$B29, Data_main[Scenario],$B$3)),SUMIFS(INDIRECT("Data_main"&amp;"["&amp;BK$8&amp;"]"),Data_main[Data],$A29, Data_main[Segment],$B29, Data_main[Scenario],$B$3)),SUMIFS(INDIRECT("Data_main"&amp;"["&amp;BK$8&amp;"]"),Data_main[Data],$A29, Data_main[Segment],$B29, Data_main[Scenario],$B$3))</f>
        <v>0</v>
      </c>
      <c r="BL29" s="390">
        <f ca="1">IF($B$6="ON", IF(BL26&gt;=covid_start, IF(BL26&lt;covid_recovery,NA(),SUMIFS(INDIRECT("Data_main"&amp;"["&amp;BL$8&amp;"]"),Data_main[Data],$A29, Data_main[Segment],$B29, Data_main[Scenario],$B$3)),SUMIFS(INDIRECT("Data_main"&amp;"["&amp;BL$8&amp;"]"),Data_main[Data],$A29, Data_main[Segment],$B29, Data_main[Scenario],$B$3)),SUMIFS(INDIRECT("Data_main"&amp;"["&amp;BL$8&amp;"]"),Data_main[Data],$A29, Data_main[Segment],$B29, Data_main[Scenario],$B$3))</f>
        <v>0</v>
      </c>
      <c r="BM29" s="390">
        <f ca="1">IF($B$6="ON", IF(BM26&gt;=covid_start, IF(BM26&lt;covid_recovery,NA(),SUMIFS(INDIRECT("Data_main"&amp;"["&amp;BM$8&amp;"]"),Data_main[Data],$A29, Data_main[Segment],$B29, Data_main[Scenario],$B$3)),SUMIFS(INDIRECT("Data_main"&amp;"["&amp;BM$8&amp;"]"),Data_main[Data],$A29, Data_main[Segment],$B29, Data_main[Scenario],$B$3)),SUMIFS(INDIRECT("Data_main"&amp;"["&amp;BM$8&amp;"]"),Data_main[Data],$A29, Data_main[Segment],$B29, Data_main[Scenario],$B$3))</f>
        <v>0</v>
      </c>
      <c r="BN29" s="390">
        <f ca="1">IF($B$6="ON", IF(BN26&gt;=covid_start, IF(BN26&lt;covid_recovery,NA(),SUMIFS(INDIRECT("Data_main"&amp;"["&amp;BN$8&amp;"]"),Data_main[Data],$A29, Data_main[Segment],$B29, Data_main[Scenario],$B$3)),SUMIFS(INDIRECT("Data_main"&amp;"["&amp;BN$8&amp;"]"),Data_main[Data],$A29, Data_main[Segment],$B29, Data_main[Scenario],$B$3)),SUMIFS(INDIRECT("Data_main"&amp;"["&amp;BN$8&amp;"]"),Data_main[Data],$A29, Data_main[Segment],$B29, Data_main[Scenario],$B$3))</f>
        <v>0</v>
      </c>
      <c r="BO29" s="390">
        <f ca="1">IF($B$6="ON", IF(BO26&gt;=covid_start, IF(BO26&lt;covid_recovery,NA(),SUMIFS(INDIRECT("Data_main"&amp;"["&amp;BO$8&amp;"]"),Data_main[Data],$A29, Data_main[Segment],$B29, Data_main[Scenario],$B$3)),SUMIFS(INDIRECT("Data_main"&amp;"["&amp;BO$8&amp;"]"),Data_main[Data],$A29, Data_main[Segment],$B29, Data_main[Scenario],$B$3)),SUMIFS(INDIRECT("Data_main"&amp;"["&amp;BO$8&amp;"]"),Data_main[Data],$A29, Data_main[Segment],$B29, Data_main[Scenario],$B$3))</f>
        <v>0</v>
      </c>
      <c r="BP29" s="390">
        <f ca="1">IF($B$6="ON", IF(BP26&gt;=covid_start, IF(BP26&lt;covid_recovery,NA(),SUMIFS(INDIRECT("Data_main"&amp;"["&amp;BP$8&amp;"]"),Data_main[Data],$A29, Data_main[Segment],$B29, Data_main[Scenario],$B$3)),SUMIFS(INDIRECT("Data_main"&amp;"["&amp;BP$8&amp;"]"),Data_main[Data],$A29, Data_main[Segment],$B29, Data_main[Scenario],$B$3)),SUMIFS(INDIRECT("Data_main"&amp;"["&amp;BP$8&amp;"]"),Data_main[Data],$A29, Data_main[Segment],$B29, Data_main[Scenario],$B$3))</f>
        <v>0</v>
      </c>
      <c r="BQ29" s="390">
        <f ca="1">IF($B$6="ON", IF(BQ26&gt;=covid_start, IF(BQ26&lt;covid_recovery,NA(),SUMIFS(INDIRECT("Data_main"&amp;"["&amp;BQ$8&amp;"]"),Data_main[Data],$A29, Data_main[Segment],$B29, Data_main[Scenario],$B$3)),SUMIFS(INDIRECT("Data_main"&amp;"["&amp;BQ$8&amp;"]"),Data_main[Data],$A29, Data_main[Segment],$B29, Data_main[Scenario],$B$3)),SUMIFS(INDIRECT("Data_main"&amp;"["&amp;BQ$8&amp;"]"),Data_main[Data],$A29, Data_main[Segment],$B29, Data_main[Scenario],$B$3))</f>
        <v>0</v>
      </c>
      <c r="BR29" s="390">
        <f ca="1">IF($B$6="ON", IF(BR26&gt;=covid_start, IF(BR26&lt;covid_recovery,NA(),SUMIFS(INDIRECT("Data_main"&amp;"["&amp;BR$8&amp;"]"),Data_main[Data],$A29, Data_main[Segment],$B29, Data_main[Scenario],$B$3)),SUMIFS(INDIRECT("Data_main"&amp;"["&amp;BR$8&amp;"]"),Data_main[Data],$A29, Data_main[Segment],$B29, Data_main[Scenario],$B$3)),SUMIFS(INDIRECT("Data_main"&amp;"["&amp;BR$8&amp;"]"),Data_main[Data],$A29, Data_main[Segment],$B29, Data_main[Scenario],$B$3))</f>
        <v>0</v>
      </c>
      <c r="BS29" s="390">
        <f ca="1">IF($B$6="ON", IF(BS26&gt;=covid_start, IF(BS26&lt;covid_recovery,NA(),SUMIFS(INDIRECT("Data_main"&amp;"["&amp;BS$8&amp;"]"),Data_main[Data],$A29, Data_main[Segment],$B29, Data_main[Scenario],$B$3)),SUMIFS(INDIRECT("Data_main"&amp;"["&amp;BS$8&amp;"]"),Data_main[Data],$A29, Data_main[Segment],$B29, Data_main[Scenario],$B$3)),SUMIFS(INDIRECT("Data_main"&amp;"["&amp;BS$8&amp;"]"),Data_main[Data],$A29, Data_main[Segment],$B29, Data_main[Scenario],$B$3))</f>
        <v>0</v>
      </c>
      <c r="BT29" s="390">
        <f ca="1">IF($B$6="ON", IF(BT26&gt;=covid_start, IF(BT26&lt;covid_recovery,NA(),SUMIFS(INDIRECT("Data_main"&amp;"["&amp;BT$8&amp;"]"),Data_main[Data],$A29, Data_main[Segment],$B29, Data_main[Scenario],$B$3)),SUMIFS(INDIRECT("Data_main"&amp;"["&amp;BT$8&amp;"]"),Data_main[Data],$A29, Data_main[Segment],$B29, Data_main[Scenario],$B$3)),SUMIFS(INDIRECT("Data_main"&amp;"["&amp;BT$8&amp;"]"),Data_main[Data],$A29, Data_main[Segment],$B29, Data_main[Scenario],$B$3))</f>
        <v>0</v>
      </c>
      <c r="BU29" s="390">
        <f ca="1">IF($B$6="ON", IF(BU26&gt;=covid_start, IF(BU26&lt;covid_recovery,NA(),SUMIFS(INDIRECT("Data_main"&amp;"["&amp;BU$8&amp;"]"),Data_main[Data],$A29, Data_main[Segment],$B29, Data_main[Scenario],$B$3)),SUMIFS(INDIRECT("Data_main"&amp;"["&amp;BU$8&amp;"]"),Data_main[Data],$A29, Data_main[Segment],$B29, Data_main[Scenario],$B$3)),SUMIFS(INDIRECT("Data_main"&amp;"["&amp;BU$8&amp;"]"),Data_main[Data],$A29, Data_main[Segment],$B29, Data_main[Scenario],$B$3))</f>
        <v>0</v>
      </c>
      <c r="BV29" s="390">
        <f ca="1">IF($B$6="ON", IF(BV26&gt;=covid_start, IF(BV26&lt;covid_recovery,NA(),SUMIFS(INDIRECT("Data_main"&amp;"["&amp;BV$8&amp;"]"),Data_main[Data],$A29, Data_main[Segment],$B29, Data_main[Scenario],$B$3)),SUMIFS(INDIRECT("Data_main"&amp;"["&amp;BV$8&amp;"]"),Data_main[Data],$A29, Data_main[Segment],$B29, Data_main[Scenario],$B$3)),SUMIFS(INDIRECT("Data_main"&amp;"["&amp;BV$8&amp;"]"),Data_main[Data],$A29, Data_main[Segment],$B29, Data_main[Scenario],$B$3))</f>
        <v>0</v>
      </c>
      <c r="BW29" s="390">
        <f ca="1">IF($B$6="ON", IF(BW26&gt;=covid_start, IF(BW26&lt;covid_recovery,NA(),SUMIFS(INDIRECT("Data_main"&amp;"["&amp;BW$8&amp;"]"),Data_main[Data],$A29, Data_main[Segment],$B29, Data_main[Scenario],$B$3)),SUMIFS(INDIRECT("Data_main"&amp;"["&amp;BW$8&amp;"]"),Data_main[Data],$A29, Data_main[Segment],$B29, Data_main[Scenario],$B$3)),SUMIFS(INDIRECT("Data_main"&amp;"["&amp;BW$8&amp;"]"),Data_main[Data],$A29, Data_main[Segment],$B29, Data_main[Scenario],$B$3))</f>
        <v>0</v>
      </c>
      <c r="BX29" s="390">
        <f ca="1">IF($B$6="ON", IF(BX26&gt;=covid_start, IF(BX26&lt;covid_recovery,NA(),SUMIFS(INDIRECT("Data_main"&amp;"["&amp;BX$8&amp;"]"),Data_main[Data],$A29, Data_main[Segment],$B29, Data_main[Scenario],$B$3)),SUMIFS(INDIRECT("Data_main"&amp;"["&amp;BX$8&amp;"]"),Data_main[Data],$A29, Data_main[Segment],$B29, Data_main[Scenario],$B$3)),SUMIFS(INDIRECT("Data_main"&amp;"["&amp;BX$8&amp;"]"),Data_main[Data],$A29, Data_main[Segment],$B29, Data_main[Scenario],$B$3))</f>
        <v>0</v>
      </c>
      <c r="BY29" s="390">
        <f ca="1">IF($B$6="ON", IF(BY26&gt;=covid_start, IF(BY26&lt;covid_recovery,NA(),SUMIFS(INDIRECT("Data_main"&amp;"["&amp;BY$8&amp;"]"),Data_main[Data],$A29, Data_main[Segment],$B29, Data_main[Scenario],$B$3)),SUMIFS(INDIRECT("Data_main"&amp;"["&amp;BY$8&amp;"]"),Data_main[Data],$A29, Data_main[Segment],$B29, Data_main[Scenario],$B$3)),SUMIFS(INDIRECT("Data_main"&amp;"["&amp;BY$8&amp;"]"),Data_main[Data],$A29, Data_main[Segment],$B29, Data_main[Scenario],$B$3))</f>
        <v>0</v>
      </c>
      <c r="BZ29" s="390">
        <f ca="1">IF($B$6="ON", IF(BZ26&gt;=covid_start, IF(BZ26&lt;covid_recovery,NA(),SUMIFS(INDIRECT("Data_main"&amp;"["&amp;BZ$8&amp;"]"),Data_main[Data],$A29, Data_main[Segment],$B29, Data_main[Scenario],$B$3)),SUMIFS(INDIRECT("Data_main"&amp;"["&amp;BZ$8&amp;"]"),Data_main[Data],$A29, Data_main[Segment],$B29, Data_main[Scenario],$B$3)),SUMIFS(INDIRECT("Data_main"&amp;"["&amp;BZ$8&amp;"]"),Data_main[Data],$A29, Data_main[Segment],$B29, Data_main[Scenario],$B$3))</f>
        <v>0</v>
      </c>
      <c r="CA29" s="390">
        <f ca="1">IF($B$6="ON", IF(CA26&gt;=covid_start, IF(CA26&lt;covid_recovery,NA(),SUMIFS(INDIRECT("Data_main"&amp;"["&amp;CA$8&amp;"]"),Data_main[Data],$A29, Data_main[Segment],$B29, Data_main[Scenario],$B$3)),SUMIFS(INDIRECT("Data_main"&amp;"["&amp;CA$8&amp;"]"),Data_main[Data],$A29, Data_main[Segment],$B29, Data_main[Scenario],$B$3)),SUMIFS(INDIRECT("Data_main"&amp;"["&amp;CA$8&amp;"]"),Data_main[Data],$A29, Data_main[Segment],$B29, Data_main[Scenario],$B$3))</f>
        <v>0</v>
      </c>
      <c r="CB29" s="390">
        <f ca="1">IF($B$6="ON", IF(CB26&gt;=covid_start, IF(CB26&lt;covid_recovery,NA(),SUMIFS(INDIRECT("Data_main"&amp;"["&amp;CB$8&amp;"]"),Data_main[Data],$A29, Data_main[Segment],$B29, Data_main[Scenario],$B$3)),SUMIFS(INDIRECT("Data_main"&amp;"["&amp;CB$8&amp;"]"),Data_main[Data],$A29, Data_main[Segment],$B29, Data_main[Scenario],$B$3)),SUMIFS(INDIRECT("Data_main"&amp;"["&amp;CB$8&amp;"]"),Data_main[Data],$A29, Data_main[Segment],$B29, Data_main[Scenario],$B$3))</f>
        <v>0</v>
      </c>
      <c r="CC29" s="390">
        <f ca="1">IF($B$6="ON", IF(CC26&gt;=covid_start, IF(CC26&lt;covid_recovery,NA(),SUMIFS(INDIRECT("Data_main"&amp;"["&amp;CC$8&amp;"]"),Data_main[Data],$A29, Data_main[Segment],$B29, Data_main[Scenario],$B$3)),SUMIFS(INDIRECT("Data_main"&amp;"["&amp;CC$8&amp;"]"),Data_main[Data],$A29, Data_main[Segment],$B29, Data_main[Scenario],$B$3)),SUMIFS(INDIRECT("Data_main"&amp;"["&amp;CC$8&amp;"]"),Data_main[Data],$A29, Data_main[Segment],$B29, Data_main[Scenario],$B$3))</f>
        <v>0</v>
      </c>
      <c r="CD29" s="390">
        <f ca="1">IF($B$6="ON", IF(CD26&gt;=covid_start, IF(CD26&lt;covid_recovery,NA(),SUMIFS(INDIRECT("Data_main"&amp;"["&amp;CD$8&amp;"]"),Data_main[Data],$A29, Data_main[Segment],$B29, Data_main[Scenario],$B$3)),SUMIFS(INDIRECT("Data_main"&amp;"["&amp;CD$8&amp;"]"),Data_main[Data],$A29, Data_main[Segment],$B29, Data_main[Scenario],$B$3)),SUMIFS(INDIRECT("Data_main"&amp;"["&amp;CD$8&amp;"]"),Data_main[Data],$A29, Data_main[Segment],$B29, Data_main[Scenario],$B$3))</f>
        <v>0</v>
      </c>
      <c r="CE29" s="390">
        <f ca="1">IF($B$6="ON", IF(CE26&gt;=covid_start, IF(CE26&lt;covid_recovery,NA(),SUMIFS(INDIRECT("Data_main"&amp;"["&amp;CE$8&amp;"]"),Data_main[Data],$A29, Data_main[Segment],$B29, Data_main[Scenario],$B$3)),SUMIFS(INDIRECT("Data_main"&amp;"["&amp;CE$8&amp;"]"),Data_main[Data],$A29, Data_main[Segment],$B29, Data_main[Scenario],$B$3)),SUMIFS(INDIRECT("Data_main"&amp;"["&amp;CE$8&amp;"]"),Data_main[Data],$A29, Data_main[Segment],$B29, Data_main[Scenario],$B$3))</f>
        <v>0</v>
      </c>
      <c r="CF29" s="390">
        <f ca="1">IF($B$6="ON", IF(CF26&gt;=covid_start, IF(CF26&lt;covid_recovery,NA(),SUMIFS(INDIRECT("Data_main"&amp;"["&amp;CF$8&amp;"]"),Data_main[Data],$A29, Data_main[Segment],$B29, Data_main[Scenario],$B$3)),SUMIFS(INDIRECT("Data_main"&amp;"["&amp;CF$8&amp;"]"),Data_main[Data],$A29, Data_main[Segment],$B29, Data_main[Scenario],$B$3)),SUMIFS(INDIRECT("Data_main"&amp;"["&amp;CF$8&amp;"]"),Data_main[Data],$A29, Data_main[Segment],$B29, Data_main[Scenario],$B$3))</f>
        <v>0</v>
      </c>
      <c r="CG29" s="390">
        <f ca="1">IF($B$6="ON", IF(CG26&gt;=covid_start, IF(CG26&lt;covid_recovery,NA(),SUMIFS(INDIRECT("Data_main"&amp;"["&amp;CG$8&amp;"]"),Data_main[Data],$A29, Data_main[Segment],$B29, Data_main[Scenario],$B$3)),SUMIFS(INDIRECT("Data_main"&amp;"["&amp;CG$8&amp;"]"),Data_main[Data],$A29, Data_main[Segment],$B29, Data_main[Scenario],$B$3)),SUMIFS(INDIRECT("Data_main"&amp;"["&amp;CG$8&amp;"]"),Data_main[Data],$A29, Data_main[Segment],$B29, Data_main[Scenario],$B$3))</f>
        <v>0</v>
      </c>
      <c r="CH29" s="390">
        <f ca="1">IF($B$6="ON", IF(CH26&gt;=covid_start, IF(CH26&lt;covid_recovery,NA(),SUMIFS(INDIRECT("Data_main"&amp;"["&amp;CH$8&amp;"]"),Data_main[Data],$A29, Data_main[Segment],$B29, Data_main[Scenario],$B$3)),SUMIFS(INDIRECT("Data_main"&amp;"["&amp;CH$8&amp;"]"),Data_main[Data],$A29, Data_main[Segment],$B29, Data_main[Scenario],$B$3)),SUMIFS(INDIRECT("Data_main"&amp;"["&amp;CH$8&amp;"]"),Data_main[Data],$A29, Data_main[Segment],$B29, Data_main[Scenario],$B$3))</f>
        <v>0</v>
      </c>
      <c r="CI29" s="390">
        <f ca="1">IF($B$6="ON", IF(CI26&gt;=covid_start, IF(CI26&lt;covid_recovery,NA(),SUMIFS(INDIRECT("Data_main"&amp;"["&amp;CI$8&amp;"]"),Data_main[Data],$A29, Data_main[Segment],$B29, Data_main[Scenario],$B$3)),SUMIFS(INDIRECT("Data_main"&amp;"["&amp;CI$8&amp;"]"),Data_main[Data],$A29, Data_main[Segment],$B29, Data_main[Scenario],$B$3)),SUMIFS(INDIRECT("Data_main"&amp;"["&amp;CI$8&amp;"]"),Data_main[Data],$A29, Data_main[Segment],$B29, Data_main[Scenario],$B$3))</f>
        <v>0</v>
      </c>
      <c r="CJ29" s="390">
        <f ca="1">IF($B$6="ON", IF(CJ26&gt;=covid_start, IF(CJ26&lt;covid_recovery,NA(),SUMIFS(INDIRECT("Data_main"&amp;"["&amp;CJ$8&amp;"]"),Data_main[Data],$A29, Data_main[Segment],$B29, Data_main[Scenario],$B$3)),SUMIFS(INDIRECT("Data_main"&amp;"["&amp;CJ$8&amp;"]"),Data_main[Data],$A29, Data_main[Segment],$B29, Data_main[Scenario],$B$3)),SUMIFS(INDIRECT("Data_main"&amp;"["&amp;CJ$8&amp;"]"),Data_main[Data],$A29, Data_main[Segment],$B29, Data_main[Scenario],$B$3))</f>
        <v>0</v>
      </c>
      <c r="CK29" s="390">
        <f ca="1">IF($B$6="ON", IF(CK26&gt;=covid_start, IF(CK26&lt;covid_recovery,NA(),SUMIFS(INDIRECT("Data_main"&amp;"["&amp;CK$8&amp;"]"),Data_main[Data],$A29, Data_main[Segment],$B29, Data_main[Scenario],$B$3)),SUMIFS(INDIRECT("Data_main"&amp;"["&amp;CK$8&amp;"]"),Data_main[Data],$A29, Data_main[Segment],$B29, Data_main[Scenario],$B$3)),SUMIFS(INDIRECT("Data_main"&amp;"["&amp;CK$8&amp;"]"),Data_main[Data],$A29, Data_main[Segment],$B29, Data_main[Scenario],$B$3))</f>
        <v>0</v>
      </c>
      <c r="CL29" s="390">
        <f ca="1">IF($B$6="ON", IF(CL26&gt;=covid_start, IF(CL26&lt;covid_recovery,NA(),SUMIFS(INDIRECT("Data_main"&amp;"["&amp;CL$8&amp;"]"),Data_main[Data],$A29, Data_main[Segment],$B29, Data_main[Scenario],$B$3)),SUMIFS(INDIRECT("Data_main"&amp;"["&amp;CL$8&amp;"]"),Data_main[Data],$A29, Data_main[Segment],$B29, Data_main[Scenario],$B$3)),SUMIFS(INDIRECT("Data_main"&amp;"["&amp;CL$8&amp;"]"),Data_main[Data],$A29, Data_main[Segment],$B29, Data_main[Scenario],$B$3))</f>
        <v>0</v>
      </c>
      <c r="CN29" s="391">
        <f ca="1">IFERROR((Y29/H29)^(1/17)-1,"")</f>
        <v>-3.9967834224736931E-2</v>
      </c>
      <c r="CO29" s="391">
        <f ca="1">IFERROR((AN29/Y29)^(1/15)-1,"")</f>
        <v>-0.16254809603935938</v>
      </c>
      <c r="CP29" s="391">
        <f ca="1">IFERROR((AN29/H29)^(1/32)-1,"")</f>
        <v>-9.9514417170442848E-2</v>
      </c>
    </row>
    <row r="30" spans="1:94" hidden="1" outlineLevel="1">
      <c r="A30" s="394"/>
      <c r="B30" s="394" t="s">
        <v>26</v>
      </c>
      <c r="C30" s="394" t="s">
        <v>314</v>
      </c>
      <c r="D30" s="394" t="s">
        <v>315</v>
      </c>
      <c r="E30" s="396">
        <f t="shared" ref="E30:AJ30" ca="1" si="127">(E29-INDEX($E26:$CL29,4,MATCH($B$5,$E26:$CL26,0)))/(INDEX($E26:$CL29,4,MATCH($B$4,$E26:$CL26,0))-INDEX($E26:$CL29,4,MATCH($B$5,$E26:$CL26,0)))</f>
        <v>1.0579842814744289</v>
      </c>
      <c r="F30" s="397">
        <f t="shared" ca="1" si="127"/>
        <v>1.019442657297569</v>
      </c>
      <c r="G30" s="397">
        <f t="shared" ca="1" si="127"/>
        <v>0.98527301130899214</v>
      </c>
      <c r="H30" s="397">
        <f t="shared" ca="1" si="127"/>
        <v>0.95477136683008834</v>
      </c>
      <c r="I30" s="397">
        <f t="shared" ca="1" si="127"/>
        <v>1</v>
      </c>
      <c r="J30" s="397" t="e">
        <f t="shared" ca="1" si="127"/>
        <v>#N/A</v>
      </c>
      <c r="K30" s="397" t="e">
        <f t="shared" ca="1" si="127"/>
        <v>#N/A</v>
      </c>
      <c r="L30" s="397" t="e">
        <f t="shared" ca="1" si="127"/>
        <v>#N/A</v>
      </c>
      <c r="M30" s="397">
        <f t="shared" ca="1" si="127"/>
        <v>0.86639369390354404</v>
      </c>
      <c r="N30" s="397">
        <f t="shared" ca="1" si="127"/>
        <v>0.83766102053457592</v>
      </c>
      <c r="O30" s="397">
        <f t="shared" ca="1" si="127"/>
        <v>0.81049116847242508</v>
      </c>
      <c r="P30" s="397">
        <f t="shared" ca="1" si="127"/>
        <v>0.78476000661911349</v>
      </c>
      <c r="Q30" s="397">
        <f t="shared" ca="1" si="127"/>
        <v>0.76035621071324222</v>
      </c>
      <c r="R30" s="397">
        <f t="shared" ca="1" si="127"/>
        <v>0.73717965322782919</v>
      </c>
      <c r="S30" s="397">
        <f t="shared" ca="1" si="127"/>
        <v>0.71514003022058126</v>
      </c>
      <c r="T30" s="397">
        <f t="shared" ca="1" si="127"/>
        <v>0.69415568542733452</v>
      </c>
      <c r="U30" s="397">
        <f t="shared" ca="1" si="127"/>
        <v>0.66525342967239587</v>
      </c>
      <c r="V30" s="397">
        <f t="shared" ca="1" si="127"/>
        <v>0.58526025833049733</v>
      </c>
      <c r="W30" s="397">
        <f t="shared" ca="1" si="127"/>
        <v>0.54273519598826048</v>
      </c>
      <c r="X30" s="397">
        <f t="shared" ca="1" si="127"/>
        <v>0.50200229319896239</v>
      </c>
      <c r="Y30" s="397">
        <f t="shared" ca="1" si="127"/>
        <v>0.45997749456310927</v>
      </c>
      <c r="Z30" s="397">
        <f t="shared" ca="1" si="127"/>
        <v>0.41826564900153534</v>
      </c>
      <c r="AA30" s="397">
        <f t="shared" ca="1" si="127"/>
        <v>0.37718483622760629</v>
      </c>
      <c r="AB30" s="397">
        <f t="shared" ca="1" si="127"/>
        <v>0.33675455899573531</v>
      </c>
      <c r="AC30" s="397">
        <f t="shared" ca="1" si="127"/>
        <v>0.29703270802117476</v>
      </c>
      <c r="AD30" s="397">
        <f t="shared" ca="1" si="127"/>
        <v>0.25809713838286102</v>
      </c>
      <c r="AE30" s="397">
        <f t="shared" ca="1" si="127"/>
        <v>0.2239519722359819</v>
      </c>
      <c r="AF30" s="397">
        <f t="shared" ca="1" si="127"/>
        <v>0.19069776714164918</v>
      </c>
      <c r="AG30" s="397">
        <f t="shared" ca="1" si="127"/>
        <v>0.15835915722851479</v>
      </c>
      <c r="AH30" s="397">
        <f t="shared" ca="1" si="127"/>
        <v>0.12693287555201038</v>
      </c>
      <c r="AI30" s="397">
        <f t="shared" ca="1" si="127"/>
        <v>9.6392285854338747E-2</v>
      </c>
      <c r="AJ30" s="397">
        <f t="shared" ca="1" si="127"/>
        <v>6.6439552515847738E-2</v>
      </c>
      <c r="AK30" s="397">
        <f t="shared" ref="AK30:BP30" ca="1" si="128">(AK29-INDEX($E26:$CL29,4,MATCH($B$5,$E26:$CL26,0)))/(INDEX($E26:$CL29,4,MATCH($B$4,$E26:$CL26,0))-INDEX($E26:$CL29,4,MATCH($B$5,$E26:$CL26,0)))</f>
        <v>3.7262020219309085E-2</v>
      </c>
      <c r="AL30" s="397">
        <f t="shared" ca="1" si="128"/>
        <v>8.823632055649783E-3</v>
      </c>
      <c r="AM30" s="397">
        <f t="shared" ca="1" si="128"/>
        <v>1.2011255266187802E-3</v>
      </c>
      <c r="AN30" s="397">
        <f t="shared" ca="1" si="128"/>
        <v>0</v>
      </c>
      <c r="AO30" s="397">
        <f t="shared" ca="1" si="128"/>
        <v>-3.4562019595111175E-2</v>
      </c>
      <c r="AP30" s="397">
        <f t="shared" ca="1" si="128"/>
        <v>-3.4562019595111175E-2</v>
      </c>
      <c r="AQ30" s="397">
        <f t="shared" ca="1" si="128"/>
        <v>-3.4562019595111175E-2</v>
      </c>
      <c r="AR30" s="397">
        <f t="shared" ca="1" si="128"/>
        <v>-3.4562019595111175E-2</v>
      </c>
      <c r="AS30" s="397">
        <f t="shared" ca="1" si="128"/>
        <v>-3.4562019595111175E-2</v>
      </c>
      <c r="AT30" s="397">
        <f t="shared" ca="1" si="128"/>
        <v>-3.4562019595111175E-2</v>
      </c>
      <c r="AU30" s="397">
        <f t="shared" ca="1" si="128"/>
        <v>-3.4562019595111175E-2</v>
      </c>
      <c r="AV30" s="397">
        <f t="shared" ca="1" si="128"/>
        <v>-3.4562019595111175E-2</v>
      </c>
      <c r="AW30" s="397">
        <f t="shared" ca="1" si="128"/>
        <v>-3.4562019595111175E-2</v>
      </c>
      <c r="AX30" s="397">
        <f t="shared" ca="1" si="128"/>
        <v>-3.4562019595111175E-2</v>
      </c>
      <c r="AY30" s="397">
        <f t="shared" ca="1" si="128"/>
        <v>-3.4562019595111175E-2</v>
      </c>
      <c r="AZ30" s="397">
        <f t="shared" ca="1" si="128"/>
        <v>-3.4562019595111175E-2</v>
      </c>
      <c r="BA30" s="397">
        <f t="shared" ca="1" si="128"/>
        <v>-3.4562019595111175E-2</v>
      </c>
      <c r="BB30" s="397">
        <f t="shared" ca="1" si="128"/>
        <v>-3.4562019595111175E-2</v>
      </c>
      <c r="BC30" s="397">
        <f t="shared" ca="1" si="128"/>
        <v>-3.4562019595111175E-2</v>
      </c>
      <c r="BD30" s="397">
        <f t="shared" ca="1" si="128"/>
        <v>-3.4562019595111175E-2</v>
      </c>
      <c r="BE30" s="397">
        <f t="shared" ca="1" si="128"/>
        <v>-3.4562019595111175E-2</v>
      </c>
      <c r="BF30" s="397">
        <f t="shared" ca="1" si="128"/>
        <v>-3.4562019595111175E-2</v>
      </c>
      <c r="BG30" s="397">
        <f t="shared" ca="1" si="128"/>
        <v>-3.4562019595111175E-2</v>
      </c>
      <c r="BH30" s="397">
        <f t="shared" ca="1" si="128"/>
        <v>-3.4562019595111175E-2</v>
      </c>
      <c r="BI30" s="397">
        <f t="shared" ca="1" si="128"/>
        <v>-3.4562019595111175E-2</v>
      </c>
      <c r="BJ30" s="397">
        <f t="shared" ca="1" si="128"/>
        <v>-3.4562019595111175E-2</v>
      </c>
      <c r="BK30" s="397">
        <f t="shared" ca="1" si="128"/>
        <v>-3.4562019595111175E-2</v>
      </c>
      <c r="BL30" s="397">
        <f t="shared" ca="1" si="128"/>
        <v>-3.4562019595111175E-2</v>
      </c>
      <c r="BM30" s="397">
        <f t="shared" ca="1" si="128"/>
        <v>-3.4562019595111175E-2</v>
      </c>
      <c r="BN30" s="397">
        <f t="shared" ca="1" si="128"/>
        <v>-3.4562019595111175E-2</v>
      </c>
      <c r="BO30" s="397">
        <f t="shared" ca="1" si="128"/>
        <v>-3.4562019595111175E-2</v>
      </c>
      <c r="BP30" s="397">
        <f t="shared" ca="1" si="128"/>
        <v>-3.4562019595111175E-2</v>
      </c>
      <c r="BQ30" s="397">
        <f t="shared" ref="BQ30:CL30" ca="1" si="129">(BQ29-INDEX($E26:$CL29,4,MATCH($B$5,$E26:$CL26,0)))/(INDEX($E26:$CL29,4,MATCH($B$4,$E26:$CL26,0))-INDEX($E26:$CL29,4,MATCH($B$5,$E26:$CL26,0)))</f>
        <v>-3.4562019595111175E-2</v>
      </c>
      <c r="BR30" s="397">
        <f t="shared" ca="1" si="129"/>
        <v>-3.4562019595111175E-2</v>
      </c>
      <c r="BS30" s="397">
        <f t="shared" ca="1" si="129"/>
        <v>-3.4562019595111175E-2</v>
      </c>
      <c r="BT30" s="397">
        <f t="shared" ca="1" si="129"/>
        <v>-3.4562019595111175E-2</v>
      </c>
      <c r="BU30" s="397">
        <f t="shared" ca="1" si="129"/>
        <v>-3.4562019595111175E-2</v>
      </c>
      <c r="BV30" s="397">
        <f t="shared" ca="1" si="129"/>
        <v>-3.4562019595111175E-2</v>
      </c>
      <c r="BW30" s="397">
        <f t="shared" ca="1" si="129"/>
        <v>-3.4562019595111175E-2</v>
      </c>
      <c r="BX30" s="397">
        <f t="shared" ca="1" si="129"/>
        <v>-3.4562019595111175E-2</v>
      </c>
      <c r="BY30" s="397">
        <f t="shared" ca="1" si="129"/>
        <v>-3.4562019595111175E-2</v>
      </c>
      <c r="BZ30" s="397">
        <f t="shared" ca="1" si="129"/>
        <v>-3.4562019595111175E-2</v>
      </c>
      <c r="CA30" s="397">
        <f t="shared" ca="1" si="129"/>
        <v>-3.4562019595111175E-2</v>
      </c>
      <c r="CB30" s="397">
        <f t="shared" ca="1" si="129"/>
        <v>-3.4562019595111175E-2</v>
      </c>
      <c r="CC30" s="397">
        <f t="shared" ca="1" si="129"/>
        <v>-3.4562019595111175E-2</v>
      </c>
      <c r="CD30" s="397">
        <f t="shared" ca="1" si="129"/>
        <v>-3.4562019595111175E-2</v>
      </c>
      <c r="CE30" s="397">
        <f t="shared" ca="1" si="129"/>
        <v>-3.4562019595111175E-2</v>
      </c>
      <c r="CF30" s="397">
        <f t="shared" ca="1" si="129"/>
        <v>-3.4562019595111175E-2</v>
      </c>
      <c r="CG30" s="397">
        <f t="shared" ca="1" si="129"/>
        <v>-3.4562019595111175E-2</v>
      </c>
      <c r="CH30" s="397">
        <f t="shared" ca="1" si="129"/>
        <v>-3.4562019595111175E-2</v>
      </c>
      <c r="CI30" s="397">
        <f t="shared" ca="1" si="129"/>
        <v>-3.4562019595111175E-2</v>
      </c>
      <c r="CJ30" s="397">
        <f t="shared" ca="1" si="129"/>
        <v>-3.4562019595111175E-2</v>
      </c>
      <c r="CK30" s="397">
        <f t="shared" ca="1" si="129"/>
        <v>-3.4562019595111175E-2</v>
      </c>
      <c r="CL30" s="397">
        <f t="shared" ca="1" si="129"/>
        <v>-3.4562019595111175E-2</v>
      </c>
      <c r="CN30" s="398"/>
      <c r="CO30" s="398"/>
      <c r="CP30" s="398"/>
    </row>
    <row r="31" spans="1:94" hidden="1" outlineLevel="1">
      <c r="A31" s="399"/>
      <c r="B31" s="399" t="s">
        <v>28</v>
      </c>
      <c r="C31" s="399" t="s">
        <v>316</v>
      </c>
      <c r="D31" s="399" t="s">
        <v>317</v>
      </c>
      <c r="E31" s="401">
        <f t="shared" ref="E31:AJ31" ca="1" si="130">INDEX($E26:$CL29,4,MATCH($B$5,$E26:$CL26,0))</f>
        <v>19.541854461001638</v>
      </c>
      <c r="F31" s="402">
        <f t="shared" ca="1" si="130"/>
        <v>19.541854461001638</v>
      </c>
      <c r="G31" s="402">
        <f t="shared" ca="1" si="130"/>
        <v>19.541854461001638</v>
      </c>
      <c r="H31" s="402">
        <f t="shared" ca="1" si="130"/>
        <v>19.541854461001638</v>
      </c>
      <c r="I31" s="402">
        <f t="shared" ca="1" si="130"/>
        <v>19.541854461001638</v>
      </c>
      <c r="J31" s="402">
        <f t="shared" ca="1" si="130"/>
        <v>19.541854461001638</v>
      </c>
      <c r="K31" s="402">
        <f t="shared" ca="1" si="130"/>
        <v>19.541854461001638</v>
      </c>
      <c r="L31" s="402">
        <f t="shared" ca="1" si="130"/>
        <v>19.541854461001638</v>
      </c>
      <c r="M31" s="402">
        <f t="shared" ca="1" si="130"/>
        <v>19.541854461001638</v>
      </c>
      <c r="N31" s="402">
        <f t="shared" ca="1" si="130"/>
        <v>19.541854461001638</v>
      </c>
      <c r="O31" s="402">
        <f t="shared" ca="1" si="130"/>
        <v>19.541854461001638</v>
      </c>
      <c r="P31" s="402">
        <f t="shared" ca="1" si="130"/>
        <v>19.541854461001638</v>
      </c>
      <c r="Q31" s="402">
        <f t="shared" ca="1" si="130"/>
        <v>19.541854461001638</v>
      </c>
      <c r="R31" s="402">
        <f t="shared" ca="1" si="130"/>
        <v>19.541854461001638</v>
      </c>
      <c r="S31" s="402">
        <f t="shared" ca="1" si="130"/>
        <v>19.541854461001638</v>
      </c>
      <c r="T31" s="402">
        <f t="shared" ca="1" si="130"/>
        <v>19.541854461001638</v>
      </c>
      <c r="U31" s="402">
        <f t="shared" ca="1" si="130"/>
        <v>19.541854461001638</v>
      </c>
      <c r="V31" s="402">
        <f t="shared" ca="1" si="130"/>
        <v>19.541854461001638</v>
      </c>
      <c r="W31" s="402">
        <f t="shared" ca="1" si="130"/>
        <v>19.541854461001638</v>
      </c>
      <c r="X31" s="402">
        <f t="shared" ca="1" si="130"/>
        <v>19.541854461001638</v>
      </c>
      <c r="Y31" s="402">
        <f t="shared" ca="1" si="130"/>
        <v>19.541854461001638</v>
      </c>
      <c r="Z31" s="402">
        <f t="shared" ca="1" si="130"/>
        <v>19.541854461001638</v>
      </c>
      <c r="AA31" s="402">
        <f t="shared" ca="1" si="130"/>
        <v>19.541854461001638</v>
      </c>
      <c r="AB31" s="402">
        <f t="shared" ca="1" si="130"/>
        <v>19.541854461001638</v>
      </c>
      <c r="AC31" s="402">
        <f t="shared" ca="1" si="130"/>
        <v>19.541854461001638</v>
      </c>
      <c r="AD31" s="402">
        <f t="shared" ca="1" si="130"/>
        <v>19.541854461001638</v>
      </c>
      <c r="AE31" s="402">
        <f t="shared" ca="1" si="130"/>
        <v>19.541854461001638</v>
      </c>
      <c r="AF31" s="402">
        <f t="shared" ca="1" si="130"/>
        <v>19.541854461001638</v>
      </c>
      <c r="AG31" s="402">
        <f t="shared" ca="1" si="130"/>
        <v>19.541854461001638</v>
      </c>
      <c r="AH31" s="402">
        <f t="shared" ca="1" si="130"/>
        <v>19.541854461001638</v>
      </c>
      <c r="AI31" s="402">
        <f t="shared" ca="1" si="130"/>
        <v>19.541854461001638</v>
      </c>
      <c r="AJ31" s="402">
        <f t="shared" ca="1" si="130"/>
        <v>19.541854461001638</v>
      </c>
      <c r="AK31" s="402">
        <f t="shared" ref="AK31:BP31" ca="1" si="131">INDEX($E26:$CL29,4,MATCH($B$5,$E26:$CL26,0))</f>
        <v>19.541854461001638</v>
      </c>
      <c r="AL31" s="402">
        <f t="shared" ca="1" si="131"/>
        <v>19.541854461001638</v>
      </c>
      <c r="AM31" s="402">
        <f t="shared" ca="1" si="131"/>
        <v>19.541854461001638</v>
      </c>
      <c r="AN31" s="402">
        <f t="shared" ca="1" si="131"/>
        <v>19.541854461001638</v>
      </c>
      <c r="AO31" s="402">
        <f t="shared" ca="1" si="131"/>
        <v>19.541854461001638</v>
      </c>
      <c r="AP31" s="402">
        <f t="shared" ca="1" si="131"/>
        <v>19.541854461001638</v>
      </c>
      <c r="AQ31" s="402">
        <f t="shared" ca="1" si="131"/>
        <v>19.541854461001638</v>
      </c>
      <c r="AR31" s="402">
        <f t="shared" ca="1" si="131"/>
        <v>19.541854461001638</v>
      </c>
      <c r="AS31" s="402">
        <f t="shared" ca="1" si="131"/>
        <v>19.541854461001638</v>
      </c>
      <c r="AT31" s="402">
        <f t="shared" ca="1" si="131"/>
        <v>19.541854461001638</v>
      </c>
      <c r="AU31" s="402">
        <f t="shared" ca="1" si="131"/>
        <v>19.541854461001638</v>
      </c>
      <c r="AV31" s="402">
        <f t="shared" ca="1" si="131"/>
        <v>19.541854461001638</v>
      </c>
      <c r="AW31" s="402">
        <f t="shared" ca="1" si="131"/>
        <v>19.541854461001638</v>
      </c>
      <c r="AX31" s="402">
        <f t="shared" ca="1" si="131"/>
        <v>19.541854461001638</v>
      </c>
      <c r="AY31" s="402">
        <f t="shared" ca="1" si="131"/>
        <v>19.541854461001638</v>
      </c>
      <c r="AZ31" s="402">
        <f t="shared" ca="1" si="131"/>
        <v>19.541854461001638</v>
      </c>
      <c r="BA31" s="402">
        <f t="shared" ca="1" si="131"/>
        <v>19.541854461001638</v>
      </c>
      <c r="BB31" s="402">
        <f t="shared" ca="1" si="131"/>
        <v>19.541854461001638</v>
      </c>
      <c r="BC31" s="402">
        <f t="shared" ca="1" si="131"/>
        <v>19.541854461001638</v>
      </c>
      <c r="BD31" s="402">
        <f t="shared" ca="1" si="131"/>
        <v>19.541854461001638</v>
      </c>
      <c r="BE31" s="402">
        <f t="shared" ca="1" si="131"/>
        <v>19.541854461001638</v>
      </c>
      <c r="BF31" s="402">
        <f t="shared" ca="1" si="131"/>
        <v>19.541854461001638</v>
      </c>
      <c r="BG31" s="402">
        <f t="shared" ca="1" si="131"/>
        <v>19.541854461001638</v>
      </c>
      <c r="BH31" s="402">
        <f t="shared" ca="1" si="131"/>
        <v>19.541854461001638</v>
      </c>
      <c r="BI31" s="402">
        <f t="shared" ca="1" si="131"/>
        <v>19.541854461001638</v>
      </c>
      <c r="BJ31" s="402">
        <f t="shared" ca="1" si="131"/>
        <v>19.541854461001638</v>
      </c>
      <c r="BK31" s="402">
        <f t="shared" ca="1" si="131"/>
        <v>19.541854461001638</v>
      </c>
      <c r="BL31" s="402">
        <f t="shared" ca="1" si="131"/>
        <v>19.541854461001638</v>
      </c>
      <c r="BM31" s="402">
        <f t="shared" ca="1" si="131"/>
        <v>19.541854461001638</v>
      </c>
      <c r="BN31" s="402">
        <f t="shared" ca="1" si="131"/>
        <v>19.541854461001638</v>
      </c>
      <c r="BO31" s="402">
        <f t="shared" ca="1" si="131"/>
        <v>19.541854461001638</v>
      </c>
      <c r="BP31" s="402">
        <f t="shared" ca="1" si="131"/>
        <v>19.541854461001638</v>
      </c>
      <c r="BQ31" s="402">
        <f t="shared" ref="BQ31:CL31" ca="1" si="132">INDEX($E26:$CL29,4,MATCH($B$5,$E26:$CL26,0))</f>
        <v>19.541854461001638</v>
      </c>
      <c r="BR31" s="402">
        <f t="shared" ca="1" si="132"/>
        <v>19.541854461001638</v>
      </c>
      <c r="BS31" s="402">
        <f t="shared" ca="1" si="132"/>
        <v>19.541854461001638</v>
      </c>
      <c r="BT31" s="402">
        <f t="shared" ca="1" si="132"/>
        <v>19.541854461001638</v>
      </c>
      <c r="BU31" s="402">
        <f t="shared" ca="1" si="132"/>
        <v>19.541854461001638</v>
      </c>
      <c r="BV31" s="402">
        <f t="shared" ca="1" si="132"/>
        <v>19.541854461001638</v>
      </c>
      <c r="BW31" s="402">
        <f t="shared" ca="1" si="132"/>
        <v>19.541854461001638</v>
      </c>
      <c r="BX31" s="402">
        <f t="shared" ca="1" si="132"/>
        <v>19.541854461001638</v>
      </c>
      <c r="BY31" s="402">
        <f t="shared" ca="1" si="132"/>
        <v>19.541854461001638</v>
      </c>
      <c r="BZ31" s="402">
        <f t="shared" ca="1" si="132"/>
        <v>19.541854461001638</v>
      </c>
      <c r="CA31" s="402">
        <f t="shared" ca="1" si="132"/>
        <v>19.541854461001638</v>
      </c>
      <c r="CB31" s="402">
        <f t="shared" ca="1" si="132"/>
        <v>19.541854461001638</v>
      </c>
      <c r="CC31" s="402">
        <f t="shared" ca="1" si="132"/>
        <v>19.541854461001638</v>
      </c>
      <c r="CD31" s="402">
        <f t="shared" ca="1" si="132"/>
        <v>19.541854461001638</v>
      </c>
      <c r="CE31" s="402">
        <f t="shared" ca="1" si="132"/>
        <v>19.541854461001638</v>
      </c>
      <c r="CF31" s="402">
        <f t="shared" ca="1" si="132"/>
        <v>19.541854461001638</v>
      </c>
      <c r="CG31" s="402">
        <f t="shared" ca="1" si="132"/>
        <v>19.541854461001638</v>
      </c>
      <c r="CH31" s="402">
        <f t="shared" ca="1" si="132"/>
        <v>19.541854461001638</v>
      </c>
      <c r="CI31" s="402">
        <f t="shared" ca="1" si="132"/>
        <v>19.541854461001638</v>
      </c>
      <c r="CJ31" s="402">
        <f t="shared" ca="1" si="132"/>
        <v>19.541854461001638</v>
      </c>
      <c r="CK31" s="402">
        <f t="shared" ca="1" si="132"/>
        <v>19.541854461001638</v>
      </c>
      <c r="CL31" s="402">
        <f t="shared" ca="1" si="132"/>
        <v>19.541854461001638</v>
      </c>
      <c r="CN31" s="398"/>
      <c r="CO31" s="398"/>
      <c r="CP31" s="398"/>
    </row>
    <row r="32" spans="1:94" hidden="1" outlineLevel="1">
      <c r="A32" s="403" t="s">
        <v>255</v>
      </c>
      <c r="B32" s="403" t="s">
        <v>260</v>
      </c>
      <c r="C32" s="403" t="s">
        <v>318</v>
      </c>
      <c r="D32" s="403"/>
      <c r="E32" s="404" t="str">
        <f t="shared" ref="E32:AJ32" si="133">IF(E26=base,dle,"")</f>
        <v/>
      </c>
      <c r="F32" s="405" t="str">
        <f t="shared" si="133"/>
        <v/>
      </c>
      <c r="G32" s="405" t="str">
        <f t="shared" si="133"/>
        <v/>
      </c>
      <c r="H32" s="405" t="str">
        <f t="shared" si="133"/>
        <v/>
      </c>
      <c r="I32" s="405">
        <f t="shared" si="133"/>
        <v>0</v>
      </c>
      <c r="J32" s="405" t="str">
        <f t="shared" si="133"/>
        <v/>
      </c>
      <c r="K32" s="405" t="str">
        <f t="shared" si="133"/>
        <v/>
      </c>
      <c r="L32" s="405" t="str">
        <f t="shared" si="133"/>
        <v/>
      </c>
      <c r="M32" s="405" t="str">
        <f t="shared" si="133"/>
        <v/>
      </c>
      <c r="N32" s="405" t="str">
        <f t="shared" si="133"/>
        <v/>
      </c>
      <c r="O32" s="405" t="str">
        <f t="shared" si="133"/>
        <v/>
      </c>
      <c r="P32" s="405" t="str">
        <f t="shared" si="133"/>
        <v/>
      </c>
      <c r="Q32" s="405" t="str">
        <f t="shared" si="133"/>
        <v/>
      </c>
      <c r="R32" s="405" t="str">
        <f t="shared" si="133"/>
        <v/>
      </c>
      <c r="S32" s="405" t="str">
        <f t="shared" si="133"/>
        <v/>
      </c>
      <c r="T32" s="405" t="str">
        <f t="shared" si="133"/>
        <v/>
      </c>
      <c r="U32" s="405" t="str">
        <f t="shared" si="133"/>
        <v/>
      </c>
      <c r="V32" s="405" t="str">
        <f t="shared" si="133"/>
        <v/>
      </c>
      <c r="W32" s="405" t="str">
        <f t="shared" si="133"/>
        <v/>
      </c>
      <c r="X32" s="405" t="str">
        <f t="shared" si="133"/>
        <v/>
      </c>
      <c r="Y32" s="405" t="str">
        <f t="shared" si="133"/>
        <v/>
      </c>
      <c r="Z32" s="405" t="str">
        <f t="shared" si="133"/>
        <v/>
      </c>
      <c r="AA32" s="405" t="str">
        <f t="shared" si="133"/>
        <v/>
      </c>
      <c r="AB32" s="405" t="str">
        <f t="shared" si="133"/>
        <v/>
      </c>
      <c r="AC32" s="405" t="str">
        <f t="shared" si="133"/>
        <v/>
      </c>
      <c r="AD32" s="405" t="str">
        <f t="shared" si="133"/>
        <v/>
      </c>
      <c r="AE32" s="405" t="str">
        <f t="shared" si="133"/>
        <v/>
      </c>
      <c r="AF32" s="405" t="str">
        <f t="shared" si="133"/>
        <v/>
      </c>
      <c r="AG32" s="405" t="str">
        <f t="shared" si="133"/>
        <v/>
      </c>
      <c r="AH32" s="405" t="str">
        <f t="shared" si="133"/>
        <v/>
      </c>
      <c r="AI32" s="405" t="str">
        <f t="shared" si="133"/>
        <v/>
      </c>
      <c r="AJ32" s="405" t="str">
        <f t="shared" si="133"/>
        <v/>
      </c>
      <c r="AK32" s="405" t="str">
        <f t="shared" ref="AK32:BP32" si="134">IF(AK26=base,dle,"")</f>
        <v/>
      </c>
      <c r="AL32" s="405" t="str">
        <f t="shared" si="134"/>
        <v/>
      </c>
      <c r="AM32" s="405" t="str">
        <f t="shared" si="134"/>
        <v/>
      </c>
      <c r="AN32" s="405" t="str">
        <f t="shared" si="134"/>
        <v/>
      </c>
      <c r="AO32" s="405" t="str">
        <f t="shared" si="134"/>
        <v/>
      </c>
      <c r="AP32" s="405" t="str">
        <f t="shared" si="134"/>
        <v/>
      </c>
      <c r="AQ32" s="405" t="str">
        <f t="shared" si="134"/>
        <v/>
      </c>
      <c r="AR32" s="405" t="str">
        <f t="shared" si="134"/>
        <v/>
      </c>
      <c r="AS32" s="405" t="str">
        <f t="shared" si="134"/>
        <v/>
      </c>
      <c r="AT32" s="405" t="str">
        <f t="shared" si="134"/>
        <v/>
      </c>
      <c r="AU32" s="405" t="str">
        <f t="shared" si="134"/>
        <v/>
      </c>
      <c r="AV32" s="405" t="str">
        <f t="shared" si="134"/>
        <v/>
      </c>
      <c r="AW32" s="405" t="str">
        <f t="shared" si="134"/>
        <v/>
      </c>
      <c r="AX32" s="405" t="str">
        <f t="shared" si="134"/>
        <v/>
      </c>
      <c r="AY32" s="405" t="str">
        <f t="shared" si="134"/>
        <v/>
      </c>
      <c r="AZ32" s="405" t="str">
        <f t="shared" si="134"/>
        <v/>
      </c>
      <c r="BA32" s="405" t="str">
        <f t="shared" si="134"/>
        <v/>
      </c>
      <c r="BB32" s="405" t="str">
        <f t="shared" si="134"/>
        <v/>
      </c>
      <c r="BC32" s="405" t="str">
        <f t="shared" si="134"/>
        <v/>
      </c>
      <c r="BD32" s="405" t="str">
        <f t="shared" si="134"/>
        <v/>
      </c>
      <c r="BE32" s="405" t="str">
        <f t="shared" si="134"/>
        <v/>
      </c>
      <c r="BF32" s="405" t="str">
        <f t="shared" si="134"/>
        <v/>
      </c>
      <c r="BG32" s="405" t="str">
        <f t="shared" si="134"/>
        <v/>
      </c>
      <c r="BH32" s="405" t="str">
        <f t="shared" si="134"/>
        <v/>
      </c>
      <c r="BI32" s="405" t="str">
        <f t="shared" si="134"/>
        <v/>
      </c>
      <c r="BJ32" s="405" t="str">
        <f t="shared" si="134"/>
        <v/>
      </c>
      <c r="BK32" s="405" t="str">
        <f t="shared" si="134"/>
        <v/>
      </c>
      <c r="BL32" s="405" t="str">
        <f t="shared" si="134"/>
        <v/>
      </c>
      <c r="BM32" s="405" t="str">
        <f t="shared" si="134"/>
        <v/>
      </c>
      <c r="BN32" s="405" t="str">
        <f t="shared" si="134"/>
        <v/>
      </c>
      <c r="BO32" s="405" t="str">
        <f t="shared" si="134"/>
        <v/>
      </c>
      <c r="BP32" s="405" t="str">
        <f t="shared" si="134"/>
        <v/>
      </c>
      <c r="BQ32" s="405" t="str">
        <f t="shared" ref="BQ32:CL32" si="135">IF(BQ26=base,dle,"")</f>
        <v/>
      </c>
      <c r="BR32" s="405" t="str">
        <f t="shared" si="135"/>
        <v/>
      </c>
      <c r="BS32" s="405" t="str">
        <f t="shared" si="135"/>
        <v/>
      </c>
      <c r="BT32" s="405" t="str">
        <f t="shared" si="135"/>
        <v/>
      </c>
      <c r="BU32" s="405" t="str">
        <f t="shared" si="135"/>
        <v/>
      </c>
      <c r="BV32" s="405" t="str">
        <f t="shared" si="135"/>
        <v/>
      </c>
      <c r="BW32" s="405" t="str">
        <f t="shared" si="135"/>
        <v/>
      </c>
      <c r="BX32" s="405" t="str">
        <f t="shared" si="135"/>
        <v/>
      </c>
      <c r="BY32" s="405" t="str">
        <f t="shared" si="135"/>
        <v/>
      </c>
      <c r="BZ32" s="405" t="str">
        <f t="shared" si="135"/>
        <v/>
      </c>
      <c r="CA32" s="405" t="str">
        <f t="shared" si="135"/>
        <v/>
      </c>
      <c r="CB32" s="405" t="str">
        <f t="shared" si="135"/>
        <v/>
      </c>
      <c r="CC32" s="405" t="str">
        <f t="shared" si="135"/>
        <v/>
      </c>
      <c r="CD32" s="405" t="str">
        <f t="shared" si="135"/>
        <v/>
      </c>
      <c r="CE32" s="405" t="str">
        <f t="shared" si="135"/>
        <v/>
      </c>
      <c r="CF32" s="405" t="str">
        <f t="shared" si="135"/>
        <v/>
      </c>
      <c r="CG32" s="405" t="str">
        <f t="shared" si="135"/>
        <v/>
      </c>
      <c r="CH32" s="405" t="str">
        <f t="shared" si="135"/>
        <v/>
      </c>
      <c r="CI32" s="405" t="str">
        <f t="shared" si="135"/>
        <v/>
      </c>
      <c r="CJ32" s="405" t="str">
        <f t="shared" si="135"/>
        <v/>
      </c>
      <c r="CK32" s="405" t="str">
        <f t="shared" si="135"/>
        <v/>
      </c>
      <c r="CL32" s="405" t="str">
        <f t="shared" si="135"/>
        <v/>
      </c>
      <c r="CN32" s="406" t="str">
        <f t="shared" ref="CN32:CN41" si="136">IFERROR((Y32/H32)^(1/17)-1,"")</f>
        <v/>
      </c>
      <c r="CO32" s="406" t="str">
        <f t="shared" ref="CO32:CO41" si="137">IFERROR((AN32/Y32)^(1/15)-1,"")</f>
        <v/>
      </c>
      <c r="CP32" s="406" t="str">
        <f t="shared" ref="CP32:CP41" si="138">IFERROR((AN32/H32)^(1/32)-1,"")</f>
        <v/>
      </c>
    </row>
    <row r="33" spans="1:94" hidden="1" outlineLevel="1">
      <c r="A33" s="400" t="s">
        <v>255</v>
      </c>
      <c r="B33" s="400" t="s">
        <v>259</v>
      </c>
      <c r="C33" s="400" t="s">
        <v>319</v>
      </c>
      <c r="D33" s="400"/>
      <c r="E33" s="413" t="e">
        <f t="shared" ref="E33:AJ33" si="139">IF(E8&lt;sector_base,NA(),IFERROR(IF(activity_approach="Input Activity Data Manually",IF(E8=base,dla,IF(E8=target,dlf,D33+((dlf-dla)/(target-base)))),dla*(1+f_CAGR)^(E8-base)),""))</f>
        <v>#N/A</v>
      </c>
      <c r="F33" s="407" t="e">
        <f t="shared" si="139"/>
        <v>#N/A</v>
      </c>
      <c r="G33" s="407" t="e">
        <f t="shared" si="139"/>
        <v>#N/A</v>
      </c>
      <c r="H33" s="407" t="e">
        <f t="shared" si="139"/>
        <v>#N/A</v>
      </c>
      <c r="I33" s="407">
        <f t="shared" si="139"/>
        <v>0</v>
      </c>
      <c r="J33" s="407">
        <f t="shared" si="139"/>
        <v>0</v>
      </c>
      <c r="K33" s="407">
        <f t="shared" si="139"/>
        <v>0</v>
      </c>
      <c r="L33" s="407">
        <f t="shared" si="139"/>
        <v>0</v>
      </c>
      <c r="M33" s="407">
        <f t="shared" si="139"/>
        <v>0</v>
      </c>
      <c r="N33" s="407">
        <f t="shared" si="139"/>
        <v>0</v>
      </c>
      <c r="O33" s="407">
        <f t="shared" si="139"/>
        <v>0</v>
      </c>
      <c r="P33" s="407">
        <f t="shared" si="139"/>
        <v>0</v>
      </c>
      <c r="Q33" s="407">
        <f t="shared" si="139"/>
        <v>0</v>
      </c>
      <c r="R33" s="407">
        <f t="shared" si="139"/>
        <v>0</v>
      </c>
      <c r="S33" s="407">
        <f t="shared" si="139"/>
        <v>0</v>
      </c>
      <c r="T33" s="407">
        <f t="shared" si="139"/>
        <v>0</v>
      </c>
      <c r="U33" s="407">
        <f t="shared" si="139"/>
        <v>0</v>
      </c>
      <c r="V33" s="407">
        <f t="shared" si="139"/>
        <v>0</v>
      </c>
      <c r="W33" s="407">
        <f t="shared" si="139"/>
        <v>0</v>
      </c>
      <c r="X33" s="407">
        <f t="shared" si="139"/>
        <v>0</v>
      </c>
      <c r="Y33" s="407">
        <f t="shared" si="139"/>
        <v>0</v>
      </c>
      <c r="Z33" s="407">
        <f t="shared" si="139"/>
        <v>0</v>
      </c>
      <c r="AA33" s="407">
        <f t="shared" si="139"/>
        <v>0</v>
      </c>
      <c r="AB33" s="407">
        <f t="shared" si="139"/>
        <v>0</v>
      </c>
      <c r="AC33" s="407">
        <f t="shared" si="139"/>
        <v>0</v>
      </c>
      <c r="AD33" s="407">
        <f t="shared" si="139"/>
        <v>0</v>
      </c>
      <c r="AE33" s="407">
        <f t="shared" si="139"/>
        <v>0</v>
      </c>
      <c r="AF33" s="407">
        <f t="shared" si="139"/>
        <v>0</v>
      </c>
      <c r="AG33" s="407">
        <f t="shared" si="139"/>
        <v>0</v>
      </c>
      <c r="AH33" s="407">
        <f t="shared" si="139"/>
        <v>0</v>
      </c>
      <c r="AI33" s="407">
        <f t="shared" si="139"/>
        <v>0</v>
      </c>
      <c r="AJ33" s="407">
        <f t="shared" si="139"/>
        <v>0</v>
      </c>
      <c r="AK33" s="407">
        <f t="shared" ref="AK33:BP33" si="140">IF(AK8&lt;sector_base,NA(),IFERROR(IF(activity_approach="Input Activity Data Manually",IF(AK8=base,dla,IF(AK8=target,dlf,AJ33+((dlf-dla)/(target-base)))),dla*(1+f_CAGR)^(AK8-base)),""))</f>
        <v>0</v>
      </c>
      <c r="AL33" s="407">
        <f t="shared" si="140"/>
        <v>0</v>
      </c>
      <c r="AM33" s="407">
        <f t="shared" si="140"/>
        <v>0</v>
      </c>
      <c r="AN33" s="407">
        <f t="shared" si="140"/>
        <v>0</v>
      </c>
      <c r="AO33" s="407">
        <f t="shared" si="140"/>
        <v>0</v>
      </c>
      <c r="AP33" s="407">
        <f t="shared" si="140"/>
        <v>0</v>
      </c>
      <c r="AQ33" s="407">
        <f t="shared" si="140"/>
        <v>0</v>
      </c>
      <c r="AR33" s="407">
        <f t="shared" si="140"/>
        <v>0</v>
      </c>
      <c r="AS33" s="407">
        <f t="shared" si="140"/>
        <v>0</v>
      </c>
      <c r="AT33" s="407">
        <f t="shared" si="140"/>
        <v>0</v>
      </c>
      <c r="AU33" s="407">
        <f t="shared" si="140"/>
        <v>0</v>
      </c>
      <c r="AV33" s="407">
        <f t="shared" si="140"/>
        <v>0</v>
      </c>
      <c r="AW33" s="407">
        <f t="shared" si="140"/>
        <v>0</v>
      </c>
      <c r="AX33" s="407">
        <f t="shared" si="140"/>
        <v>0</v>
      </c>
      <c r="AY33" s="407">
        <f t="shared" si="140"/>
        <v>0</v>
      </c>
      <c r="AZ33" s="407">
        <f t="shared" si="140"/>
        <v>0</v>
      </c>
      <c r="BA33" s="407">
        <f t="shared" si="140"/>
        <v>0</v>
      </c>
      <c r="BB33" s="407">
        <f t="shared" si="140"/>
        <v>0</v>
      </c>
      <c r="BC33" s="407">
        <f t="shared" si="140"/>
        <v>0</v>
      </c>
      <c r="BD33" s="407">
        <f t="shared" si="140"/>
        <v>0</v>
      </c>
      <c r="BE33" s="407">
        <f t="shared" si="140"/>
        <v>0</v>
      </c>
      <c r="BF33" s="407">
        <f t="shared" si="140"/>
        <v>0</v>
      </c>
      <c r="BG33" s="407">
        <f t="shared" si="140"/>
        <v>0</v>
      </c>
      <c r="BH33" s="407">
        <f t="shared" si="140"/>
        <v>0</v>
      </c>
      <c r="BI33" s="407">
        <f t="shared" si="140"/>
        <v>0</v>
      </c>
      <c r="BJ33" s="407">
        <f t="shared" si="140"/>
        <v>0</v>
      </c>
      <c r="BK33" s="407">
        <f t="shared" si="140"/>
        <v>0</v>
      </c>
      <c r="BL33" s="407">
        <f t="shared" si="140"/>
        <v>0</v>
      </c>
      <c r="BM33" s="407">
        <f t="shared" si="140"/>
        <v>0</v>
      </c>
      <c r="BN33" s="407">
        <f t="shared" si="140"/>
        <v>0</v>
      </c>
      <c r="BO33" s="407">
        <f t="shared" si="140"/>
        <v>0</v>
      </c>
      <c r="BP33" s="407">
        <f t="shared" si="140"/>
        <v>0</v>
      </c>
      <c r="BQ33" s="407">
        <f t="shared" ref="BQ33:CL33" si="141">IF(BQ8&lt;sector_base,NA(),IFERROR(IF(activity_approach="Input Activity Data Manually",IF(BQ8=base,dla,IF(BQ8=target,dlf,BP33+((dlf-dla)/(target-base)))),dla*(1+f_CAGR)^(BQ8-base)),""))</f>
        <v>0</v>
      </c>
      <c r="BR33" s="407">
        <f t="shared" si="141"/>
        <v>0</v>
      </c>
      <c r="BS33" s="407">
        <f t="shared" si="141"/>
        <v>0</v>
      </c>
      <c r="BT33" s="407">
        <f t="shared" si="141"/>
        <v>0</v>
      </c>
      <c r="BU33" s="407">
        <f t="shared" si="141"/>
        <v>0</v>
      </c>
      <c r="BV33" s="407">
        <f t="shared" si="141"/>
        <v>0</v>
      </c>
      <c r="BW33" s="407">
        <f t="shared" si="141"/>
        <v>0</v>
      </c>
      <c r="BX33" s="407">
        <f t="shared" si="141"/>
        <v>0</v>
      </c>
      <c r="BY33" s="407">
        <f t="shared" si="141"/>
        <v>0</v>
      </c>
      <c r="BZ33" s="407">
        <f t="shared" si="141"/>
        <v>0</v>
      </c>
      <c r="CA33" s="407">
        <f t="shared" si="141"/>
        <v>0</v>
      </c>
      <c r="CB33" s="407">
        <f t="shared" si="141"/>
        <v>0</v>
      </c>
      <c r="CC33" s="407">
        <f t="shared" si="141"/>
        <v>0</v>
      </c>
      <c r="CD33" s="407">
        <f t="shared" si="141"/>
        <v>0</v>
      </c>
      <c r="CE33" s="407">
        <f t="shared" si="141"/>
        <v>0</v>
      </c>
      <c r="CF33" s="407">
        <f t="shared" si="141"/>
        <v>0</v>
      </c>
      <c r="CG33" s="407">
        <f t="shared" si="141"/>
        <v>0</v>
      </c>
      <c r="CH33" s="407">
        <f t="shared" si="141"/>
        <v>0</v>
      </c>
      <c r="CI33" s="407">
        <f t="shared" si="141"/>
        <v>0</v>
      </c>
      <c r="CJ33" s="407">
        <f t="shared" si="141"/>
        <v>0</v>
      </c>
      <c r="CK33" s="407">
        <f t="shared" si="141"/>
        <v>0</v>
      </c>
      <c r="CL33" s="407">
        <f t="shared" si="141"/>
        <v>0</v>
      </c>
      <c r="CN33" s="408" t="str">
        <f t="shared" si="136"/>
        <v/>
      </c>
      <c r="CO33" s="408" t="str">
        <f t="shared" si="137"/>
        <v/>
      </c>
      <c r="CP33" s="408" t="str">
        <f t="shared" si="138"/>
        <v/>
      </c>
    </row>
    <row r="34" spans="1:94" hidden="1" outlineLevel="1">
      <c r="A34" s="400" t="s">
        <v>255</v>
      </c>
      <c r="B34" s="400" t="s">
        <v>258</v>
      </c>
      <c r="C34" s="400" t="s">
        <v>320</v>
      </c>
      <c r="D34" s="400" t="s">
        <v>321</v>
      </c>
      <c r="E34" s="409" t="str">
        <f>IFERROR((E32/E33)*1000,"")</f>
        <v/>
      </c>
      <c r="F34" s="390" t="str">
        <f t="shared" ref="F34" si="142">IFERROR((F32/F33)*1000,"")</f>
        <v/>
      </c>
      <c r="G34" s="390" t="str">
        <f t="shared" ref="G34" si="143">IFERROR((G32/G33)*1000,"")</f>
        <v/>
      </c>
      <c r="H34" s="390" t="str">
        <f t="shared" ref="H34" si="144">IFERROR((H32/H33)*1000,"")</f>
        <v/>
      </c>
      <c r="I34" s="390" t="str">
        <f t="shared" ref="I34" si="145">IFERROR((I32/I33)*1000,"")</f>
        <v/>
      </c>
      <c r="J34" s="390" t="str">
        <f t="shared" ref="J34" si="146">IFERROR((J32/J33)*1000,"")</f>
        <v/>
      </c>
      <c r="K34" s="390" t="str">
        <f t="shared" ref="K34" si="147">IFERROR((K32/K33)*1000,"")</f>
        <v/>
      </c>
      <c r="L34" s="390" t="str">
        <f t="shared" ref="L34" si="148">IFERROR((L32/L33)*1000,"")</f>
        <v/>
      </c>
      <c r="M34" s="390" t="str">
        <f t="shared" ref="M34" si="149">IFERROR((M32/M33)*1000,"")</f>
        <v/>
      </c>
      <c r="N34" s="390" t="str">
        <f t="shared" ref="N34" si="150">IFERROR((N32/N33)*1000,"")</f>
        <v/>
      </c>
      <c r="O34" s="390" t="str">
        <f t="shared" ref="O34" si="151">IFERROR((O32/O33)*1000,"")</f>
        <v/>
      </c>
      <c r="P34" s="390" t="str">
        <f t="shared" ref="P34" si="152">IFERROR((P32/P33)*1000,"")</f>
        <v/>
      </c>
      <c r="Q34" s="390" t="str">
        <f t="shared" ref="Q34" si="153">IFERROR((Q32/Q33)*1000,"")</f>
        <v/>
      </c>
      <c r="R34" s="390" t="str">
        <f t="shared" ref="R34" si="154">IFERROR((R32/R33)*1000,"")</f>
        <v/>
      </c>
      <c r="S34" s="390" t="str">
        <f t="shared" ref="S34" si="155">IFERROR((S32/S33)*1000,"")</f>
        <v/>
      </c>
      <c r="T34" s="390" t="str">
        <f t="shared" ref="T34" si="156">IFERROR((T32/T33)*1000,"")</f>
        <v/>
      </c>
      <c r="U34" s="390" t="str">
        <f t="shared" ref="U34" si="157">IFERROR((U32/U33)*1000,"")</f>
        <v/>
      </c>
      <c r="V34" s="390" t="str">
        <f t="shared" ref="V34" si="158">IFERROR((V32/V33)*1000,"")</f>
        <v/>
      </c>
      <c r="W34" s="390" t="str">
        <f t="shared" ref="W34" si="159">IFERROR((W32/W33)*1000,"")</f>
        <v/>
      </c>
      <c r="X34" s="390" t="str">
        <f t="shared" ref="X34" si="160">IFERROR((X32/X33)*1000,"")</f>
        <v/>
      </c>
      <c r="Y34" s="390" t="str">
        <f t="shared" ref="Y34" si="161">IFERROR((Y32/Y33)*1000,"")</f>
        <v/>
      </c>
      <c r="Z34" s="390" t="str">
        <f t="shared" ref="Z34" si="162">IFERROR((Z32/Z33)*1000,"")</f>
        <v/>
      </c>
      <c r="AA34" s="390" t="str">
        <f t="shared" ref="AA34" si="163">IFERROR((AA32/AA33)*1000,"")</f>
        <v/>
      </c>
      <c r="AB34" s="390" t="str">
        <f t="shared" ref="AB34" si="164">IFERROR((AB32/AB33)*1000,"")</f>
        <v/>
      </c>
      <c r="AC34" s="390" t="str">
        <f t="shared" ref="AC34" si="165">IFERROR((AC32/AC33)*1000,"")</f>
        <v/>
      </c>
      <c r="AD34" s="390" t="str">
        <f t="shared" ref="AD34" si="166">IFERROR((AD32/AD33)*1000,"")</f>
        <v/>
      </c>
      <c r="AE34" s="390" t="str">
        <f t="shared" ref="AE34" si="167">IFERROR((AE32/AE33)*1000,"")</f>
        <v/>
      </c>
      <c r="AF34" s="390" t="str">
        <f t="shared" ref="AF34" si="168">IFERROR((AF32/AF33)*1000,"")</f>
        <v/>
      </c>
      <c r="AG34" s="390" t="str">
        <f t="shared" ref="AG34" si="169">IFERROR((AG32/AG33)*1000,"")</f>
        <v/>
      </c>
      <c r="AH34" s="390" t="str">
        <f t="shared" ref="AH34" si="170">IFERROR((AH32/AH33)*1000,"")</f>
        <v/>
      </c>
      <c r="AI34" s="390" t="str">
        <f t="shared" ref="AI34" si="171">IFERROR((AI32/AI33)*1000,"")</f>
        <v/>
      </c>
      <c r="AJ34" s="390" t="str">
        <f t="shared" ref="AJ34" si="172">IFERROR((AJ32/AJ33)*1000,"")</f>
        <v/>
      </c>
      <c r="AK34" s="390" t="str">
        <f t="shared" ref="AK34" si="173">IFERROR((AK32/AK33)*1000,"")</f>
        <v/>
      </c>
      <c r="AL34" s="390" t="str">
        <f t="shared" ref="AL34" si="174">IFERROR((AL32/AL33)*1000,"")</f>
        <v/>
      </c>
      <c r="AM34" s="390" t="str">
        <f t="shared" ref="AM34" si="175">IFERROR((AM32/AM33)*1000,"")</f>
        <v/>
      </c>
      <c r="AN34" s="390" t="str">
        <f t="shared" ref="AN34" si="176">IFERROR((AN32/AN33)*1000,"")</f>
        <v/>
      </c>
      <c r="AO34" s="390" t="str">
        <f t="shared" ref="AO34" si="177">IFERROR((AO32/AO33)*1000,"")</f>
        <v/>
      </c>
      <c r="AP34" s="390" t="str">
        <f t="shared" ref="AP34" si="178">IFERROR((AP32/AP33)*1000,"")</f>
        <v/>
      </c>
      <c r="AQ34" s="390" t="str">
        <f t="shared" ref="AQ34" si="179">IFERROR((AQ32/AQ33)*1000,"")</f>
        <v/>
      </c>
      <c r="AR34" s="390" t="str">
        <f t="shared" ref="AR34" si="180">IFERROR((AR32/AR33)*1000,"")</f>
        <v/>
      </c>
      <c r="AS34" s="390" t="str">
        <f t="shared" ref="AS34" si="181">IFERROR((AS32/AS33)*1000,"")</f>
        <v/>
      </c>
      <c r="AT34" s="390" t="str">
        <f t="shared" ref="AT34" si="182">IFERROR((AT32/AT33)*1000,"")</f>
        <v/>
      </c>
      <c r="AU34" s="390" t="str">
        <f t="shared" ref="AU34" si="183">IFERROR((AU32/AU33)*1000,"")</f>
        <v/>
      </c>
      <c r="AV34" s="390" t="str">
        <f t="shared" ref="AV34" si="184">IFERROR((AV32/AV33)*1000,"")</f>
        <v/>
      </c>
      <c r="AW34" s="390" t="str">
        <f t="shared" ref="AW34" si="185">IFERROR((AW32/AW33)*1000,"")</f>
        <v/>
      </c>
      <c r="AX34" s="390" t="str">
        <f t="shared" ref="AX34" si="186">IFERROR((AX32/AX33)*1000,"")</f>
        <v/>
      </c>
      <c r="AY34" s="390" t="str">
        <f t="shared" ref="AY34" si="187">IFERROR((AY32/AY33)*1000,"")</f>
        <v/>
      </c>
      <c r="AZ34" s="390" t="str">
        <f t="shared" ref="AZ34" si="188">IFERROR((AZ32/AZ33)*1000,"")</f>
        <v/>
      </c>
      <c r="BA34" s="390" t="str">
        <f t="shared" ref="BA34" si="189">IFERROR((BA32/BA33)*1000,"")</f>
        <v/>
      </c>
      <c r="BB34" s="390" t="str">
        <f t="shared" ref="BB34" si="190">IFERROR((BB32/BB33)*1000,"")</f>
        <v/>
      </c>
      <c r="BC34" s="390" t="str">
        <f t="shared" ref="BC34" si="191">IFERROR((BC32/BC33)*1000,"")</f>
        <v/>
      </c>
      <c r="BD34" s="390" t="str">
        <f t="shared" ref="BD34" si="192">IFERROR((BD32/BD33)*1000,"")</f>
        <v/>
      </c>
      <c r="BE34" s="390" t="str">
        <f t="shared" ref="BE34" si="193">IFERROR((BE32/BE33)*1000,"")</f>
        <v/>
      </c>
      <c r="BF34" s="390" t="str">
        <f t="shared" ref="BF34" si="194">IFERROR((BF32/BF33)*1000,"")</f>
        <v/>
      </c>
      <c r="BG34" s="390" t="str">
        <f t="shared" ref="BG34" si="195">IFERROR((BG32/BG33)*1000,"")</f>
        <v/>
      </c>
      <c r="BH34" s="390" t="str">
        <f t="shared" ref="BH34" si="196">IFERROR((BH32/BH33)*1000,"")</f>
        <v/>
      </c>
      <c r="BI34" s="390" t="str">
        <f t="shared" ref="BI34" si="197">IFERROR((BI32/BI33)*1000,"")</f>
        <v/>
      </c>
      <c r="BJ34" s="390" t="str">
        <f t="shared" ref="BJ34" si="198">IFERROR((BJ32/BJ33)*1000,"")</f>
        <v/>
      </c>
      <c r="BK34" s="390" t="str">
        <f t="shared" ref="BK34" si="199">IFERROR((BK32/BK33)*1000,"")</f>
        <v/>
      </c>
      <c r="BL34" s="390" t="str">
        <f t="shared" ref="BL34" si="200">IFERROR((BL32/BL33)*1000,"")</f>
        <v/>
      </c>
      <c r="BM34" s="390" t="str">
        <f t="shared" ref="BM34" si="201">IFERROR((BM32/BM33)*1000,"")</f>
        <v/>
      </c>
      <c r="BN34" s="390" t="str">
        <f t="shared" ref="BN34" si="202">IFERROR((BN32/BN33)*1000,"")</f>
        <v/>
      </c>
      <c r="BO34" s="390" t="str">
        <f t="shared" ref="BO34" si="203">IFERROR((BO32/BO33)*1000,"")</f>
        <v/>
      </c>
      <c r="BP34" s="390" t="str">
        <f t="shared" ref="BP34" si="204">IFERROR((BP32/BP33)*1000,"")</f>
        <v/>
      </c>
      <c r="BQ34" s="390" t="str">
        <f t="shared" ref="BQ34" si="205">IFERROR((BQ32/BQ33)*1000,"")</f>
        <v/>
      </c>
      <c r="BR34" s="390" t="str">
        <f t="shared" ref="BR34" si="206">IFERROR((BR32/BR33)*1000,"")</f>
        <v/>
      </c>
      <c r="BS34" s="390" t="str">
        <f t="shared" ref="BS34" si="207">IFERROR((BS32/BS33)*1000,"")</f>
        <v/>
      </c>
      <c r="BT34" s="390" t="str">
        <f t="shared" ref="BT34" si="208">IFERROR((BT32/BT33)*1000,"")</f>
        <v/>
      </c>
      <c r="BU34" s="390" t="str">
        <f t="shared" ref="BU34" si="209">IFERROR((BU32/BU33)*1000,"")</f>
        <v/>
      </c>
      <c r="BV34" s="390" t="str">
        <f t="shared" ref="BV34" si="210">IFERROR((BV32/BV33)*1000,"")</f>
        <v/>
      </c>
      <c r="BW34" s="390" t="str">
        <f t="shared" ref="BW34" si="211">IFERROR((BW32/BW33)*1000,"")</f>
        <v/>
      </c>
      <c r="BX34" s="390" t="str">
        <f t="shared" ref="BX34" si="212">IFERROR((BX32/BX33)*1000,"")</f>
        <v/>
      </c>
      <c r="BY34" s="390" t="str">
        <f t="shared" ref="BY34" si="213">IFERROR((BY32/BY33)*1000,"")</f>
        <v/>
      </c>
      <c r="BZ34" s="390" t="str">
        <f t="shared" ref="BZ34" si="214">IFERROR((BZ32/BZ33)*1000,"")</f>
        <v/>
      </c>
      <c r="CA34" s="390" t="str">
        <f t="shared" ref="CA34" si="215">IFERROR((CA32/CA33)*1000,"")</f>
        <v/>
      </c>
      <c r="CB34" s="390" t="str">
        <f t="shared" ref="CB34" si="216">IFERROR((CB32/CB33)*1000,"")</f>
        <v/>
      </c>
      <c r="CC34" s="390" t="str">
        <f t="shared" ref="CC34" si="217">IFERROR((CC32/CC33)*1000,"")</f>
        <v/>
      </c>
      <c r="CD34" s="390" t="str">
        <f t="shared" ref="CD34" si="218">IFERROR((CD32/CD33)*1000,"")</f>
        <v/>
      </c>
      <c r="CE34" s="390" t="str">
        <f t="shared" ref="CE34" si="219">IFERROR((CE32/CE33)*1000,"")</f>
        <v/>
      </c>
      <c r="CF34" s="390" t="str">
        <f t="shared" ref="CF34" si="220">IFERROR((CF32/CF33)*1000,"")</f>
        <v/>
      </c>
      <c r="CG34" s="390" t="str">
        <f t="shared" ref="CG34" si="221">IFERROR((CG32/CG33)*1000,"")</f>
        <v/>
      </c>
      <c r="CH34" s="390" t="str">
        <f t="shared" ref="CH34" si="222">IFERROR((CH32/CH33)*1000,"")</f>
        <v/>
      </c>
      <c r="CI34" s="390" t="str">
        <f t="shared" ref="CI34" si="223">IFERROR((CI32/CI33)*1000,"")</f>
        <v/>
      </c>
      <c r="CJ34" s="390" t="str">
        <f t="shared" ref="CJ34" si="224">IFERROR((CJ32/CJ33)*1000,"")</f>
        <v/>
      </c>
      <c r="CK34" s="390" t="str">
        <f t="shared" ref="CK34" si="225">IFERROR((CK32/CK33)*1000,"")</f>
        <v/>
      </c>
      <c r="CL34" s="390" t="str">
        <f t="shared" ref="CL34" si="226">IFERROR((CL32/CL33)*1000,"")</f>
        <v/>
      </c>
      <c r="CN34" s="391" t="str">
        <f t="shared" si="136"/>
        <v/>
      </c>
      <c r="CO34" s="391" t="str">
        <f t="shared" si="137"/>
        <v/>
      </c>
      <c r="CP34" s="391" t="str">
        <f t="shared" si="138"/>
        <v/>
      </c>
    </row>
    <row r="35" spans="1:94" hidden="1" outlineLevel="1">
      <c r="A35" s="410"/>
      <c r="B35" s="410" t="s">
        <v>124</v>
      </c>
      <c r="C35" s="410" t="s">
        <v>322</v>
      </c>
      <c r="D35" s="410" t="s">
        <v>323</v>
      </c>
      <c r="E35" s="411" t="str">
        <f t="shared" ref="E35:AJ35" ca="1" si="227">IFERROR(IF((INDEX($E26:$CL33,8,MATCH(base,$E26:$CL26,0))/INDEX($E26:$CL33,3,MATCH(sector_base,$E26:$CL26,0))/(E33/E28))&gt;=1,1,(INDEX($E26:$CL33,8,MATCH(base,$E26:$CL26,0))/INDEX($E26:$CL33,3,MATCH(base,$E26:$CL26,0))/(E33/E28))),"")</f>
        <v/>
      </c>
      <c r="F35" s="412" t="str">
        <f t="shared" ca="1" si="227"/>
        <v/>
      </c>
      <c r="G35" s="412" t="str">
        <f t="shared" ca="1" si="227"/>
        <v/>
      </c>
      <c r="H35" s="412" t="str">
        <f t="shared" ca="1" si="227"/>
        <v/>
      </c>
      <c r="I35" s="412" t="str">
        <f t="shared" ca="1" si="227"/>
        <v/>
      </c>
      <c r="J35" s="412" t="str">
        <f t="shared" ca="1" si="227"/>
        <v/>
      </c>
      <c r="K35" s="412" t="str">
        <f t="shared" ca="1" si="227"/>
        <v/>
      </c>
      <c r="L35" s="412" t="str">
        <f t="shared" ca="1" si="227"/>
        <v/>
      </c>
      <c r="M35" s="412" t="str">
        <f t="shared" ca="1" si="227"/>
        <v/>
      </c>
      <c r="N35" s="412" t="str">
        <f t="shared" ca="1" si="227"/>
        <v/>
      </c>
      <c r="O35" s="412" t="str">
        <f t="shared" ca="1" si="227"/>
        <v/>
      </c>
      <c r="P35" s="412" t="str">
        <f t="shared" ca="1" si="227"/>
        <v/>
      </c>
      <c r="Q35" s="412" t="str">
        <f t="shared" ca="1" si="227"/>
        <v/>
      </c>
      <c r="R35" s="412" t="str">
        <f t="shared" ca="1" si="227"/>
        <v/>
      </c>
      <c r="S35" s="412" t="str">
        <f t="shared" ca="1" si="227"/>
        <v/>
      </c>
      <c r="T35" s="412" t="str">
        <f t="shared" ca="1" si="227"/>
        <v/>
      </c>
      <c r="U35" s="412" t="str">
        <f t="shared" ca="1" si="227"/>
        <v/>
      </c>
      <c r="V35" s="412" t="str">
        <f t="shared" ca="1" si="227"/>
        <v/>
      </c>
      <c r="W35" s="412" t="str">
        <f t="shared" ca="1" si="227"/>
        <v/>
      </c>
      <c r="X35" s="412" t="str">
        <f t="shared" ca="1" si="227"/>
        <v/>
      </c>
      <c r="Y35" s="412" t="str">
        <f t="shared" ca="1" si="227"/>
        <v/>
      </c>
      <c r="Z35" s="412" t="str">
        <f t="shared" ca="1" si="227"/>
        <v/>
      </c>
      <c r="AA35" s="412" t="str">
        <f t="shared" ca="1" si="227"/>
        <v/>
      </c>
      <c r="AB35" s="412" t="str">
        <f t="shared" ca="1" si="227"/>
        <v/>
      </c>
      <c r="AC35" s="412" t="str">
        <f t="shared" ca="1" si="227"/>
        <v/>
      </c>
      <c r="AD35" s="412" t="str">
        <f t="shared" ca="1" si="227"/>
        <v/>
      </c>
      <c r="AE35" s="412" t="str">
        <f t="shared" ca="1" si="227"/>
        <v/>
      </c>
      <c r="AF35" s="412" t="str">
        <f t="shared" ca="1" si="227"/>
        <v/>
      </c>
      <c r="AG35" s="412" t="str">
        <f t="shared" ca="1" si="227"/>
        <v/>
      </c>
      <c r="AH35" s="412" t="str">
        <f t="shared" ca="1" si="227"/>
        <v/>
      </c>
      <c r="AI35" s="412" t="str">
        <f t="shared" ca="1" si="227"/>
        <v/>
      </c>
      <c r="AJ35" s="412" t="str">
        <f t="shared" ca="1" si="227"/>
        <v/>
      </c>
      <c r="AK35" s="412" t="str">
        <f t="shared" ref="AK35:BP35" ca="1" si="228">IFERROR(IF((INDEX($E26:$CL33,8,MATCH(base,$E26:$CL26,0))/INDEX($E26:$CL33,3,MATCH(sector_base,$E26:$CL26,0))/(AK33/AK28))&gt;=1,1,(INDEX($E26:$CL33,8,MATCH(base,$E26:$CL26,0))/INDEX($E26:$CL33,3,MATCH(base,$E26:$CL26,0))/(AK33/AK28))),"")</f>
        <v/>
      </c>
      <c r="AL35" s="412" t="str">
        <f t="shared" ca="1" si="228"/>
        <v/>
      </c>
      <c r="AM35" s="412" t="str">
        <f t="shared" ca="1" si="228"/>
        <v/>
      </c>
      <c r="AN35" s="412" t="str">
        <f t="shared" ca="1" si="228"/>
        <v/>
      </c>
      <c r="AO35" s="412" t="str">
        <f t="shared" ca="1" si="228"/>
        <v/>
      </c>
      <c r="AP35" s="412" t="str">
        <f t="shared" ca="1" si="228"/>
        <v/>
      </c>
      <c r="AQ35" s="412" t="str">
        <f t="shared" ca="1" si="228"/>
        <v/>
      </c>
      <c r="AR35" s="412" t="str">
        <f t="shared" ca="1" si="228"/>
        <v/>
      </c>
      <c r="AS35" s="412" t="str">
        <f t="shared" ca="1" si="228"/>
        <v/>
      </c>
      <c r="AT35" s="412" t="str">
        <f t="shared" ca="1" si="228"/>
        <v/>
      </c>
      <c r="AU35" s="412" t="str">
        <f t="shared" ca="1" si="228"/>
        <v/>
      </c>
      <c r="AV35" s="412" t="str">
        <f t="shared" ca="1" si="228"/>
        <v/>
      </c>
      <c r="AW35" s="412" t="str">
        <f t="shared" ca="1" si="228"/>
        <v/>
      </c>
      <c r="AX35" s="412" t="str">
        <f t="shared" ca="1" si="228"/>
        <v/>
      </c>
      <c r="AY35" s="412" t="str">
        <f t="shared" ca="1" si="228"/>
        <v/>
      </c>
      <c r="AZ35" s="412" t="str">
        <f t="shared" ca="1" si="228"/>
        <v/>
      </c>
      <c r="BA35" s="412" t="str">
        <f t="shared" ca="1" si="228"/>
        <v/>
      </c>
      <c r="BB35" s="412" t="str">
        <f t="shared" ca="1" si="228"/>
        <v/>
      </c>
      <c r="BC35" s="412" t="str">
        <f t="shared" ca="1" si="228"/>
        <v/>
      </c>
      <c r="BD35" s="412" t="str">
        <f t="shared" ca="1" si="228"/>
        <v/>
      </c>
      <c r="BE35" s="412" t="str">
        <f t="shared" ca="1" si="228"/>
        <v/>
      </c>
      <c r="BF35" s="412" t="str">
        <f t="shared" ca="1" si="228"/>
        <v/>
      </c>
      <c r="BG35" s="412" t="str">
        <f t="shared" ca="1" si="228"/>
        <v/>
      </c>
      <c r="BH35" s="412" t="str">
        <f t="shared" ca="1" si="228"/>
        <v/>
      </c>
      <c r="BI35" s="412" t="str">
        <f t="shared" ca="1" si="228"/>
        <v/>
      </c>
      <c r="BJ35" s="412" t="str">
        <f t="shared" ca="1" si="228"/>
        <v/>
      </c>
      <c r="BK35" s="412" t="str">
        <f t="shared" ca="1" si="228"/>
        <v/>
      </c>
      <c r="BL35" s="412" t="str">
        <f t="shared" ca="1" si="228"/>
        <v/>
      </c>
      <c r="BM35" s="412" t="str">
        <f t="shared" ca="1" si="228"/>
        <v/>
      </c>
      <c r="BN35" s="412" t="str">
        <f t="shared" ca="1" si="228"/>
        <v/>
      </c>
      <c r="BO35" s="412" t="str">
        <f t="shared" ca="1" si="228"/>
        <v/>
      </c>
      <c r="BP35" s="412" t="str">
        <f t="shared" ca="1" si="228"/>
        <v/>
      </c>
      <c r="BQ35" s="412" t="str">
        <f t="shared" ref="BQ35:CL35" ca="1" si="229">IFERROR(IF((INDEX($E26:$CL33,8,MATCH(base,$E26:$CL26,0))/INDEX($E26:$CL33,3,MATCH(sector_base,$E26:$CL26,0))/(BQ33/BQ28))&gt;=1,1,(INDEX($E26:$CL33,8,MATCH(base,$E26:$CL26,0))/INDEX($E26:$CL33,3,MATCH(base,$E26:$CL26,0))/(BQ33/BQ28))),"")</f>
        <v/>
      </c>
      <c r="BR35" s="412" t="str">
        <f t="shared" ca="1" si="229"/>
        <v/>
      </c>
      <c r="BS35" s="412" t="str">
        <f t="shared" ca="1" si="229"/>
        <v/>
      </c>
      <c r="BT35" s="412" t="str">
        <f t="shared" ca="1" si="229"/>
        <v/>
      </c>
      <c r="BU35" s="412" t="str">
        <f t="shared" ca="1" si="229"/>
        <v/>
      </c>
      <c r="BV35" s="412" t="str">
        <f t="shared" ca="1" si="229"/>
        <v/>
      </c>
      <c r="BW35" s="412" t="str">
        <f t="shared" ca="1" si="229"/>
        <v/>
      </c>
      <c r="BX35" s="412" t="str">
        <f t="shared" ca="1" si="229"/>
        <v/>
      </c>
      <c r="BY35" s="412" t="str">
        <f t="shared" ca="1" si="229"/>
        <v/>
      </c>
      <c r="BZ35" s="412" t="str">
        <f t="shared" ca="1" si="229"/>
        <v/>
      </c>
      <c r="CA35" s="412" t="str">
        <f t="shared" ca="1" si="229"/>
        <v/>
      </c>
      <c r="CB35" s="412" t="str">
        <f t="shared" ca="1" si="229"/>
        <v/>
      </c>
      <c r="CC35" s="412" t="str">
        <f t="shared" ca="1" si="229"/>
        <v/>
      </c>
      <c r="CD35" s="412" t="str">
        <f t="shared" ca="1" si="229"/>
        <v/>
      </c>
      <c r="CE35" s="412" t="str">
        <f t="shared" ca="1" si="229"/>
        <v/>
      </c>
      <c r="CF35" s="412" t="str">
        <f t="shared" ca="1" si="229"/>
        <v/>
      </c>
      <c r="CG35" s="412" t="str">
        <f t="shared" ca="1" si="229"/>
        <v/>
      </c>
      <c r="CH35" s="412" t="str">
        <f t="shared" ca="1" si="229"/>
        <v/>
      </c>
      <c r="CI35" s="412" t="str">
        <f t="shared" ca="1" si="229"/>
        <v/>
      </c>
      <c r="CJ35" s="412" t="str">
        <f t="shared" ca="1" si="229"/>
        <v/>
      </c>
      <c r="CK35" s="412" t="str">
        <f t="shared" ca="1" si="229"/>
        <v/>
      </c>
      <c r="CL35" s="412" t="str">
        <f t="shared" ca="1" si="229"/>
        <v/>
      </c>
      <c r="CN35" s="406" t="str">
        <f ca="1">IFERROR((Y35/H35)^(1/17)-1,"")</f>
        <v/>
      </c>
      <c r="CO35" s="406" t="str">
        <f ca="1">IFERROR((AN35/Y35)^(1/15)-1,"")</f>
        <v/>
      </c>
      <c r="CP35" s="406" t="str">
        <f ca="1">IFERROR((AN35/H35)^(1/32)-1,"")</f>
        <v/>
      </c>
    </row>
    <row r="36" spans="1:94" hidden="1" outlineLevel="1">
      <c r="A36" s="399"/>
      <c r="B36" s="399" t="s">
        <v>27</v>
      </c>
      <c r="C36" s="399" t="s">
        <v>324</v>
      </c>
      <c r="D36" s="399" t="s">
        <v>325</v>
      </c>
      <c r="E36" s="401" t="str">
        <f t="shared" ref="E36:AJ36" ca="1" si="230">IFERROR(IF(INDEX($E26:$CL35,9,MATCH(base,$E26:$CL26,0))-E31&lt;0,"N/A",INDEX($E26:$CL35,9,MATCH(base,$E26:$CL26,0))-E31),"")</f>
        <v/>
      </c>
      <c r="F36" s="402" t="str">
        <f t="shared" ca="1" si="230"/>
        <v/>
      </c>
      <c r="G36" s="402" t="str">
        <f t="shared" ca="1" si="230"/>
        <v/>
      </c>
      <c r="H36" s="402" t="str">
        <f t="shared" ca="1" si="230"/>
        <v/>
      </c>
      <c r="I36" s="402" t="str">
        <f t="shared" ca="1" si="230"/>
        <v/>
      </c>
      <c r="J36" s="402" t="str">
        <f t="shared" ca="1" si="230"/>
        <v/>
      </c>
      <c r="K36" s="402" t="str">
        <f t="shared" ca="1" si="230"/>
        <v/>
      </c>
      <c r="L36" s="402" t="str">
        <f t="shared" ca="1" si="230"/>
        <v/>
      </c>
      <c r="M36" s="402" t="str">
        <f t="shared" ca="1" si="230"/>
        <v/>
      </c>
      <c r="N36" s="402" t="str">
        <f t="shared" ca="1" si="230"/>
        <v/>
      </c>
      <c r="O36" s="402" t="str">
        <f t="shared" ca="1" si="230"/>
        <v/>
      </c>
      <c r="P36" s="402" t="str">
        <f t="shared" ca="1" si="230"/>
        <v/>
      </c>
      <c r="Q36" s="402" t="str">
        <f t="shared" ca="1" si="230"/>
        <v/>
      </c>
      <c r="R36" s="402" t="str">
        <f t="shared" ca="1" si="230"/>
        <v/>
      </c>
      <c r="S36" s="402" t="str">
        <f t="shared" ca="1" si="230"/>
        <v/>
      </c>
      <c r="T36" s="402" t="str">
        <f t="shared" ca="1" si="230"/>
        <v/>
      </c>
      <c r="U36" s="402" t="str">
        <f t="shared" ca="1" si="230"/>
        <v/>
      </c>
      <c r="V36" s="402" t="str">
        <f t="shared" ca="1" si="230"/>
        <v/>
      </c>
      <c r="W36" s="402" t="str">
        <f t="shared" ca="1" si="230"/>
        <v/>
      </c>
      <c r="X36" s="402" t="str">
        <f t="shared" ca="1" si="230"/>
        <v/>
      </c>
      <c r="Y36" s="402" t="str">
        <f t="shared" ca="1" si="230"/>
        <v/>
      </c>
      <c r="Z36" s="402" t="str">
        <f t="shared" ca="1" si="230"/>
        <v/>
      </c>
      <c r="AA36" s="402" t="str">
        <f t="shared" ca="1" si="230"/>
        <v/>
      </c>
      <c r="AB36" s="402" t="str">
        <f t="shared" ca="1" si="230"/>
        <v/>
      </c>
      <c r="AC36" s="402" t="str">
        <f t="shared" ca="1" si="230"/>
        <v/>
      </c>
      <c r="AD36" s="402" t="str">
        <f t="shared" ca="1" si="230"/>
        <v/>
      </c>
      <c r="AE36" s="402" t="str">
        <f t="shared" ca="1" si="230"/>
        <v/>
      </c>
      <c r="AF36" s="402" t="str">
        <f t="shared" ca="1" si="230"/>
        <v/>
      </c>
      <c r="AG36" s="402" t="str">
        <f t="shared" ca="1" si="230"/>
        <v/>
      </c>
      <c r="AH36" s="402" t="str">
        <f t="shared" ca="1" si="230"/>
        <v/>
      </c>
      <c r="AI36" s="402" t="str">
        <f t="shared" ca="1" si="230"/>
        <v/>
      </c>
      <c r="AJ36" s="402" t="str">
        <f t="shared" ca="1" si="230"/>
        <v/>
      </c>
      <c r="AK36" s="402" t="str">
        <f t="shared" ref="AK36:BP36" ca="1" si="231">IFERROR(IF(INDEX($E26:$CL35,9,MATCH(base,$E26:$CL26,0))-AK31&lt;0,"N/A",INDEX($E26:$CL35,9,MATCH(base,$E26:$CL26,0))-AK31),"")</f>
        <v/>
      </c>
      <c r="AL36" s="402" t="str">
        <f t="shared" ca="1" si="231"/>
        <v/>
      </c>
      <c r="AM36" s="402" t="str">
        <f t="shared" ca="1" si="231"/>
        <v/>
      </c>
      <c r="AN36" s="402" t="str">
        <f t="shared" ca="1" si="231"/>
        <v/>
      </c>
      <c r="AO36" s="402" t="str">
        <f t="shared" ca="1" si="231"/>
        <v/>
      </c>
      <c r="AP36" s="402" t="str">
        <f t="shared" ca="1" si="231"/>
        <v/>
      </c>
      <c r="AQ36" s="402" t="str">
        <f t="shared" ca="1" si="231"/>
        <v/>
      </c>
      <c r="AR36" s="402" t="str">
        <f t="shared" ca="1" si="231"/>
        <v/>
      </c>
      <c r="AS36" s="402" t="str">
        <f t="shared" ca="1" si="231"/>
        <v/>
      </c>
      <c r="AT36" s="402" t="str">
        <f t="shared" ca="1" si="231"/>
        <v/>
      </c>
      <c r="AU36" s="402" t="str">
        <f t="shared" ca="1" si="231"/>
        <v/>
      </c>
      <c r="AV36" s="402" t="str">
        <f t="shared" ca="1" si="231"/>
        <v/>
      </c>
      <c r="AW36" s="402" t="str">
        <f t="shared" ca="1" si="231"/>
        <v/>
      </c>
      <c r="AX36" s="402" t="str">
        <f t="shared" ca="1" si="231"/>
        <v/>
      </c>
      <c r="AY36" s="402" t="str">
        <f t="shared" ca="1" si="231"/>
        <v/>
      </c>
      <c r="AZ36" s="402" t="str">
        <f t="shared" ca="1" si="231"/>
        <v/>
      </c>
      <c r="BA36" s="402" t="str">
        <f t="shared" ca="1" si="231"/>
        <v/>
      </c>
      <c r="BB36" s="402" t="str">
        <f t="shared" ca="1" si="231"/>
        <v/>
      </c>
      <c r="BC36" s="402" t="str">
        <f t="shared" ca="1" si="231"/>
        <v/>
      </c>
      <c r="BD36" s="402" t="str">
        <f t="shared" ca="1" si="231"/>
        <v/>
      </c>
      <c r="BE36" s="402" t="str">
        <f t="shared" ca="1" si="231"/>
        <v/>
      </c>
      <c r="BF36" s="402" t="str">
        <f t="shared" ca="1" si="231"/>
        <v/>
      </c>
      <c r="BG36" s="402" t="str">
        <f t="shared" ca="1" si="231"/>
        <v/>
      </c>
      <c r="BH36" s="402" t="str">
        <f t="shared" ca="1" si="231"/>
        <v/>
      </c>
      <c r="BI36" s="402" t="str">
        <f t="shared" ca="1" si="231"/>
        <v/>
      </c>
      <c r="BJ36" s="402" t="str">
        <f t="shared" ca="1" si="231"/>
        <v/>
      </c>
      <c r="BK36" s="402" t="str">
        <f t="shared" ca="1" si="231"/>
        <v/>
      </c>
      <c r="BL36" s="402" t="str">
        <f t="shared" ca="1" si="231"/>
        <v/>
      </c>
      <c r="BM36" s="402" t="str">
        <f t="shared" ca="1" si="231"/>
        <v/>
      </c>
      <c r="BN36" s="402" t="str">
        <f t="shared" ca="1" si="231"/>
        <v/>
      </c>
      <c r="BO36" s="402" t="str">
        <f t="shared" ca="1" si="231"/>
        <v/>
      </c>
      <c r="BP36" s="402" t="str">
        <f t="shared" ca="1" si="231"/>
        <v/>
      </c>
      <c r="BQ36" s="402" t="str">
        <f t="shared" ref="BQ36:CL36" ca="1" si="232">IFERROR(IF(INDEX($E26:$CL35,9,MATCH(base,$E26:$CL26,0))-BQ31&lt;0,"N/A",INDEX($E26:$CL35,9,MATCH(base,$E26:$CL26,0))-BQ31),"")</f>
        <v/>
      </c>
      <c r="BR36" s="402" t="str">
        <f t="shared" ca="1" si="232"/>
        <v/>
      </c>
      <c r="BS36" s="402" t="str">
        <f t="shared" ca="1" si="232"/>
        <v/>
      </c>
      <c r="BT36" s="402" t="str">
        <f t="shared" ca="1" si="232"/>
        <v/>
      </c>
      <c r="BU36" s="402" t="str">
        <f t="shared" ca="1" si="232"/>
        <v/>
      </c>
      <c r="BV36" s="402" t="str">
        <f t="shared" ca="1" si="232"/>
        <v/>
      </c>
      <c r="BW36" s="402" t="str">
        <f t="shared" ca="1" si="232"/>
        <v/>
      </c>
      <c r="BX36" s="402" t="str">
        <f t="shared" ca="1" si="232"/>
        <v/>
      </c>
      <c r="BY36" s="402" t="str">
        <f t="shared" ca="1" si="232"/>
        <v/>
      </c>
      <c r="BZ36" s="402" t="str">
        <f t="shared" ca="1" si="232"/>
        <v/>
      </c>
      <c r="CA36" s="402" t="str">
        <f t="shared" ca="1" si="232"/>
        <v/>
      </c>
      <c r="CB36" s="402" t="str">
        <f t="shared" ca="1" si="232"/>
        <v/>
      </c>
      <c r="CC36" s="402" t="str">
        <f t="shared" ca="1" si="232"/>
        <v/>
      </c>
      <c r="CD36" s="402" t="str">
        <f t="shared" ca="1" si="232"/>
        <v/>
      </c>
      <c r="CE36" s="402" t="str">
        <f t="shared" ca="1" si="232"/>
        <v/>
      </c>
      <c r="CF36" s="402" t="str">
        <f t="shared" ca="1" si="232"/>
        <v/>
      </c>
      <c r="CG36" s="402" t="str">
        <f t="shared" ca="1" si="232"/>
        <v/>
      </c>
      <c r="CH36" s="402" t="str">
        <f t="shared" ca="1" si="232"/>
        <v/>
      </c>
      <c r="CI36" s="402" t="str">
        <f t="shared" ca="1" si="232"/>
        <v/>
      </c>
      <c r="CJ36" s="402" t="str">
        <f t="shared" ca="1" si="232"/>
        <v/>
      </c>
      <c r="CK36" s="402" t="str">
        <f t="shared" ca="1" si="232"/>
        <v/>
      </c>
      <c r="CL36" s="402" t="str">
        <f t="shared" ca="1" si="232"/>
        <v/>
      </c>
      <c r="CN36" s="398" t="str">
        <f ca="1">IFERROR((Y36/H36)^(1/17)-1,"")</f>
        <v/>
      </c>
      <c r="CO36" s="398" t="str">
        <f ca="1">IFERROR((AN36/Y36)^(1/15)-1,"")</f>
        <v/>
      </c>
      <c r="CP36" s="398" t="str">
        <f ca="1">IFERROR((AN36/H36)^(1/32)-1,"")</f>
        <v/>
      </c>
    </row>
    <row r="37" spans="1:94" hidden="1" outlineLevel="1">
      <c r="A37" s="393" t="s">
        <v>255</v>
      </c>
      <c r="B37" s="393" t="s">
        <v>256</v>
      </c>
      <c r="C37" s="403" t="s">
        <v>326</v>
      </c>
      <c r="D37" s="403" t="s">
        <v>327</v>
      </c>
      <c r="E37" s="405" t="e">
        <f t="shared" ref="E37:N37" si="233">IF(E8&lt;sector_base,NA(),IF($B$6="ON", IF(E8&gt;=covid_start, IF(E8&lt;covid_recovery,NA(),IFERROR(E31+(E30*E36*E35),0)),IFERROR(E31+(E30*E36*E35),0)),IFERROR(E31+(E30*E36*E35),0)))</f>
        <v>#N/A</v>
      </c>
      <c r="F37" s="405" t="e">
        <f t="shared" si="233"/>
        <v>#N/A</v>
      </c>
      <c r="G37" s="405" t="e">
        <f t="shared" si="233"/>
        <v>#N/A</v>
      </c>
      <c r="H37" s="405" t="e">
        <f>IF(H8&lt;sector_base,NA(),IF($B$6="ON", IF(H8&gt;=covid_start, IF(H8&lt;covid_recovery,NA(),IFERROR(H31+(H30*H36*H35),0)),IFERROR(H31+(H30*H36*H35),0)),IFERROR(H31+(H30*H36*H35),0)))</f>
        <v>#N/A</v>
      </c>
      <c r="I37" s="405">
        <f ca="1">IF(I8&lt;sector_base,NA(),IF($B$6="ON", IF(I8&gt;=covid_start, IF(I8&lt;covid_recovery,NA(),IFERROR(I31+(I30*I36*I35),0)),IFERROR(I31+(I30*I36*I35),0)),IFERROR(I31+(I30*I36*I35),0)))</f>
        <v>0</v>
      </c>
      <c r="J37" s="405" t="e">
        <f t="shared" si="233"/>
        <v>#N/A</v>
      </c>
      <c r="K37" s="405" t="e">
        <f t="shared" si="233"/>
        <v>#N/A</v>
      </c>
      <c r="L37" s="405" t="e">
        <f t="shared" si="233"/>
        <v>#N/A</v>
      </c>
      <c r="M37" s="405">
        <f t="shared" ca="1" si="233"/>
        <v>0</v>
      </c>
      <c r="N37" s="405">
        <f t="shared" ca="1" si="233"/>
        <v>0</v>
      </c>
      <c r="O37" s="405">
        <f t="shared" ref="O37:AT37" ca="1" si="234">IF(O8&lt;sector_base,NA(),IF($B$6="ON", IF(O8&gt;=covid_start, IF(O8&lt;covid_recovery,NA(),IFERROR(O31+(O30*O36*O35),0)),IFERROR(O31+(O30*O36*O35),0)),IFERROR(O31+(O30*O36*O35),0)))</f>
        <v>0</v>
      </c>
      <c r="P37" s="405">
        <f t="shared" ca="1" si="234"/>
        <v>0</v>
      </c>
      <c r="Q37" s="405">
        <f t="shared" ca="1" si="234"/>
        <v>0</v>
      </c>
      <c r="R37" s="405">
        <f t="shared" ca="1" si="234"/>
        <v>0</v>
      </c>
      <c r="S37" s="405">
        <f t="shared" ca="1" si="234"/>
        <v>0</v>
      </c>
      <c r="T37" s="405">
        <f t="shared" ca="1" si="234"/>
        <v>0</v>
      </c>
      <c r="U37" s="405">
        <f t="shared" ca="1" si="234"/>
        <v>0</v>
      </c>
      <c r="V37" s="405">
        <f t="shared" ca="1" si="234"/>
        <v>0</v>
      </c>
      <c r="W37" s="405">
        <f t="shared" ca="1" si="234"/>
        <v>0</v>
      </c>
      <c r="X37" s="405">
        <f t="shared" ca="1" si="234"/>
        <v>0</v>
      </c>
      <c r="Y37" s="405">
        <f t="shared" ca="1" si="234"/>
        <v>0</v>
      </c>
      <c r="Z37" s="405">
        <f t="shared" ca="1" si="234"/>
        <v>0</v>
      </c>
      <c r="AA37" s="405">
        <f t="shared" ca="1" si="234"/>
        <v>0</v>
      </c>
      <c r="AB37" s="405">
        <f t="shared" ca="1" si="234"/>
        <v>0</v>
      </c>
      <c r="AC37" s="405">
        <f t="shared" ca="1" si="234"/>
        <v>0</v>
      </c>
      <c r="AD37" s="405">
        <f t="shared" ca="1" si="234"/>
        <v>0</v>
      </c>
      <c r="AE37" s="405">
        <f t="shared" ca="1" si="234"/>
        <v>0</v>
      </c>
      <c r="AF37" s="405">
        <f t="shared" ca="1" si="234"/>
        <v>0</v>
      </c>
      <c r="AG37" s="405">
        <f t="shared" ca="1" si="234"/>
        <v>0</v>
      </c>
      <c r="AH37" s="405">
        <f t="shared" ca="1" si="234"/>
        <v>0</v>
      </c>
      <c r="AI37" s="405">
        <f t="shared" ca="1" si="234"/>
        <v>0</v>
      </c>
      <c r="AJ37" s="405">
        <f t="shared" ca="1" si="234"/>
        <v>0</v>
      </c>
      <c r="AK37" s="405">
        <f t="shared" ca="1" si="234"/>
        <v>0</v>
      </c>
      <c r="AL37" s="405">
        <f t="shared" ca="1" si="234"/>
        <v>0</v>
      </c>
      <c r="AM37" s="405">
        <f t="shared" ca="1" si="234"/>
        <v>0</v>
      </c>
      <c r="AN37" s="405">
        <f t="shared" ca="1" si="234"/>
        <v>0</v>
      </c>
      <c r="AO37" s="405">
        <f t="shared" ca="1" si="234"/>
        <v>0</v>
      </c>
      <c r="AP37" s="405">
        <f t="shared" ca="1" si="234"/>
        <v>0</v>
      </c>
      <c r="AQ37" s="405">
        <f t="shared" ca="1" si="234"/>
        <v>0</v>
      </c>
      <c r="AR37" s="405">
        <f t="shared" ca="1" si="234"/>
        <v>0</v>
      </c>
      <c r="AS37" s="405">
        <f t="shared" ca="1" si="234"/>
        <v>0</v>
      </c>
      <c r="AT37" s="405">
        <f t="shared" ca="1" si="234"/>
        <v>0</v>
      </c>
      <c r="AU37" s="405">
        <f t="shared" ref="AU37:BZ37" ca="1" si="235">IF(AU8&lt;sector_base,NA(),IF($B$6="ON", IF(AU8&gt;=covid_start, IF(AU8&lt;covid_recovery,NA(),IFERROR(AU31+(AU30*AU36*AU35),0)),IFERROR(AU31+(AU30*AU36*AU35),0)),IFERROR(AU31+(AU30*AU36*AU35),0)))</f>
        <v>0</v>
      </c>
      <c r="AV37" s="405">
        <f t="shared" ca="1" si="235"/>
        <v>0</v>
      </c>
      <c r="AW37" s="405">
        <f t="shared" ca="1" si="235"/>
        <v>0</v>
      </c>
      <c r="AX37" s="405">
        <f t="shared" ca="1" si="235"/>
        <v>0</v>
      </c>
      <c r="AY37" s="405">
        <f t="shared" ca="1" si="235"/>
        <v>0</v>
      </c>
      <c r="AZ37" s="405">
        <f t="shared" ca="1" si="235"/>
        <v>0</v>
      </c>
      <c r="BA37" s="405">
        <f t="shared" ca="1" si="235"/>
        <v>0</v>
      </c>
      <c r="BB37" s="405">
        <f t="shared" ca="1" si="235"/>
        <v>0</v>
      </c>
      <c r="BC37" s="405">
        <f t="shared" ca="1" si="235"/>
        <v>0</v>
      </c>
      <c r="BD37" s="405">
        <f t="shared" ca="1" si="235"/>
        <v>0</v>
      </c>
      <c r="BE37" s="405">
        <f t="shared" ca="1" si="235"/>
        <v>0</v>
      </c>
      <c r="BF37" s="405">
        <f t="shared" ca="1" si="235"/>
        <v>0</v>
      </c>
      <c r="BG37" s="405">
        <f t="shared" ca="1" si="235"/>
        <v>0</v>
      </c>
      <c r="BH37" s="405">
        <f t="shared" ca="1" si="235"/>
        <v>0</v>
      </c>
      <c r="BI37" s="405">
        <f t="shared" ca="1" si="235"/>
        <v>0</v>
      </c>
      <c r="BJ37" s="405">
        <f t="shared" ca="1" si="235"/>
        <v>0</v>
      </c>
      <c r="BK37" s="405">
        <f t="shared" ca="1" si="235"/>
        <v>0</v>
      </c>
      <c r="BL37" s="405">
        <f t="shared" ca="1" si="235"/>
        <v>0</v>
      </c>
      <c r="BM37" s="405">
        <f t="shared" ca="1" si="235"/>
        <v>0</v>
      </c>
      <c r="BN37" s="405">
        <f t="shared" ca="1" si="235"/>
        <v>0</v>
      </c>
      <c r="BO37" s="405">
        <f t="shared" ca="1" si="235"/>
        <v>0</v>
      </c>
      <c r="BP37" s="405">
        <f t="shared" ca="1" si="235"/>
        <v>0</v>
      </c>
      <c r="BQ37" s="405">
        <f t="shared" ca="1" si="235"/>
        <v>0</v>
      </c>
      <c r="BR37" s="405">
        <f t="shared" ca="1" si="235"/>
        <v>0</v>
      </c>
      <c r="BS37" s="405">
        <f t="shared" ca="1" si="235"/>
        <v>0</v>
      </c>
      <c r="BT37" s="405">
        <f t="shared" ca="1" si="235"/>
        <v>0</v>
      </c>
      <c r="BU37" s="405">
        <f t="shared" ca="1" si="235"/>
        <v>0</v>
      </c>
      <c r="BV37" s="405">
        <f t="shared" ca="1" si="235"/>
        <v>0</v>
      </c>
      <c r="BW37" s="405">
        <f t="shared" ca="1" si="235"/>
        <v>0</v>
      </c>
      <c r="BX37" s="405">
        <f t="shared" ca="1" si="235"/>
        <v>0</v>
      </c>
      <c r="BY37" s="405">
        <f t="shared" ca="1" si="235"/>
        <v>0</v>
      </c>
      <c r="BZ37" s="405">
        <f t="shared" ca="1" si="235"/>
        <v>0</v>
      </c>
      <c r="CA37" s="405">
        <f t="shared" ref="CA37:CL37" ca="1" si="236">IF(CA8&lt;sector_base,NA(),IF($B$6="ON", IF(CA8&gt;=covid_start, IF(CA8&lt;covid_recovery,NA(),IFERROR(CA31+(CA30*CA36*CA35),0)),IFERROR(CA31+(CA30*CA36*CA35),0)),IFERROR(CA31+(CA30*CA36*CA35),0)))</f>
        <v>0</v>
      </c>
      <c r="CB37" s="405">
        <f t="shared" ca="1" si="236"/>
        <v>0</v>
      </c>
      <c r="CC37" s="405">
        <f t="shared" ca="1" si="236"/>
        <v>0</v>
      </c>
      <c r="CD37" s="405">
        <f t="shared" ca="1" si="236"/>
        <v>0</v>
      </c>
      <c r="CE37" s="405">
        <f t="shared" ca="1" si="236"/>
        <v>0</v>
      </c>
      <c r="CF37" s="405">
        <f t="shared" ca="1" si="236"/>
        <v>0</v>
      </c>
      <c r="CG37" s="405">
        <f t="shared" ca="1" si="236"/>
        <v>0</v>
      </c>
      <c r="CH37" s="405">
        <f t="shared" ca="1" si="236"/>
        <v>0</v>
      </c>
      <c r="CI37" s="405">
        <f t="shared" ca="1" si="236"/>
        <v>0</v>
      </c>
      <c r="CJ37" s="405">
        <f t="shared" ca="1" si="236"/>
        <v>0</v>
      </c>
      <c r="CK37" s="405">
        <f t="shared" ca="1" si="236"/>
        <v>0</v>
      </c>
      <c r="CL37" s="405">
        <f t="shared" ca="1" si="236"/>
        <v>0</v>
      </c>
      <c r="CN37" s="406" t="str">
        <f ca="1">IFERROR((Y37/H37)^(1/17)-1,"")</f>
        <v/>
      </c>
      <c r="CO37" s="406" t="str">
        <f ca="1">IFERROR((AN37/Y37)^(1/15)-1,"")</f>
        <v/>
      </c>
      <c r="CP37" s="406" t="str">
        <f ca="1">IFERROR((AN37/H37)^(1/32)-1,"")</f>
        <v/>
      </c>
    </row>
    <row r="38" spans="1:94" hidden="1" outlineLevel="1">
      <c r="A38" s="400" t="s">
        <v>255</v>
      </c>
      <c r="B38" s="400" t="s">
        <v>129</v>
      </c>
      <c r="C38" s="400" t="s">
        <v>328</v>
      </c>
      <c r="D38" s="400"/>
      <c r="E38" s="413" t="e">
        <f>IF(E26=base,E37, IF(E26=target,E37,#N/A))</f>
        <v>#N/A</v>
      </c>
      <c r="F38" s="407" t="e">
        <f t="shared" ref="F38" si="237">IF(F34=base,F37, IF(F34=target,F37,#N/A))</f>
        <v>#N/A</v>
      </c>
      <c r="G38" s="407" t="e">
        <f t="shared" ref="G38" si="238">IF(G34=base,G37, IF(G34=target,G37,#N/A))</f>
        <v>#N/A</v>
      </c>
      <c r="H38" s="407" t="e">
        <f>IF(H26=base,H37, IF(H26=target,H37,#N/A))</f>
        <v>#N/A</v>
      </c>
      <c r="I38" s="407">
        <f t="shared" ref="I38:AN38" ca="1" si="239">IF(I26=base,I37, IF(I26=target,I37,#N/A))</f>
        <v>0</v>
      </c>
      <c r="J38" s="407" t="e">
        <f t="shared" si="239"/>
        <v>#N/A</v>
      </c>
      <c r="K38" s="407" t="e">
        <f t="shared" si="239"/>
        <v>#N/A</v>
      </c>
      <c r="L38" s="407" t="e">
        <f t="shared" si="239"/>
        <v>#N/A</v>
      </c>
      <c r="M38" s="407" t="e">
        <f t="shared" si="239"/>
        <v>#N/A</v>
      </c>
      <c r="N38" s="407" t="e">
        <f t="shared" si="239"/>
        <v>#N/A</v>
      </c>
      <c r="O38" s="407" t="e">
        <f t="shared" si="239"/>
        <v>#N/A</v>
      </c>
      <c r="P38" s="407" t="e">
        <f t="shared" si="239"/>
        <v>#N/A</v>
      </c>
      <c r="Q38" s="407" t="e">
        <f t="shared" si="239"/>
        <v>#N/A</v>
      </c>
      <c r="R38" s="407" t="e">
        <f t="shared" si="239"/>
        <v>#N/A</v>
      </c>
      <c r="S38" s="407" t="e">
        <f t="shared" si="239"/>
        <v>#N/A</v>
      </c>
      <c r="T38" s="407" t="e">
        <f t="shared" si="239"/>
        <v>#N/A</v>
      </c>
      <c r="U38" s="407" t="e">
        <f t="shared" si="239"/>
        <v>#N/A</v>
      </c>
      <c r="V38" s="407" t="e">
        <f t="shared" si="239"/>
        <v>#N/A</v>
      </c>
      <c r="W38" s="407" t="e">
        <f t="shared" si="239"/>
        <v>#N/A</v>
      </c>
      <c r="X38" s="407" t="e">
        <f t="shared" si="239"/>
        <v>#N/A</v>
      </c>
      <c r="Y38" s="407" t="e">
        <f>IF(Y26=base,Y37, IF(Y26=target,Y37,#N/A))</f>
        <v>#N/A</v>
      </c>
      <c r="Z38" s="407" t="e">
        <f t="shared" si="239"/>
        <v>#N/A</v>
      </c>
      <c r="AA38" s="407" t="e">
        <f t="shared" si="239"/>
        <v>#N/A</v>
      </c>
      <c r="AB38" s="407" t="e">
        <f t="shared" si="239"/>
        <v>#N/A</v>
      </c>
      <c r="AC38" s="407" t="e">
        <f t="shared" si="239"/>
        <v>#N/A</v>
      </c>
      <c r="AD38" s="407" t="e">
        <f t="shared" si="239"/>
        <v>#N/A</v>
      </c>
      <c r="AE38" s="407" t="e">
        <f t="shared" si="239"/>
        <v>#N/A</v>
      </c>
      <c r="AF38" s="407" t="e">
        <f t="shared" si="239"/>
        <v>#N/A</v>
      </c>
      <c r="AG38" s="407" t="e">
        <f t="shared" si="239"/>
        <v>#N/A</v>
      </c>
      <c r="AH38" s="407" t="e">
        <f t="shared" si="239"/>
        <v>#N/A</v>
      </c>
      <c r="AI38" s="407" t="e">
        <f t="shared" si="239"/>
        <v>#N/A</v>
      </c>
      <c r="AJ38" s="407" t="e">
        <f t="shared" si="239"/>
        <v>#N/A</v>
      </c>
      <c r="AK38" s="407" t="e">
        <f t="shared" si="239"/>
        <v>#N/A</v>
      </c>
      <c r="AL38" s="407" t="e">
        <f t="shared" si="239"/>
        <v>#N/A</v>
      </c>
      <c r="AM38" s="407" t="e">
        <f t="shared" si="239"/>
        <v>#N/A</v>
      </c>
      <c r="AN38" s="407" t="e">
        <f t="shared" si="239"/>
        <v>#N/A</v>
      </c>
      <c r="AO38" s="407">
        <f t="shared" ref="AO38" ca="1" si="240">IF(AO34=base,AO37, IF(AO34=target,AO37,#N/A))</f>
        <v>0</v>
      </c>
      <c r="AP38" s="407">
        <f t="shared" ref="AP38" ca="1" si="241">IF(AP34=base,AP37, IF(AP34=target,AP37,#N/A))</f>
        <v>0</v>
      </c>
      <c r="AQ38" s="407">
        <f t="shared" ref="AQ38" ca="1" si="242">IF(AQ34=base,AQ37, IF(AQ34=target,AQ37,#N/A))</f>
        <v>0</v>
      </c>
      <c r="AR38" s="407">
        <f t="shared" ref="AR38" ca="1" si="243">IF(AR34=base,AR37, IF(AR34=target,AR37,#N/A))</f>
        <v>0</v>
      </c>
      <c r="AS38" s="407">
        <f t="shared" ref="AS38" ca="1" si="244">IF(AS34=base,AS37, IF(AS34=target,AS37,#N/A))</f>
        <v>0</v>
      </c>
      <c r="AT38" s="407">
        <f t="shared" ref="AT38" ca="1" si="245">IF(AT34=base,AT37, IF(AT34=target,AT37,#N/A))</f>
        <v>0</v>
      </c>
      <c r="AU38" s="407">
        <f t="shared" ref="AU38" ca="1" si="246">IF(AU34=base,AU37, IF(AU34=target,AU37,#N/A))</f>
        <v>0</v>
      </c>
      <c r="AV38" s="407">
        <f t="shared" ref="AV38" ca="1" si="247">IF(AV34=base,AV37, IF(AV34=target,AV37,#N/A))</f>
        <v>0</v>
      </c>
      <c r="AW38" s="407">
        <f t="shared" ref="AW38" ca="1" si="248">IF(AW34=base,AW37, IF(AW34=target,AW37,#N/A))</f>
        <v>0</v>
      </c>
      <c r="AX38" s="407">
        <f t="shared" ref="AX38" ca="1" si="249">IF(AX34=base,AX37, IF(AX34=target,AX37,#N/A))</f>
        <v>0</v>
      </c>
      <c r="AY38" s="407">
        <f t="shared" ref="AY38" ca="1" si="250">IF(AY34=base,AY37, IF(AY34=target,AY37,#N/A))</f>
        <v>0</v>
      </c>
      <c r="AZ38" s="407">
        <f t="shared" ref="AZ38" ca="1" si="251">IF(AZ34=base,AZ37, IF(AZ34=target,AZ37,#N/A))</f>
        <v>0</v>
      </c>
      <c r="BA38" s="407">
        <f t="shared" ref="BA38" ca="1" si="252">IF(BA34=base,BA37, IF(BA34=target,BA37,#N/A))</f>
        <v>0</v>
      </c>
      <c r="BB38" s="407">
        <f t="shared" ref="BB38" ca="1" si="253">IF(BB34=base,BB37, IF(BB34=target,BB37,#N/A))</f>
        <v>0</v>
      </c>
      <c r="BC38" s="407">
        <f t="shared" ref="BC38" ca="1" si="254">IF(BC34=base,BC37, IF(BC34=target,BC37,#N/A))</f>
        <v>0</v>
      </c>
      <c r="BD38" s="407">
        <f t="shared" ref="BD38" ca="1" si="255">IF(BD34=base,BD37, IF(BD34=target,BD37,#N/A))</f>
        <v>0</v>
      </c>
      <c r="BE38" s="407">
        <f t="shared" ref="BE38" ca="1" si="256">IF(BE34=base,BE37, IF(BE34=target,BE37,#N/A))</f>
        <v>0</v>
      </c>
      <c r="BF38" s="407">
        <f t="shared" ref="BF38" ca="1" si="257">IF(BF34=base,BF37, IF(BF34=target,BF37,#N/A))</f>
        <v>0</v>
      </c>
      <c r="BG38" s="407">
        <f t="shared" ref="BG38" ca="1" si="258">IF(BG34=base,BG37, IF(BG34=target,BG37,#N/A))</f>
        <v>0</v>
      </c>
      <c r="BH38" s="407">
        <f t="shared" ref="BH38" ca="1" si="259">IF(BH34=base,BH37, IF(BH34=target,BH37,#N/A))</f>
        <v>0</v>
      </c>
      <c r="BI38" s="407">
        <f t="shared" ref="BI38" ca="1" si="260">IF(BI34=base,BI37, IF(BI34=target,BI37,#N/A))</f>
        <v>0</v>
      </c>
      <c r="BJ38" s="407">
        <f t="shared" ref="BJ38" ca="1" si="261">IF(BJ34=base,BJ37, IF(BJ34=target,BJ37,#N/A))</f>
        <v>0</v>
      </c>
      <c r="BK38" s="407">
        <f t="shared" ref="BK38" ca="1" si="262">IF(BK34=base,BK37, IF(BK34=target,BK37,#N/A))</f>
        <v>0</v>
      </c>
      <c r="BL38" s="407">
        <f t="shared" ref="BL38" ca="1" si="263">IF(BL34=base,BL37, IF(BL34=target,BL37,#N/A))</f>
        <v>0</v>
      </c>
      <c r="BM38" s="407">
        <f t="shared" ref="BM38" ca="1" si="264">IF(BM34=base,BM37, IF(BM34=target,BM37,#N/A))</f>
        <v>0</v>
      </c>
      <c r="BN38" s="407">
        <f t="shared" ref="BN38" ca="1" si="265">IF(BN34=base,BN37, IF(BN34=target,BN37,#N/A))</f>
        <v>0</v>
      </c>
      <c r="BO38" s="407">
        <f t="shared" ref="BO38" ca="1" si="266">IF(BO34=base,BO37, IF(BO34=target,BO37,#N/A))</f>
        <v>0</v>
      </c>
      <c r="BP38" s="407">
        <f t="shared" ref="BP38" ca="1" si="267">IF(BP34=base,BP37, IF(BP34=target,BP37,#N/A))</f>
        <v>0</v>
      </c>
      <c r="BQ38" s="407">
        <f t="shared" ref="BQ38" ca="1" si="268">IF(BQ34=base,BQ37, IF(BQ34=target,BQ37,#N/A))</f>
        <v>0</v>
      </c>
      <c r="BR38" s="407">
        <f t="shared" ref="BR38" ca="1" si="269">IF(BR34=base,BR37, IF(BR34=target,BR37,#N/A))</f>
        <v>0</v>
      </c>
      <c r="BS38" s="407">
        <f t="shared" ref="BS38" ca="1" si="270">IF(BS34=base,BS37, IF(BS34=target,BS37,#N/A))</f>
        <v>0</v>
      </c>
      <c r="BT38" s="407">
        <f t="shared" ref="BT38" ca="1" si="271">IF(BT34=base,BT37, IF(BT34=target,BT37,#N/A))</f>
        <v>0</v>
      </c>
      <c r="BU38" s="407">
        <f t="shared" ref="BU38" ca="1" si="272">IF(BU34=base,BU37, IF(BU34=target,BU37,#N/A))</f>
        <v>0</v>
      </c>
      <c r="BV38" s="407">
        <f t="shared" ref="BV38" ca="1" si="273">IF(BV34=base,BV37, IF(BV34=target,BV37,#N/A))</f>
        <v>0</v>
      </c>
      <c r="BW38" s="407">
        <f t="shared" ref="BW38" ca="1" si="274">IF(BW34=base,BW37, IF(BW34=target,BW37,#N/A))</f>
        <v>0</v>
      </c>
      <c r="BX38" s="407">
        <f t="shared" ref="BX38" ca="1" si="275">IF(BX34=base,BX37, IF(BX34=target,BX37,#N/A))</f>
        <v>0</v>
      </c>
      <c r="BY38" s="407">
        <f t="shared" ref="BY38" ca="1" si="276">IF(BY34=base,BY37, IF(BY34=target,BY37,#N/A))</f>
        <v>0</v>
      </c>
      <c r="BZ38" s="407">
        <f t="shared" ref="BZ38" ca="1" si="277">IF(BZ34=base,BZ37, IF(BZ34=target,BZ37,#N/A))</f>
        <v>0</v>
      </c>
      <c r="CA38" s="407">
        <f t="shared" ref="CA38" ca="1" si="278">IF(CA34=base,CA37, IF(CA34=target,CA37,#N/A))</f>
        <v>0</v>
      </c>
      <c r="CB38" s="407">
        <f t="shared" ref="CB38" ca="1" si="279">IF(CB34=base,CB37, IF(CB34=target,CB37,#N/A))</f>
        <v>0</v>
      </c>
      <c r="CC38" s="407">
        <f t="shared" ref="CC38" ca="1" si="280">IF(CC34=base,CC37, IF(CC34=target,CC37,#N/A))</f>
        <v>0</v>
      </c>
      <c r="CD38" s="407">
        <f t="shared" ref="CD38" ca="1" si="281">IF(CD34=base,CD37, IF(CD34=target,CD37,#N/A))</f>
        <v>0</v>
      </c>
      <c r="CE38" s="407">
        <f t="shared" ref="CE38" ca="1" si="282">IF(CE34=base,CE37, IF(CE34=target,CE37,#N/A))</f>
        <v>0</v>
      </c>
      <c r="CF38" s="407">
        <f t="shared" ref="CF38" ca="1" si="283">IF(CF34=base,CF37, IF(CF34=target,CF37,#N/A))</f>
        <v>0</v>
      </c>
      <c r="CG38" s="407">
        <f t="shared" ref="CG38" ca="1" si="284">IF(CG34=base,CG37, IF(CG34=target,CG37,#N/A))</f>
        <v>0</v>
      </c>
      <c r="CH38" s="407">
        <f t="shared" ref="CH38" ca="1" si="285">IF(CH34=base,CH37, IF(CH34=target,CH37,#N/A))</f>
        <v>0</v>
      </c>
      <c r="CI38" s="407">
        <f t="shared" ref="CI38" ca="1" si="286">IF(CI34=base,CI37, IF(CI34=target,CI37,#N/A))</f>
        <v>0</v>
      </c>
      <c r="CJ38" s="407">
        <f t="shared" ref="CJ38" ca="1" si="287">IF(CJ34=base,CJ37, IF(CJ34=target,CJ37,#N/A))</f>
        <v>0</v>
      </c>
      <c r="CK38" s="407">
        <f t="shared" ref="CK38" ca="1" si="288">IF(CK34=base,CK37, IF(CK34=target,CK37,#N/A))</f>
        <v>0</v>
      </c>
      <c r="CL38" s="407">
        <f t="shared" ref="CL38" ca="1" si="289">IF(CL34=base,CL37, IF(CL34=target,CL37,#N/A))</f>
        <v>0</v>
      </c>
      <c r="CN38" s="408" t="str">
        <f>IFERROR((Y38/H38)^(1/17)-1,"")</f>
        <v/>
      </c>
      <c r="CO38" s="408" t="str">
        <f>IFERROR((AN38/Y38)^(1/15)-1,"")</f>
        <v/>
      </c>
      <c r="CP38" s="408" t="str">
        <f>IFERROR((AN38/H38)^(1/32)-1,"")</f>
        <v/>
      </c>
    </row>
    <row r="39" spans="1:94" hidden="1" outlineLevel="1">
      <c r="A39" s="403" t="s">
        <v>255</v>
      </c>
      <c r="B39" s="403" t="s">
        <v>257</v>
      </c>
      <c r="C39" s="403" t="s">
        <v>329</v>
      </c>
      <c r="D39" s="403" t="s">
        <v>330</v>
      </c>
      <c r="E39" s="404">
        <f>IFERROR((E37*E33)/1000,0)</f>
        <v>0</v>
      </c>
      <c r="F39" s="405">
        <f t="shared" ref="F39" si="290">IFERROR((F37*F33)/1000,0)</f>
        <v>0</v>
      </c>
      <c r="G39" s="405">
        <f t="shared" ref="G39" si="291">IFERROR((G37*G33)/1000,0)</f>
        <v>0</v>
      </c>
      <c r="H39" s="405">
        <f>IFERROR((H37*H33)/1000,0)</f>
        <v>0</v>
      </c>
      <c r="I39" s="405">
        <f ca="1">IFERROR((I37*I33)/1000,0)</f>
        <v>0</v>
      </c>
      <c r="J39" s="405">
        <f t="shared" ref="J39" si="292">IFERROR((J37*J33)/1000,0)</f>
        <v>0</v>
      </c>
      <c r="K39" s="405">
        <f t="shared" ref="K39" si="293">IFERROR((K37*K33)/1000,0)</f>
        <v>0</v>
      </c>
      <c r="L39" s="405">
        <f t="shared" ref="L39" si="294">IFERROR((L37*L33)/1000,0)</f>
        <v>0</v>
      </c>
      <c r="M39" s="405">
        <f t="shared" ref="M39" ca="1" si="295">IFERROR((M37*M33)/1000,0)</f>
        <v>0</v>
      </c>
      <c r="N39" s="405">
        <f t="shared" ref="N39" ca="1" si="296">IFERROR((N37*N33)/1000,0)</f>
        <v>0</v>
      </c>
      <c r="O39" s="405">
        <f t="shared" ref="O39:AT39" ca="1" si="297">IFERROR((O37*O33)/1000,0)</f>
        <v>0</v>
      </c>
      <c r="P39" s="405">
        <f t="shared" ca="1" si="297"/>
        <v>0</v>
      </c>
      <c r="Q39" s="405">
        <f t="shared" ca="1" si="297"/>
        <v>0</v>
      </c>
      <c r="R39" s="405">
        <f t="shared" ca="1" si="297"/>
        <v>0</v>
      </c>
      <c r="S39" s="405">
        <f t="shared" ca="1" si="297"/>
        <v>0</v>
      </c>
      <c r="T39" s="405">
        <f t="shared" ca="1" si="297"/>
        <v>0</v>
      </c>
      <c r="U39" s="405">
        <f t="shared" ca="1" si="297"/>
        <v>0</v>
      </c>
      <c r="V39" s="405">
        <f t="shared" ca="1" si="297"/>
        <v>0</v>
      </c>
      <c r="W39" s="405">
        <f t="shared" ca="1" si="297"/>
        <v>0</v>
      </c>
      <c r="X39" s="405">
        <f t="shared" ca="1" si="297"/>
        <v>0</v>
      </c>
      <c r="Y39" s="405">
        <f t="shared" ca="1" si="297"/>
        <v>0</v>
      </c>
      <c r="Z39" s="405">
        <f t="shared" ca="1" si="297"/>
        <v>0</v>
      </c>
      <c r="AA39" s="405">
        <f t="shared" ca="1" si="297"/>
        <v>0</v>
      </c>
      <c r="AB39" s="405">
        <f t="shared" ca="1" si="297"/>
        <v>0</v>
      </c>
      <c r="AC39" s="405">
        <f t="shared" ca="1" si="297"/>
        <v>0</v>
      </c>
      <c r="AD39" s="405">
        <f t="shared" ca="1" si="297"/>
        <v>0</v>
      </c>
      <c r="AE39" s="405">
        <f t="shared" ca="1" si="297"/>
        <v>0</v>
      </c>
      <c r="AF39" s="405">
        <f t="shared" ca="1" si="297"/>
        <v>0</v>
      </c>
      <c r="AG39" s="405">
        <f t="shared" ca="1" si="297"/>
        <v>0</v>
      </c>
      <c r="AH39" s="405">
        <f t="shared" ca="1" si="297"/>
        <v>0</v>
      </c>
      <c r="AI39" s="405">
        <f t="shared" ca="1" si="297"/>
        <v>0</v>
      </c>
      <c r="AJ39" s="405">
        <f t="shared" ca="1" si="297"/>
        <v>0</v>
      </c>
      <c r="AK39" s="405">
        <f t="shared" ca="1" si="297"/>
        <v>0</v>
      </c>
      <c r="AL39" s="405">
        <f t="shared" ca="1" si="297"/>
        <v>0</v>
      </c>
      <c r="AM39" s="405">
        <f t="shared" ca="1" si="297"/>
        <v>0</v>
      </c>
      <c r="AN39" s="405">
        <f t="shared" ca="1" si="297"/>
        <v>0</v>
      </c>
      <c r="AO39" s="405">
        <f t="shared" ca="1" si="297"/>
        <v>0</v>
      </c>
      <c r="AP39" s="405">
        <f t="shared" ca="1" si="297"/>
        <v>0</v>
      </c>
      <c r="AQ39" s="405">
        <f t="shared" ca="1" si="297"/>
        <v>0</v>
      </c>
      <c r="AR39" s="405">
        <f t="shared" ca="1" si="297"/>
        <v>0</v>
      </c>
      <c r="AS39" s="405">
        <f t="shared" ca="1" si="297"/>
        <v>0</v>
      </c>
      <c r="AT39" s="405">
        <f t="shared" ca="1" si="297"/>
        <v>0</v>
      </c>
      <c r="AU39" s="405">
        <f t="shared" ref="AU39:BZ39" ca="1" si="298">IFERROR((AU37*AU33)/1000,0)</f>
        <v>0</v>
      </c>
      <c r="AV39" s="405">
        <f t="shared" ca="1" si="298"/>
        <v>0</v>
      </c>
      <c r="AW39" s="405">
        <f t="shared" ca="1" si="298"/>
        <v>0</v>
      </c>
      <c r="AX39" s="405">
        <f t="shared" ca="1" si="298"/>
        <v>0</v>
      </c>
      <c r="AY39" s="405">
        <f t="shared" ca="1" si="298"/>
        <v>0</v>
      </c>
      <c r="AZ39" s="405">
        <f t="shared" ca="1" si="298"/>
        <v>0</v>
      </c>
      <c r="BA39" s="405">
        <f t="shared" ca="1" si="298"/>
        <v>0</v>
      </c>
      <c r="BB39" s="405">
        <f t="shared" ca="1" si="298"/>
        <v>0</v>
      </c>
      <c r="BC39" s="405">
        <f t="shared" ca="1" si="298"/>
        <v>0</v>
      </c>
      <c r="BD39" s="405">
        <f t="shared" ca="1" si="298"/>
        <v>0</v>
      </c>
      <c r="BE39" s="405">
        <f t="shared" ca="1" si="298"/>
        <v>0</v>
      </c>
      <c r="BF39" s="405">
        <f t="shared" ca="1" si="298"/>
        <v>0</v>
      </c>
      <c r="BG39" s="405">
        <f t="shared" ca="1" si="298"/>
        <v>0</v>
      </c>
      <c r="BH39" s="405">
        <f t="shared" ca="1" si="298"/>
        <v>0</v>
      </c>
      <c r="BI39" s="405">
        <f t="shared" ca="1" si="298"/>
        <v>0</v>
      </c>
      <c r="BJ39" s="405">
        <f t="shared" ca="1" si="298"/>
        <v>0</v>
      </c>
      <c r="BK39" s="405">
        <f t="shared" ca="1" si="298"/>
        <v>0</v>
      </c>
      <c r="BL39" s="405">
        <f t="shared" ca="1" si="298"/>
        <v>0</v>
      </c>
      <c r="BM39" s="405">
        <f t="shared" ca="1" si="298"/>
        <v>0</v>
      </c>
      <c r="BN39" s="405">
        <f t="shared" ca="1" si="298"/>
        <v>0</v>
      </c>
      <c r="BO39" s="405">
        <f t="shared" ca="1" si="298"/>
        <v>0</v>
      </c>
      <c r="BP39" s="405">
        <f t="shared" ca="1" si="298"/>
        <v>0</v>
      </c>
      <c r="BQ39" s="405">
        <f t="shared" ca="1" si="298"/>
        <v>0</v>
      </c>
      <c r="BR39" s="405">
        <f t="shared" ca="1" si="298"/>
        <v>0</v>
      </c>
      <c r="BS39" s="405">
        <f t="shared" ca="1" si="298"/>
        <v>0</v>
      </c>
      <c r="BT39" s="405">
        <f t="shared" ca="1" si="298"/>
        <v>0</v>
      </c>
      <c r="BU39" s="405">
        <f t="shared" ca="1" si="298"/>
        <v>0</v>
      </c>
      <c r="BV39" s="405">
        <f t="shared" ca="1" si="298"/>
        <v>0</v>
      </c>
      <c r="BW39" s="405">
        <f t="shared" ca="1" si="298"/>
        <v>0</v>
      </c>
      <c r="BX39" s="405">
        <f t="shared" ca="1" si="298"/>
        <v>0</v>
      </c>
      <c r="BY39" s="405">
        <f t="shared" ca="1" si="298"/>
        <v>0</v>
      </c>
      <c r="BZ39" s="405">
        <f t="shared" ca="1" si="298"/>
        <v>0</v>
      </c>
      <c r="CA39" s="405">
        <f t="shared" ref="CA39:CL39" ca="1" si="299">IFERROR((CA37*CA33)/1000,0)</f>
        <v>0</v>
      </c>
      <c r="CB39" s="405">
        <f t="shared" ca="1" si="299"/>
        <v>0</v>
      </c>
      <c r="CC39" s="405">
        <f t="shared" ca="1" si="299"/>
        <v>0</v>
      </c>
      <c r="CD39" s="405">
        <f t="shared" ca="1" si="299"/>
        <v>0</v>
      </c>
      <c r="CE39" s="405">
        <f t="shared" ca="1" si="299"/>
        <v>0</v>
      </c>
      <c r="CF39" s="405">
        <f t="shared" ca="1" si="299"/>
        <v>0</v>
      </c>
      <c r="CG39" s="405">
        <f t="shared" ca="1" si="299"/>
        <v>0</v>
      </c>
      <c r="CH39" s="405">
        <f t="shared" ca="1" si="299"/>
        <v>0</v>
      </c>
      <c r="CI39" s="405">
        <f t="shared" ca="1" si="299"/>
        <v>0</v>
      </c>
      <c r="CJ39" s="405">
        <f t="shared" ca="1" si="299"/>
        <v>0</v>
      </c>
      <c r="CK39" s="405">
        <f t="shared" ca="1" si="299"/>
        <v>0</v>
      </c>
      <c r="CL39" s="405">
        <f t="shared" ca="1" si="299"/>
        <v>0</v>
      </c>
      <c r="CN39" s="406" t="str">
        <f ca="1">IFERROR((Y39/H39)^(1/17)-1,"")</f>
        <v/>
      </c>
      <c r="CO39" s="406" t="str">
        <f ca="1">IFERROR((AN39/Y39)^(1/15)-1,"")</f>
        <v/>
      </c>
      <c r="CP39" s="406" t="str">
        <f ca="1">IFERROR((AN39/H39)^(1/32)-1,"")</f>
        <v/>
      </c>
    </row>
    <row r="40" spans="1:94" hidden="1" outlineLevel="1">
      <c r="A40" s="414" t="s">
        <v>382</v>
      </c>
      <c r="B40" s="414" t="s">
        <v>384</v>
      </c>
      <c r="C40" s="414"/>
      <c r="D40" s="414"/>
      <c r="E40" s="415" t="e">
        <f t="shared" ref="E40:AN40" si="300">IF($B$6="ON",IF(E26=covid_start-1,E29,IF(E26=covid_recovery,E29,IF(E26&gt;=covid_start,IF(E26&lt;covid_recovery,D40-(INDEX($E26:$CH39,4,MATCH(covid_start-1,$E26:$CL26,0))-INDEX($E26:$CL39,4,MATCH(covid_recovery,$E26:$CL26,0)))/(covid_recovery-covid_start+1),NA()),NA()))),NA())</f>
        <v>#N/A</v>
      </c>
      <c r="F40" s="415" t="e">
        <f t="shared" si="300"/>
        <v>#N/A</v>
      </c>
      <c r="G40" s="415" t="e">
        <f t="shared" si="300"/>
        <v>#N/A</v>
      </c>
      <c r="H40" s="415" t="e">
        <f t="shared" si="300"/>
        <v>#N/A</v>
      </c>
      <c r="I40" s="415">
        <f t="shared" ref="I40:O40" ca="1" si="301">IF($B$6="ON",IF(I26=covid_start-1,I29,IF(I26=covid_recovery,I29,IF(I26&gt;=covid_start,IF(I26&lt;covid_recovery,H40-(INDEX($E26:$CH39,4,MATCH(covid_start-1,$E26:$CL26,0))-INDEX($E26:$CL39,4,MATCH(covid_recovery,$E26:$CL26,0)))/(covid_recovery-covid_start+1),NA()),NA()))),NA())</f>
        <v>584.95599084340938</v>
      </c>
      <c r="J40" s="415">
        <f t="shared" ca="1" si="301"/>
        <v>566.07026729921654</v>
      </c>
      <c r="K40" s="415">
        <f t="shared" ca="1" si="301"/>
        <v>547.1845437550237</v>
      </c>
      <c r="L40" s="415">
        <f t="shared" ca="1" si="301"/>
        <v>528.29882021083085</v>
      </c>
      <c r="M40" s="415">
        <f t="shared" ca="1" si="301"/>
        <v>509.41309666663813</v>
      </c>
      <c r="N40" s="415" t="e">
        <f t="shared" si="301"/>
        <v>#N/A</v>
      </c>
      <c r="O40" s="415" t="e">
        <f t="shared" si="301"/>
        <v>#N/A</v>
      </c>
      <c r="P40" s="415" t="e">
        <f t="shared" si="300"/>
        <v>#N/A</v>
      </c>
      <c r="Q40" s="415" t="e">
        <f t="shared" si="300"/>
        <v>#N/A</v>
      </c>
      <c r="R40" s="415" t="e">
        <f t="shared" si="300"/>
        <v>#N/A</v>
      </c>
      <c r="S40" s="415" t="e">
        <f t="shared" si="300"/>
        <v>#N/A</v>
      </c>
      <c r="T40" s="415" t="e">
        <f t="shared" si="300"/>
        <v>#N/A</v>
      </c>
      <c r="U40" s="415" t="e">
        <f t="shared" si="300"/>
        <v>#N/A</v>
      </c>
      <c r="V40" s="415" t="e">
        <f t="shared" si="300"/>
        <v>#N/A</v>
      </c>
      <c r="W40" s="415" t="e">
        <f t="shared" si="300"/>
        <v>#N/A</v>
      </c>
      <c r="X40" s="415" t="e">
        <f t="shared" si="300"/>
        <v>#N/A</v>
      </c>
      <c r="Y40" s="415" t="e">
        <f t="shared" si="300"/>
        <v>#N/A</v>
      </c>
      <c r="Z40" s="415" t="e">
        <f t="shared" si="300"/>
        <v>#N/A</v>
      </c>
      <c r="AA40" s="415" t="e">
        <f t="shared" si="300"/>
        <v>#N/A</v>
      </c>
      <c r="AB40" s="415" t="e">
        <f t="shared" si="300"/>
        <v>#N/A</v>
      </c>
      <c r="AC40" s="415" t="e">
        <f t="shared" si="300"/>
        <v>#N/A</v>
      </c>
      <c r="AD40" s="415" t="e">
        <f t="shared" si="300"/>
        <v>#N/A</v>
      </c>
      <c r="AE40" s="415" t="e">
        <f t="shared" si="300"/>
        <v>#N/A</v>
      </c>
      <c r="AF40" s="415" t="e">
        <f t="shared" si="300"/>
        <v>#N/A</v>
      </c>
      <c r="AG40" s="415" t="e">
        <f t="shared" si="300"/>
        <v>#N/A</v>
      </c>
      <c r="AH40" s="415" t="e">
        <f t="shared" si="300"/>
        <v>#N/A</v>
      </c>
      <c r="AI40" s="415" t="e">
        <f t="shared" si="300"/>
        <v>#N/A</v>
      </c>
      <c r="AJ40" s="415" t="e">
        <f t="shared" si="300"/>
        <v>#N/A</v>
      </c>
      <c r="AK40" s="415" t="e">
        <f t="shared" si="300"/>
        <v>#N/A</v>
      </c>
      <c r="AL40" s="415" t="e">
        <f t="shared" si="300"/>
        <v>#N/A</v>
      </c>
      <c r="AM40" s="415" t="e">
        <f t="shared" si="300"/>
        <v>#N/A</v>
      </c>
      <c r="AN40" s="415" t="e">
        <f t="shared" si="300"/>
        <v>#N/A</v>
      </c>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N40" s="416" t="str">
        <f t="shared" si="136"/>
        <v/>
      </c>
      <c r="CO40" s="416" t="str">
        <f t="shared" si="137"/>
        <v/>
      </c>
      <c r="CP40" s="416" t="str">
        <f t="shared" si="138"/>
        <v/>
      </c>
    </row>
    <row r="41" spans="1:94" hidden="1" outlineLevel="1">
      <c r="A41" s="400" t="s">
        <v>383</v>
      </c>
      <c r="B41" s="400" t="s">
        <v>384</v>
      </c>
      <c r="C41" s="400"/>
      <c r="D41" s="400"/>
      <c r="E41" s="407" t="e">
        <f t="shared" ref="E41:AN41" si="302">IF($B$6="ON",IF(E26=covid_start-1,E37,IF(E26=covid_recovery,E37,IF(E26&gt;=covid_start,IF(E26&lt;covid_recovery,D41-(INDEX($E26:$CH39,12,MATCH(covid_start-1,$E26:$CL26,0))-INDEX($E26:$CL39,12,MATCH(covid_recovery,$E26:$CL26,0)))/(covid_recovery-covid_start+1),NA()),NA()))),NA())</f>
        <v>#N/A</v>
      </c>
      <c r="F41" s="407" t="e">
        <f t="shared" si="302"/>
        <v>#N/A</v>
      </c>
      <c r="G41" s="407" t="e">
        <f t="shared" si="302"/>
        <v>#N/A</v>
      </c>
      <c r="H41" s="407" t="e">
        <f t="shared" si="302"/>
        <v>#N/A</v>
      </c>
      <c r="I41" s="407">
        <f t="shared" ref="I41:O41" ca="1" si="303">IF($B$6="ON",IF(I26=covid_start-1,I37,IF(I26=covid_recovery,I37,IF(I26&gt;=covid_start,IF(I26&lt;covid_recovery,H41-(INDEX($E26:$CH39,12,MATCH(covid_start-1,$E26:$CL26,0))-INDEX($E26:$CL39,12,MATCH(covid_recovery,$E26:$CL26,0)))/(covid_recovery-covid_start+1),NA()),NA()))),NA())</f>
        <v>0</v>
      </c>
      <c r="J41" s="407">
        <f t="shared" ca="1" si="303"/>
        <v>0</v>
      </c>
      <c r="K41" s="407">
        <f t="shared" ca="1" si="303"/>
        <v>0</v>
      </c>
      <c r="L41" s="407">
        <f t="shared" ca="1" si="303"/>
        <v>0</v>
      </c>
      <c r="M41" s="407">
        <f t="shared" ca="1" si="303"/>
        <v>0</v>
      </c>
      <c r="N41" s="407" t="e">
        <f t="shared" si="303"/>
        <v>#N/A</v>
      </c>
      <c r="O41" s="407" t="e">
        <f t="shared" si="303"/>
        <v>#N/A</v>
      </c>
      <c r="P41" s="407" t="e">
        <f t="shared" si="302"/>
        <v>#N/A</v>
      </c>
      <c r="Q41" s="407" t="e">
        <f t="shared" si="302"/>
        <v>#N/A</v>
      </c>
      <c r="R41" s="407" t="e">
        <f t="shared" si="302"/>
        <v>#N/A</v>
      </c>
      <c r="S41" s="407" t="e">
        <f t="shared" si="302"/>
        <v>#N/A</v>
      </c>
      <c r="T41" s="407" t="e">
        <f t="shared" si="302"/>
        <v>#N/A</v>
      </c>
      <c r="U41" s="407" t="e">
        <f t="shared" si="302"/>
        <v>#N/A</v>
      </c>
      <c r="V41" s="407" t="e">
        <f t="shared" si="302"/>
        <v>#N/A</v>
      </c>
      <c r="W41" s="407" t="e">
        <f t="shared" si="302"/>
        <v>#N/A</v>
      </c>
      <c r="X41" s="407" t="e">
        <f t="shared" si="302"/>
        <v>#N/A</v>
      </c>
      <c r="Y41" s="407" t="e">
        <f t="shared" si="302"/>
        <v>#N/A</v>
      </c>
      <c r="Z41" s="407" t="e">
        <f t="shared" si="302"/>
        <v>#N/A</v>
      </c>
      <c r="AA41" s="407" t="e">
        <f t="shared" si="302"/>
        <v>#N/A</v>
      </c>
      <c r="AB41" s="407" t="e">
        <f t="shared" si="302"/>
        <v>#N/A</v>
      </c>
      <c r="AC41" s="407" t="e">
        <f t="shared" si="302"/>
        <v>#N/A</v>
      </c>
      <c r="AD41" s="407" t="e">
        <f t="shared" si="302"/>
        <v>#N/A</v>
      </c>
      <c r="AE41" s="407" t="e">
        <f t="shared" si="302"/>
        <v>#N/A</v>
      </c>
      <c r="AF41" s="407" t="e">
        <f t="shared" si="302"/>
        <v>#N/A</v>
      </c>
      <c r="AG41" s="407" t="e">
        <f t="shared" si="302"/>
        <v>#N/A</v>
      </c>
      <c r="AH41" s="407" t="e">
        <f t="shared" si="302"/>
        <v>#N/A</v>
      </c>
      <c r="AI41" s="407" t="e">
        <f t="shared" si="302"/>
        <v>#N/A</v>
      </c>
      <c r="AJ41" s="407" t="e">
        <f t="shared" si="302"/>
        <v>#N/A</v>
      </c>
      <c r="AK41" s="407" t="e">
        <f t="shared" si="302"/>
        <v>#N/A</v>
      </c>
      <c r="AL41" s="407" t="e">
        <f t="shared" si="302"/>
        <v>#N/A</v>
      </c>
      <c r="AM41" s="407" t="e">
        <f t="shared" si="302"/>
        <v>#N/A</v>
      </c>
      <c r="AN41" s="407" t="e">
        <f t="shared" si="302"/>
        <v>#N/A</v>
      </c>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407"/>
      <c r="BV41" s="407"/>
      <c r="BW41" s="407"/>
      <c r="BX41" s="407"/>
      <c r="BY41" s="407"/>
      <c r="BZ41" s="407"/>
      <c r="CA41" s="407"/>
      <c r="CB41" s="407"/>
      <c r="CC41" s="407"/>
      <c r="CD41" s="407"/>
      <c r="CE41" s="407"/>
      <c r="CF41" s="407"/>
      <c r="CG41" s="407"/>
      <c r="CH41" s="407"/>
      <c r="CI41" s="407"/>
      <c r="CJ41" s="407"/>
      <c r="CK41" s="407"/>
      <c r="CL41" s="407"/>
      <c r="CN41" s="408" t="str">
        <f t="shared" si="136"/>
        <v/>
      </c>
      <c r="CO41" s="408" t="str">
        <f t="shared" si="137"/>
        <v/>
      </c>
      <c r="CP41" s="408" t="str">
        <f t="shared" si="138"/>
        <v/>
      </c>
    </row>
    <row r="42" spans="1:94" ht="17.25" collapsed="1" thickTop="1" thickBot="1">
      <c r="A42" s="383" t="s">
        <v>112</v>
      </c>
      <c r="B42" s="383"/>
      <c r="C42" s="383"/>
      <c r="D42" s="383"/>
      <c r="E42" s="385">
        <v>2015</v>
      </c>
      <c r="F42" s="386">
        <f>E42+1</f>
        <v>2016</v>
      </c>
      <c r="G42" s="386">
        <f t="shared" ref="G42:I42" si="304">F42+1</f>
        <v>2017</v>
      </c>
      <c r="H42" s="386">
        <f t="shared" si="304"/>
        <v>2018</v>
      </c>
      <c r="I42" s="386">
        <f t="shared" si="304"/>
        <v>2019</v>
      </c>
      <c r="J42" s="386">
        <f>E42+5</f>
        <v>2020</v>
      </c>
      <c r="K42" s="386">
        <f>J42+1</f>
        <v>2021</v>
      </c>
      <c r="L42" s="386">
        <f t="shared" ref="L42:N42" si="305">K42+1</f>
        <v>2022</v>
      </c>
      <c r="M42" s="386">
        <f t="shared" si="305"/>
        <v>2023</v>
      </c>
      <c r="N42" s="386">
        <f t="shared" si="305"/>
        <v>2024</v>
      </c>
      <c r="O42" s="386">
        <f>J42+5</f>
        <v>2025</v>
      </c>
      <c r="P42" s="386">
        <f>O42+1</f>
        <v>2026</v>
      </c>
      <c r="Q42" s="386">
        <f t="shared" ref="Q42:S42" si="306">P42+1</f>
        <v>2027</v>
      </c>
      <c r="R42" s="386">
        <f t="shared" si="306"/>
        <v>2028</v>
      </c>
      <c r="S42" s="386">
        <f t="shared" si="306"/>
        <v>2029</v>
      </c>
      <c r="T42" s="386">
        <f>O42+5</f>
        <v>2030</v>
      </c>
      <c r="U42" s="386">
        <f>T42+1</f>
        <v>2031</v>
      </c>
      <c r="V42" s="386">
        <f t="shared" ref="V42:X42" si="307">U42+1</f>
        <v>2032</v>
      </c>
      <c r="W42" s="386">
        <f t="shared" si="307"/>
        <v>2033</v>
      </c>
      <c r="X42" s="386">
        <f t="shared" si="307"/>
        <v>2034</v>
      </c>
      <c r="Y42" s="386">
        <f>T42+5</f>
        <v>2035</v>
      </c>
      <c r="Z42" s="386">
        <f>Y42+1</f>
        <v>2036</v>
      </c>
      <c r="AA42" s="386">
        <f t="shared" ref="AA42:AC42" si="308">Z42+1</f>
        <v>2037</v>
      </c>
      <c r="AB42" s="386">
        <f t="shared" si="308"/>
        <v>2038</v>
      </c>
      <c r="AC42" s="386">
        <f t="shared" si="308"/>
        <v>2039</v>
      </c>
      <c r="AD42" s="386">
        <f>Y42+5</f>
        <v>2040</v>
      </c>
      <c r="AE42" s="386">
        <f>AD42+1</f>
        <v>2041</v>
      </c>
      <c r="AF42" s="386">
        <f t="shared" ref="AF42:AH42" si="309">AE42+1</f>
        <v>2042</v>
      </c>
      <c r="AG42" s="386">
        <f t="shared" si="309"/>
        <v>2043</v>
      </c>
      <c r="AH42" s="386">
        <f t="shared" si="309"/>
        <v>2044</v>
      </c>
      <c r="AI42" s="386">
        <f>AD42+5</f>
        <v>2045</v>
      </c>
      <c r="AJ42" s="386">
        <f>AI42+1</f>
        <v>2046</v>
      </c>
      <c r="AK42" s="386">
        <f t="shared" ref="AK42:AM42" si="310">AJ42+1</f>
        <v>2047</v>
      </c>
      <c r="AL42" s="386">
        <f t="shared" si="310"/>
        <v>2048</v>
      </c>
      <c r="AM42" s="386">
        <f t="shared" si="310"/>
        <v>2049</v>
      </c>
      <c r="AN42" s="386">
        <f>AI42+5</f>
        <v>2050</v>
      </c>
      <c r="AO42" s="386">
        <f>AN42+1</f>
        <v>2051</v>
      </c>
      <c r="AP42" s="386">
        <f t="shared" ref="AP42:AR42" si="311">AO42+1</f>
        <v>2052</v>
      </c>
      <c r="AQ42" s="386">
        <f t="shared" si="311"/>
        <v>2053</v>
      </c>
      <c r="AR42" s="386">
        <f t="shared" si="311"/>
        <v>2054</v>
      </c>
      <c r="AS42" s="386">
        <f>AN42+5</f>
        <v>2055</v>
      </c>
      <c r="AT42" s="386">
        <f>AS42+1</f>
        <v>2056</v>
      </c>
      <c r="AU42" s="386">
        <f t="shared" ref="AU42:AW42" si="312">AT42+1</f>
        <v>2057</v>
      </c>
      <c r="AV42" s="386">
        <f t="shared" si="312"/>
        <v>2058</v>
      </c>
      <c r="AW42" s="386">
        <f t="shared" si="312"/>
        <v>2059</v>
      </c>
      <c r="AX42" s="386">
        <f>AS42+5</f>
        <v>2060</v>
      </c>
      <c r="AY42" s="386">
        <f>AX42+1</f>
        <v>2061</v>
      </c>
      <c r="AZ42" s="386">
        <f t="shared" ref="AZ42:BB42" si="313">AY42+1</f>
        <v>2062</v>
      </c>
      <c r="BA42" s="386">
        <f t="shared" si="313"/>
        <v>2063</v>
      </c>
      <c r="BB42" s="386">
        <f t="shared" si="313"/>
        <v>2064</v>
      </c>
      <c r="BC42" s="386">
        <f>AX42+5</f>
        <v>2065</v>
      </c>
      <c r="BD42" s="386">
        <f>BC42+1</f>
        <v>2066</v>
      </c>
      <c r="BE42" s="386">
        <f t="shared" ref="BE42:BG42" si="314">BD42+1</f>
        <v>2067</v>
      </c>
      <c r="BF42" s="386">
        <f t="shared" si="314"/>
        <v>2068</v>
      </c>
      <c r="BG42" s="386">
        <f t="shared" si="314"/>
        <v>2069</v>
      </c>
      <c r="BH42" s="386">
        <f>BC42+5</f>
        <v>2070</v>
      </c>
      <c r="BI42" s="386">
        <f>BH42+1</f>
        <v>2071</v>
      </c>
      <c r="BJ42" s="386">
        <f t="shared" ref="BJ42:BL42" si="315">BI42+1</f>
        <v>2072</v>
      </c>
      <c r="BK42" s="386">
        <f t="shared" si="315"/>
        <v>2073</v>
      </c>
      <c r="BL42" s="386">
        <f t="shared" si="315"/>
        <v>2074</v>
      </c>
      <c r="BM42" s="386">
        <f>BH42+5</f>
        <v>2075</v>
      </c>
      <c r="BN42" s="386">
        <f>BM42+1</f>
        <v>2076</v>
      </c>
      <c r="BO42" s="386">
        <f t="shared" ref="BO42:BQ42" si="316">BN42+1</f>
        <v>2077</v>
      </c>
      <c r="BP42" s="386">
        <f t="shared" si="316"/>
        <v>2078</v>
      </c>
      <c r="BQ42" s="386">
        <f t="shared" si="316"/>
        <v>2079</v>
      </c>
      <c r="BR42" s="386">
        <f>BM42+5</f>
        <v>2080</v>
      </c>
      <c r="BS42" s="386">
        <f>BR42+1</f>
        <v>2081</v>
      </c>
      <c r="BT42" s="386">
        <f t="shared" ref="BT42:BV42" si="317">BS42+1</f>
        <v>2082</v>
      </c>
      <c r="BU42" s="386">
        <f t="shared" si="317"/>
        <v>2083</v>
      </c>
      <c r="BV42" s="386">
        <f t="shared" si="317"/>
        <v>2084</v>
      </c>
      <c r="BW42" s="386">
        <f>BR42+5</f>
        <v>2085</v>
      </c>
      <c r="BX42" s="386">
        <f>BW42+1</f>
        <v>2086</v>
      </c>
      <c r="BY42" s="386">
        <f t="shared" ref="BY42:CA42" si="318">BX42+1</f>
        <v>2087</v>
      </c>
      <c r="BZ42" s="386">
        <f t="shared" si="318"/>
        <v>2088</v>
      </c>
      <c r="CA42" s="386">
        <f t="shared" si="318"/>
        <v>2089</v>
      </c>
      <c r="CB42" s="386">
        <f>BW42+5</f>
        <v>2090</v>
      </c>
      <c r="CC42" s="386">
        <f>CB42+1</f>
        <v>2091</v>
      </c>
      <c r="CD42" s="386">
        <f t="shared" ref="CD42:CF42" si="319">CC42+1</f>
        <v>2092</v>
      </c>
      <c r="CE42" s="386">
        <f t="shared" si="319"/>
        <v>2093</v>
      </c>
      <c r="CF42" s="386">
        <f t="shared" si="319"/>
        <v>2094</v>
      </c>
      <c r="CG42" s="386">
        <f>CB42+5</f>
        <v>2095</v>
      </c>
      <c r="CH42" s="386">
        <f>CG42+1</f>
        <v>2096</v>
      </c>
      <c r="CI42" s="386">
        <f t="shared" ref="CI42:CK42" si="320">CH42+1</f>
        <v>2097</v>
      </c>
      <c r="CJ42" s="386">
        <f t="shared" si="320"/>
        <v>2098</v>
      </c>
      <c r="CK42" s="386">
        <f t="shared" si="320"/>
        <v>2099</v>
      </c>
      <c r="CL42" s="386">
        <f>CG42+5</f>
        <v>2100</v>
      </c>
      <c r="CN42" s="387" t="s">
        <v>409</v>
      </c>
      <c r="CO42" s="387" t="s">
        <v>411</v>
      </c>
      <c r="CP42" s="387" t="s">
        <v>410</v>
      </c>
    </row>
    <row r="43" spans="1:94" ht="16.5" hidden="1" outlineLevel="1" thickTop="1">
      <c r="A43" s="388" t="s">
        <v>152</v>
      </c>
      <c r="B43" s="388" t="str">
        <f>$A$42</f>
        <v>Belly</v>
      </c>
      <c r="C43" s="389" t="s">
        <v>261</v>
      </c>
      <c r="D43" s="389"/>
      <c r="E43" s="390">
        <f ca="1">'SDS Calc'!E43</f>
        <v>70.822815415804456</v>
      </c>
      <c r="F43" s="531">
        <f ca="1">'SDS Calc'!F43</f>
        <v>74.528335149182837</v>
      </c>
      <c r="G43" s="531">
        <f ca="1">'SDS Calc'!G43</f>
        <v>78.233854882561218</v>
      </c>
      <c r="H43" s="531">
        <f ca="1">'SDS Calc'!H43</f>
        <v>81.939374615939613</v>
      </c>
      <c r="I43" s="531">
        <f ca="1">'SDS Calc'!I43</f>
        <v>83.929209607292663</v>
      </c>
      <c r="J43" s="531" t="e">
        <f ca="1">'SDS Calc'!J43</f>
        <v>#N/A</v>
      </c>
      <c r="K43" s="531" t="e">
        <f ca="1">'SDS Calc'!K43</f>
        <v>#N/A</v>
      </c>
      <c r="L43" s="531" t="e">
        <f ca="1">'SDS Calc'!L43</f>
        <v>#N/A</v>
      </c>
      <c r="M43" s="531">
        <f ca="1">'SDS Calc'!M43</f>
        <v>82.5917783805005</v>
      </c>
      <c r="N43" s="531">
        <f ca="1">'SDS Calc'!N43</f>
        <v>82.257420573802477</v>
      </c>
      <c r="O43" s="531">
        <f ca="1">'SDS Calc'!O43</f>
        <v>81.923062767104454</v>
      </c>
      <c r="P43" s="531">
        <f ca="1">'SDS Calc'!P43</f>
        <v>81.588704960406417</v>
      </c>
      <c r="Q43" s="531">
        <f ca="1">'SDS Calc'!Q43</f>
        <v>81.254347153708352</v>
      </c>
      <c r="R43" s="531">
        <f ca="1">'SDS Calc'!R43</f>
        <v>80.919989347010315</v>
      </c>
      <c r="S43" s="531">
        <f ca="1">'SDS Calc'!S43</f>
        <v>80.585631540312278</v>
      </c>
      <c r="T43" s="531">
        <f ca="1">'SDS Calc'!T43</f>
        <v>80.251273733614184</v>
      </c>
      <c r="U43" s="531">
        <f ca="1">'SDS Calc'!U43</f>
        <v>79.408021545079691</v>
      </c>
      <c r="V43" s="531">
        <f ca="1">IF($B$6="ON", IF(V42&gt;=covid_start, IF(V42&lt;covid_recovery,NA(),SUMIFS(INDIRECT("Data_main"&amp;"["&amp;V$8&amp;"]"),Data_main[Data],$A43, Data_main[Segment],$B43, Data_main[Scenario],$B$3)),SUMIFS(INDIRECT("Data_main"&amp;"["&amp;V$8&amp;"]"),Data_main[Data],$A43, Data_main[Segment],$B43, Data_main[Scenario],$B$3)),SUMIFS(INDIRECT("Data_main"&amp;"["&amp;V$8&amp;"]"),Data_main[Data],$A43, Data_main[Segment],$B43, Data_main[Scenario],$B$3))</f>
        <v>75.345024838644036</v>
      </c>
      <c r="W43" s="390">
        <f ca="1">IF($B$6="ON", IF(W42&gt;=covid_start, IF(W42&lt;covid_recovery,NA(),SUMIFS(INDIRECT("Data_main"&amp;"["&amp;W$8&amp;"]"),Data_main[Data],$A43, Data_main[Segment],$B43, Data_main[Scenario],$B$3)),SUMIFS(INDIRECT("Data_main"&amp;"["&amp;W$8&amp;"]"),Data_main[Data],$A43, Data_main[Segment],$B43, Data_main[Scenario],$B$3)),SUMIFS(INDIRECT("Data_main"&amp;"["&amp;W$8&amp;"]"),Data_main[Data],$A43, Data_main[Segment],$B43, Data_main[Scenario],$B$3))</f>
        <v>72.062889931094062</v>
      </c>
      <c r="X43" s="390">
        <f ca="1">IF($B$6="ON", IF(X42&gt;=covid_start, IF(X42&lt;covid_recovery,NA(),SUMIFS(INDIRECT("Data_main"&amp;"["&amp;X$8&amp;"]"),Data_main[Data],$A43, Data_main[Segment],$B43, Data_main[Scenario],$B$3)),SUMIFS(INDIRECT("Data_main"&amp;"["&amp;X$8&amp;"]"),Data_main[Data],$A43, Data_main[Segment],$B43, Data_main[Scenario],$B$3)),SUMIFS(INDIRECT("Data_main"&amp;"["&amp;X$8&amp;"]"),Data_main[Data],$A43, Data_main[Segment],$B43, Data_main[Scenario],$B$3))</f>
        <v>68.734765982356535</v>
      </c>
      <c r="Y43" s="390">
        <f ca="1">IF($B$6="ON", IF(Y42&gt;=covid_start, IF(Y42&lt;covid_recovery,NA(),SUMIFS(INDIRECT("Data_main"&amp;"["&amp;Y$8&amp;"]"),Data_main[Data],$A43, Data_main[Segment],$B43, Data_main[Scenario],$B$3)),SUMIFS(INDIRECT("Data_main"&amp;"["&amp;Y$8&amp;"]"),Data_main[Data],$A43, Data_main[Segment],$B43, Data_main[Scenario],$B$3)),SUMIFS(INDIRECT("Data_main"&amp;"["&amp;Y$8&amp;"]"),Data_main[Data],$A43, Data_main[Segment],$B43, Data_main[Scenario],$B$3))</f>
        <v>63.944679985653856</v>
      </c>
      <c r="Z43" s="390">
        <f ca="1">IF($B$6="ON", IF(Z42&gt;=covid_start, IF(Z42&lt;covid_recovery,NA(),SUMIFS(INDIRECT("Data_main"&amp;"["&amp;Z$8&amp;"]"),Data_main[Data],$A43, Data_main[Segment],$B43, Data_main[Scenario],$B$3)),SUMIFS(INDIRECT("Data_main"&amp;"["&amp;Z$8&amp;"]"),Data_main[Data],$A43, Data_main[Segment],$B43, Data_main[Scenario],$B$3)),SUMIFS(INDIRECT("Data_main"&amp;"["&amp;Z$8&amp;"]"),Data_main[Data],$A43, Data_main[Segment],$B43, Data_main[Scenario],$B$3))</f>
        <v>59.045186973117993</v>
      </c>
      <c r="AA43" s="390">
        <f ca="1">IF($B$6="ON", IF(AA42&gt;=covid_start, IF(AA42&lt;covid_recovery,NA(),SUMIFS(INDIRECT("Data_main"&amp;"["&amp;AA$8&amp;"]"),Data_main[Data],$A43, Data_main[Segment],$B43, Data_main[Scenario],$B$3)),SUMIFS(INDIRECT("Data_main"&amp;"["&amp;AA$8&amp;"]"),Data_main[Data],$A43, Data_main[Segment],$B43, Data_main[Scenario],$B$3)),SUMIFS(INDIRECT("Data_main"&amp;"["&amp;AA$8&amp;"]"),Data_main[Data],$A43, Data_main[Segment],$B43, Data_main[Scenario],$B$3))</f>
        <v>54.142789093947648</v>
      </c>
      <c r="AB43" s="390">
        <f ca="1">IF($B$6="ON", IF(AB42&gt;=covid_start, IF(AB42&lt;covid_recovery,NA(),SUMIFS(INDIRECT("Data_main"&amp;"["&amp;AB$8&amp;"]"),Data_main[Data],$A43, Data_main[Segment],$B43, Data_main[Scenario],$B$3)),SUMIFS(INDIRECT("Data_main"&amp;"["&amp;AB$8&amp;"]"),Data_main[Data],$A43, Data_main[Segment],$B43, Data_main[Scenario],$B$3)),SUMIFS(INDIRECT("Data_main"&amp;"["&amp;AB$8&amp;"]"),Data_main[Data],$A43, Data_main[Segment],$B43, Data_main[Scenario],$B$3))</f>
        <v>49.261743001461561</v>
      </c>
      <c r="AC43" s="390">
        <f ca="1">IF($B$6="ON", IF(AC42&gt;=covid_start, IF(AC42&lt;covid_recovery,NA(),SUMIFS(INDIRECT("Data_main"&amp;"["&amp;AC$8&amp;"]"),Data_main[Data],$A43, Data_main[Segment],$B43, Data_main[Scenario],$B$3)),SUMIFS(INDIRECT("Data_main"&amp;"["&amp;AC$8&amp;"]"),Data_main[Data],$A43, Data_main[Segment],$B43, Data_main[Scenario],$B$3)),SUMIFS(INDIRECT("Data_main"&amp;"["&amp;AC$8&amp;"]"),Data_main[Data],$A43, Data_main[Segment],$B43, Data_main[Scenario],$B$3))</f>
        <v>44.425383778760533</v>
      </c>
      <c r="AD43" s="390">
        <f ca="1">IF($B$6="ON", IF(AD42&gt;=covid_start, IF(AD42&lt;covid_recovery,NA(),SUMIFS(INDIRECT("Data_main"&amp;"["&amp;AD$8&amp;"]"),Data_main[Data],$A43, Data_main[Segment],$B43, Data_main[Scenario],$B$3)),SUMIFS(INDIRECT("Data_main"&amp;"["&amp;AD$8&amp;"]"),Data_main[Data],$A43, Data_main[Segment],$B43, Data_main[Scenario],$B$3)),SUMIFS(INDIRECT("Data_main"&amp;"["&amp;AD$8&amp;"]"),Data_main[Data],$A43, Data_main[Segment],$B43, Data_main[Scenario],$B$3))</f>
        <v>39.649896537430372</v>
      </c>
      <c r="AE43" s="390">
        <f ca="1">IF($B$6="ON", IF(AE42&gt;=covid_start, IF(AE42&lt;covid_recovery,NA(),SUMIFS(INDIRECT("Data_main"&amp;"["&amp;AE$8&amp;"]"),Data_main[Data],$A43, Data_main[Segment],$B43, Data_main[Scenario],$B$3)),SUMIFS(INDIRECT("Data_main"&amp;"["&amp;AE$8&amp;"]"),Data_main[Data],$A43, Data_main[Segment],$B43, Data_main[Scenario],$B$3)),SUMIFS(INDIRECT("Data_main"&amp;"["&amp;AE$8&amp;"]"),Data_main[Data],$A43, Data_main[Segment],$B43, Data_main[Scenario],$B$3))</f>
        <v>35.448488779601789</v>
      </c>
      <c r="AF43" s="390">
        <f ca="1">IF($B$6="ON", IF(AF42&gt;=covid_start, IF(AF42&lt;covid_recovery,NA(),SUMIFS(INDIRECT("Data_main"&amp;"["&amp;AF$8&amp;"]"),Data_main[Data],$A43, Data_main[Segment],$B43, Data_main[Scenario],$B$3)),SUMIFS(INDIRECT("Data_main"&amp;"["&amp;AF$8&amp;"]"),Data_main[Data],$A43, Data_main[Segment],$B43, Data_main[Scenario],$B$3)),SUMIFS(INDIRECT("Data_main"&amp;"["&amp;AF$8&amp;"]"),Data_main[Data],$A43, Data_main[Segment],$B43, Data_main[Scenario],$B$3))</f>
        <v>31.314376197361792</v>
      </c>
      <c r="AG43" s="390">
        <f ca="1">IF($B$6="ON", IF(AG42&gt;=covid_start, IF(AG42&lt;covid_recovery,NA(),SUMIFS(INDIRECT("Data_main"&amp;"["&amp;AG$8&amp;"]"),Data_main[Data],$A43, Data_main[Segment],$B43, Data_main[Scenario],$B$3)),SUMIFS(INDIRECT("Data_main"&amp;"["&amp;AG$8&amp;"]"),Data_main[Data],$A43, Data_main[Segment],$B43, Data_main[Scenario],$B$3)),SUMIFS(INDIRECT("Data_main"&amp;"["&amp;AG$8&amp;"]"),Data_main[Data],$A43, Data_main[Segment],$B43, Data_main[Scenario],$B$3))</f>
        <v>27.236949107660205</v>
      </c>
      <c r="AH43" s="390">
        <f ca="1">IF($B$6="ON", IF(AH42&gt;=covid_start, IF(AH42&lt;covid_recovery,NA(),SUMIFS(INDIRECT("Data_main"&amp;"["&amp;AH$8&amp;"]"),Data_main[Data],$A43, Data_main[Segment],$B43, Data_main[Scenario],$B$3)),SUMIFS(INDIRECT("Data_main"&amp;"["&amp;AH$8&amp;"]"),Data_main[Data],$A43, Data_main[Segment],$B43, Data_main[Scenario],$B$3)),SUMIFS(INDIRECT("Data_main"&amp;"["&amp;AH$8&amp;"]"),Data_main[Data],$A43, Data_main[Segment],$B43, Data_main[Scenario],$B$3))</f>
        <v>23.200137596413644</v>
      </c>
      <c r="AI43" s="390">
        <f ca="1">IF($B$6="ON", IF(AI42&gt;=covid_start, IF(AI42&lt;covid_recovery,NA(),SUMIFS(INDIRECT("Data_main"&amp;"["&amp;AI$8&amp;"]"),Data_main[Data],$A43, Data_main[Segment],$B43, Data_main[Scenario],$B$3)),SUMIFS(INDIRECT("Data_main"&amp;"["&amp;AI$8&amp;"]"),Data_main[Data],$A43, Data_main[Segment],$B43, Data_main[Scenario],$B$3)),SUMIFS(INDIRECT("Data_main"&amp;"["&amp;AI$8&amp;"]"),Data_main[Data],$A43, Data_main[Segment],$B43, Data_main[Scenario],$B$3))</f>
        <v>19.184747761091895</v>
      </c>
      <c r="AJ43" s="390">
        <f ca="1">IF($B$6="ON", IF(AJ42&gt;=covid_start, IF(AJ42&lt;covid_recovery,NA(),SUMIFS(INDIRECT("Data_main"&amp;"["&amp;AJ$8&amp;"]"),Data_main[Data],$A43, Data_main[Segment],$B43, Data_main[Scenario],$B$3)),SUMIFS(INDIRECT("Data_main"&amp;"["&amp;AJ$8&amp;"]"),Data_main[Data],$A43, Data_main[Segment],$B43, Data_main[Scenario],$B$3)),SUMIFS(INDIRECT("Data_main"&amp;"["&amp;AJ$8&amp;"]"),Data_main[Data],$A43, Data_main[Segment],$B43, Data_main[Scenario],$B$3))</f>
        <v>15.127965187241065</v>
      </c>
      <c r="AK43" s="390">
        <f ca="1">IF($B$6="ON", IF(AK42&gt;=covid_start, IF(AK42&lt;covid_recovery,NA(),SUMIFS(INDIRECT("Data_main"&amp;"["&amp;AK$8&amp;"]"),Data_main[Data],$A43, Data_main[Segment],$B43, Data_main[Scenario],$B$3)),SUMIFS(INDIRECT("Data_main"&amp;"["&amp;AK$8&amp;"]"),Data_main[Data],$A43, Data_main[Segment],$B43, Data_main[Scenario],$B$3)),SUMIFS(INDIRECT("Data_main"&amp;"["&amp;AK$8&amp;"]"),Data_main[Data],$A43, Data_main[Segment],$B43, Data_main[Scenario],$B$3))</f>
        <v>11.05419483493532</v>
      </c>
      <c r="AL43" s="390">
        <f ca="1">IF($B$6="ON", IF(AL42&gt;=covid_start, IF(AL42&lt;covid_recovery,NA(),SUMIFS(INDIRECT("Data_main"&amp;"["&amp;AL$8&amp;"]"),Data_main[Data],$A43, Data_main[Segment],$B43, Data_main[Scenario],$B$3)),SUMIFS(INDIRECT("Data_main"&amp;"["&amp;AL$8&amp;"]"),Data_main[Data],$A43, Data_main[Segment],$B43, Data_main[Scenario],$B$3)),SUMIFS(INDIRECT("Data_main"&amp;"["&amp;AL$8&amp;"]"),Data_main[Data],$A43, Data_main[Segment],$B43, Data_main[Scenario],$B$3))</f>
        <v>6.946618191231182</v>
      </c>
      <c r="AM43" s="390">
        <f ca="1">IF($B$6="ON", IF(AM42&gt;=covid_start, IF(AM42&lt;covid_recovery,NA(),SUMIFS(INDIRECT("Data_main"&amp;"["&amp;AM$8&amp;"]"),Data_main[Data],$A43, Data_main[Segment],$B43, Data_main[Scenario],$B$3)),SUMIFS(INDIRECT("Data_main"&amp;"["&amp;AM$8&amp;"]"),Data_main[Data],$A43, Data_main[Segment],$B43, Data_main[Scenario],$B$3)),SUMIFS(INDIRECT("Data_main"&amp;"["&amp;AM$8&amp;"]"),Data_main[Data],$A43, Data_main[Segment],$B43, Data_main[Scenario],$B$3))</f>
        <v>5.5295324612584453</v>
      </c>
      <c r="AN43" s="390">
        <f ca="1">IF($B$6="ON", IF(AN42&gt;=covid_start, IF(AN42&lt;covid_recovery,NA(),SUMIFS(INDIRECT("Data_main"&amp;"["&amp;AN$8&amp;"]"),Data_main[Data],$A43, Data_main[Segment],$B43, Data_main[Scenario],$B$3)),SUMIFS(INDIRECT("Data_main"&amp;"["&amp;AN$8&amp;"]"),Data_main[Data],$A43, Data_main[Segment],$B43, Data_main[Scenario],$B$3)),SUMIFS(INDIRECT("Data_main"&amp;"["&amp;AN$8&amp;"]"),Data_main[Data],$A43, Data_main[Segment],$B43, Data_main[Scenario],$B$3))</f>
        <v>4.860303769250625</v>
      </c>
      <c r="AO43" s="390">
        <f ca="1">IF($B$6="ON", IF(AO42&gt;=covid_start, IF(AO42&lt;covid_recovery,NA(),SUMIFS(INDIRECT("Data_main"&amp;"["&amp;AO$8&amp;"]"),Data_main[Data],$A43, Data_main[Segment],$B43, Data_main[Scenario],$B$3)),SUMIFS(INDIRECT("Data_main"&amp;"["&amp;AO$8&amp;"]"),Data_main[Data],$A43, Data_main[Segment],$B43, Data_main[Scenario],$B$3)),SUMIFS(INDIRECT("Data_main"&amp;"["&amp;AO$8&amp;"]"),Data_main[Data],$A43, Data_main[Segment],$B43, Data_main[Scenario],$B$3))</f>
        <v>0</v>
      </c>
      <c r="AP43" s="390">
        <f ca="1">IF($B$6="ON", IF(AP42&gt;=covid_start, IF(AP42&lt;covid_recovery,NA(),SUMIFS(INDIRECT("Data_main"&amp;"["&amp;AP$8&amp;"]"),Data_main[Data],$A43, Data_main[Segment],$B43, Data_main[Scenario],$B$3)),SUMIFS(INDIRECT("Data_main"&amp;"["&amp;AP$8&amp;"]"),Data_main[Data],$A43, Data_main[Segment],$B43, Data_main[Scenario],$B$3)),SUMIFS(INDIRECT("Data_main"&amp;"["&amp;AP$8&amp;"]"),Data_main[Data],$A43, Data_main[Segment],$B43, Data_main[Scenario],$B$3))</f>
        <v>0</v>
      </c>
      <c r="AQ43" s="390">
        <f ca="1">IF($B$6="ON", IF(AQ42&gt;=covid_start, IF(AQ42&lt;covid_recovery,NA(),SUMIFS(INDIRECT("Data_main"&amp;"["&amp;AQ$8&amp;"]"),Data_main[Data],$A43, Data_main[Segment],$B43, Data_main[Scenario],$B$3)),SUMIFS(INDIRECT("Data_main"&amp;"["&amp;AQ$8&amp;"]"),Data_main[Data],$A43, Data_main[Segment],$B43, Data_main[Scenario],$B$3)),SUMIFS(INDIRECT("Data_main"&amp;"["&amp;AQ$8&amp;"]"),Data_main[Data],$A43, Data_main[Segment],$B43, Data_main[Scenario],$B$3))</f>
        <v>0</v>
      </c>
      <c r="AR43" s="390">
        <f ca="1">IF($B$6="ON", IF(AR42&gt;=covid_start, IF(AR42&lt;covid_recovery,NA(),SUMIFS(INDIRECT("Data_main"&amp;"["&amp;AR$8&amp;"]"),Data_main[Data],$A43, Data_main[Segment],$B43, Data_main[Scenario],$B$3)),SUMIFS(INDIRECT("Data_main"&amp;"["&amp;AR$8&amp;"]"),Data_main[Data],$A43, Data_main[Segment],$B43, Data_main[Scenario],$B$3)),SUMIFS(INDIRECT("Data_main"&amp;"["&amp;AR$8&amp;"]"),Data_main[Data],$A43, Data_main[Segment],$B43, Data_main[Scenario],$B$3))</f>
        <v>0</v>
      </c>
      <c r="AS43" s="390">
        <f ca="1">IF($B$6="ON", IF(AS42&gt;=covid_start, IF(AS42&lt;covid_recovery,NA(),SUMIFS(INDIRECT("Data_main"&amp;"["&amp;AS$8&amp;"]"),Data_main[Data],$A43, Data_main[Segment],$B43, Data_main[Scenario],$B$3)),SUMIFS(INDIRECT("Data_main"&amp;"["&amp;AS$8&amp;"]"),Data_main[Data],$A43, Data_main[Segment],$B43, Data_main[Scenario],$B$3)),SUMIFS(INDIRECT("Data_main"&amp;"["&amp;AS$8&amp;"]"),Data_main[Data],$A43, Data_main[Segment],$B43, Data_main[Scenario],$B$3))</f>
        <v>0</v>
      </c>
      <c r="AT43" s="390">
        <f ca="1">IF($B$6="ON", IF(AT42&gt;=covid_start, IF(AT42&lt;covid_recovery,NA(),SUMIFS(INDIRECT("Data_main"&amp;"["&amp;AT$8&amp;"]"),Data_main[Data],$A43, Data_main[Segment],$B43, Data_main[Scenario],$B$3)),SUMIFS(INDIRECT("Data_main"&amp;"["&amp;AT$8&amp;"]"),Data_main[Data],$A43, Data_main[Segment],$B43, Data_main[Scenario],$B$3)),SUMIFS(INDIRECT("Data_main"&amp;"["&amp;AT$8&amp;"]"),Data_main[Data],$A43, Data_main[Segment],$B43, Data_main[Scenario],$B$3))</f>
        <v>0</v>
      </c>
      <c r="AU43" s="390">
        <f ca="1">IF($B$6="ON", IF(AU42&gt;=covid_start, IF(AU42&lt;covid_recovery,NA(),SUMIFS(INDIRECT("Data_main"&amp;"["&amp;AU$8&amp;"]"),Data_main[Data],$A43, Data_main[Segment],$B43, Data_main[Scenario],$B$3)),SUMIFS(INDIRECT("Data_main"&amp;"["&amp;AU$8&amp;"]"),Data_main[Data],$A43, Data_main[Segment],$B43, Data_main[Scenario],$B$3)),SUMIFS(INDIRECT("Data_main"&amp;"["&amp;AU$8&amp;"]"),Data_main[Data],$A43, Data_main[Segment],$B43, Data_main[Scenario],$B$3))</f>
        <v>0</v>
      </c>
      <c r="AV43" s="390">
        <f ca="1">IF($B$6="ON", IF(AV42&gt;=covid_start, IF(AV42&lt;covid_recovery,NA(),SUMIFS(INDIRECT("Data_main"&amp;"["&amp;AV$8&amp;"]"),Data_main[Data],$A43, Data_main[Segment],$B43, Data_main[Scenario],$B$3)),SUMIFS(INDIRECT("Data_main"&amp;"["&amp;AV$8&amp;"]"),Data_main[Data],$A43, Data_main[Segment],$B43, Data_main[Scenario],$B$3)),SUMIFS(INDIRECT("Data_main"&amp;"["&amp;AV$8&amp;"]"),Data_main[Data],$A43, Data_main[Segment],$B43, Data_main[Scenario],$B$3))</f>
        <v>0</v>
      </c>
      <c r="AW43" s="390">
        <f ca="1">IF($B$6="ON", IF(AW42&gt;=covid_start, IF(AW42&lt;covid_recovery,NA(),SUMIFS(INDIRECT("Data_main"&amp;"["&amp;AW$8&amp;"]"),Data_main[Data],$A43, Data_main[Segment],$B43, Data_main[Scenario],$B$3)),SUMIFS(INDIRECT("Data_main"&amp;"["&amp;AW$8&amp;"]"),Data_main[Data],$A43, Data_main[Segment],$B43, Data_main[Scenario],$B$3)),SUMIFS(INDIRECT("Data_main"&amp;"["&amp;AW$8&amp;"]"),Data_main[Data],$A43, Data_main[Segment],$B43, Data_main[Scenario],$B$3))</f>
        <v>0</v>
      </c>
      <c r="AX43" s="390">
        <f ca="1">IF($B$6="ON", IF(AX42&gt;=covid_start, IF(AX42&lt;covid_recovery,NA(),SUMIFS(INDIRECT("Data_main"&amp;"["&amp;AX$8&amp;"]"),Data_main[Data],$A43, Data_main[Segment],$B43, Data_main[Scenario],$B$3)),SUMIFS(INDIRECT("Data_main"&amp;"["&amp;AX$8&amp;"]"),Data_main[Data],$A43, Data_main[Segment],$B43, Data_main[Scenario],$B$3)),SUMIFS(INDIRECT("Data_main"&amp;"["&amp;AX$8&amp;"]"),Data_main[Data],$A43, Data_main[Segment],$B43, Data_main[Scenario],$B$3))</f>
        <v>0</v>
      </c>
      <c r="AY43" s="390">
        <f ca="1">IF($B$6="ON", IF(AY42&gt;=covid_start, IF(AY42&lt;covid_recovery,NA(),SUMIFS(INDIRECT("Data_main"&amp;"["&amp;AY$8&amp;"]"),Data_main[Data],$A43, Data_main[Segment],$B43, Data_main[Scenario],$B$3)),SUMIFS(INDIRECT("Data_main"&amp;"["&amp;AY$8&amp;"]"),Data_main[Data],$A43, Data_main[Segment],$B43, Data_main[Scenario],$B$3)),SUMIFS(INDIRECT("Data_main"&amp;"["&amp;AY$8&amp;"]"),Data_main[Data],$A43, Data_main[Segment],$B43, Data_main[Scenario],$B$3))</f>
        <v>0</v>
      </c>
      <c r="AZ43" s="390">
        <f ca="1">IF($B$6="ON", IF(AZ42&gt;=covid_start, IF(AZ42&lt;covid_recovery,NA(),SUMIFS(INDIRECT("Data_main"&amp;"["&amp;AZ$8&amp;"]"),Data_main[Data],$A43, Data_main[Segment],$B43, Data_main[Scenario],$B$3)),SUMIFS(INDIRECT("Data_main"&amp;"["&amp;AZ$8&amp;"]"),Data_main[Data],$A43, Data_main[Segment],$B43, Data_main[Scenario],$B$3)),SUMIFS(INDIRECT("Data_main"&amp;"["&amp;AZ$8&amp;"]"),Data_main[Data],$A43, Data_main[Segment],$B43, Data_main[Scenario],$B$3))</f>
        <v>0</v>
      </c>
      <c r="BA43" s="390">
        <f ca="1">IF($B$6="ON", IF(BA42&gt;=covid_start, IF(BA42&lt;covid_recovery,NA(),SUMIFS(INDIRECT("Data_main"&amp;"["&amp;BA$8&amp;"]"),Data_main[Data],$A43, Data_main[Segment],$B43, Data_main[Scenario],$B$3)),SUMIFS(INDIRECT("Data_main"&amp;"["&amp;BA$8&amp;"]"),Data_main[Data],$A43, Data_main[Segment],$B43, Data_main[Scenario],$B$3)),SUMIFS(INDIRECT("Data_main"&amp;"["&amp;BA$8&amp;"]"),Data_main[Data],$A43, Data_main[Segment],$B43, Data_main[Scenario],$B$3))</f>
        <v>0</v>
      </c>
      <c r="BB43" s="390">
        <f ca="1">IF($B$6="ON", IF(BB42&gt;=covid_start, IF(BB42&lt;covid_recovery,NA(),SUMIFS(INDIRECT("Data_main"&amp;"["&amp;BB$8&amp;"]"),Data_main[Data],$A43, Data_main[Segment],$B43, Data_main[Scenario],$B$3)),SUMIFS(INDIRECT("Data_main"&amp;"["&amp;BB$8&amp;"]"),Data_main[Data],$A43, Data_main[Segment],$B43, Data_main[Scenario],$B$3)),SUMIFS(INDIRECT("Data_main"&amp;"["&amp;BB$8&amp;"]"),Data_main[Data],$A43, Data_main[Segment],$B43, Data_main[Scenario],$B$3))</f>
        <v>0</v>
      </c>
      <c r="BC43" s="390">
        <f ca="1">IF($B$6="ON", IF(BC42&gt;=covid_start, IF(BC42&lt;covid_recovery,NA(),SUMIFS(INDIRECT("Data_main"&amp;"["&amp;BC$8&amp;"]"),Data_main[Data],$A43, Data_main[Segment],$B43, Data_main[Scenario],$B$3)),SUMIFS(INDIRECT("Data_main"&amp;"["&amp;BC$8&amp;"]"),Data_main[Data],$A43, Data_main[Segment],$B43, Data_main[Scenario],$B$3)),SUMIFS(INDIRECT("Data_main"&amp;"["&amp;BC$8&amp;"]"),Data_main[Data],$A43, Data_main[Segment],$B43, Data_main[Scenario],$B$3))</f>
        <v>0</v>
      </c>
      <c r="BD43" s="390">
        <f ca="1">IF($B$6="ON", IF(BD42&gt;=covid_start, IF(BD42&lt;covid_recovery,NA(),SUMIFS(INDIRECT("Data_main"&amp;"["&amp;BD$8&amp;"]"),Data_main[Data],$A43, Data_main[Segment],$B43, Data_main[Scenario],$B$3)),SUMIFS(INDIRECT("Data_main"&amp;"["&amp;BD$8&amp;"]"),Data_main[Data],$A43, Data_main[Segment],$B43, Data_main[Scenario],$B$3)),SUMIFS(INDIRECT("Data_main"&amp;"["&amp;BD$8&amp;"]"),Data_main[Data],$A43, Data_main[Segment],$B43, Data_main[Scenario],$B$3))</f>
        <v>0</v>
      </c>
      <c r="BE43" s="390">
        <f ca="1">IF($B$6="ON", IF(BE42&gt;=covid_start, IF(BE42&lt;covid_recovery,NA(),SUMIFS(INDIRECT("Data_main"&amp;"["&amp;BE$8&amp;"]"),Data_main[Data],$A43, Data_main[Segment],$B43, Data_main[Scenario],$B$3)),SUMIFS(INDIRECT("Data_main"&amp;"["&amp;BE$8&amp;"]"),Data_main[Data],$A43, Data_main[Segment],$B43, Data_main[Scenario],$B$3)),SUMIFS(INDIRECT("Data_main"&amp;"["&amp;BE$8&amp;"]"),Data_main[Data],$A43, Data_main[Segment],$B43, Data_main[Scenario],$B$3))</f>
        <v>0</v>
      </c>
      <c r="BF43" s="390">
        <f ca="1">IF($B$6="ON", IF(BF42&gt;=covid_start, IF(BF42&lt;covid_recovery,NA(),SUMIFS(INDIRECT("Data_main"&amp;"["&amp;BF$8&amp;"]"),Data_main[Data],$A43, Data_main[Segment],$B43, Data_main[Scenario],$B$3)),SUMIFS(INDIRECT("Data_main"&amp;"["&amp;BF$8&amp;"]"),Data_main[Data],$A43, Data_main[Segment],$B43, Data_main[Scenario],$B$3)),SUMIFS(INDIRECT("Data_main"&amp;"["&amp;BF$8&amp;"]"),Data_main[Data],$A43, Data_main[Segment],$B43, Data_main[Scenario],$B$3))</f>
        <v>0</v>
      </c>
      <c r="BG43" s="390">
        <f ca="1">IF($B$6="ON", IF(BG42&gt;=covid_start, IF(BG42&lt;covid_recovery,NA(),SUMIFS(INDIRECT("Data_main"&amp;"["&amp;BG$8&amp;"]"),Data_main[Data],$A43, Data_main[Segment],$B43, Data_main[Scenario],$B$3)),SUMIFS(INDIRECT("Data_main"&amp;"["&amp;BG$8&amp;"]"),Data_main[Data],$A43, Data_main[Segment],$B43, Data_main[Scenario],$B$3)),SUMIFS(INDIRECT("Data_main"&amp;"["&amp;BG$8&amp;"]"),Data_main[Data],$A43, Data_main[Segment],$B43, Data_main[Scenario],$B$3))</f>
        <v>0</v>
      </c>
      <c r="BH43" s="390">
        <f ca="1">IF($B$6="ON", IF(BH42&gt;=covid_start, IF(BH42&lt;covid_recovery,NA(),SUMIFS(INDIRECT("Data_main"&amp;"["&amp;BH$8&amp;"]"),Data_main[Data],$A43, Data_main[Segment],$B43, Data_main[Scenario],$B$3)),SUMIFS(INDIRECT("Data_main"&amp;"["&amp;BH$8&amp;"]"),Data_main[Data],$A43, Data_main[Segment],$B43, Data_main[Scenario],$B$3)),SUMIFS(INDIRECT("Data_main"&amp;"["&amp;BH$8&amp;"]"),Data_main[Data],$A43, Data_main[Segment],$B43, Data_main[Scenario],$B$3))</f>
        <v>0</v>
      </c>
      <c r="BI43" s="390">
        <f ca="1">IF($B$6="ON", IF(BI42&gt;=covid_start, IF(BI42&lt;covid_recovery,NA(),SUMIFS(INDIRECT("Data_main"&amp;"["&amp;BI$8&amp;"]"),Data_main[Data],$A43, Data_main[Segment],$B43, Data_main[Scenario],$B$3)),SUMIFS(INDIRECT("Data_main"&amp;"["&amp;BI$8&amp;"]"),Data_main[Data],$A43, Data_main[Segment],$B43, Data_main[Scenario],$B$3)),SUMIFS(INDIRECT("Data_main"&amp;"["&amp;BI$8&amp;"]"),Data_main[Data],$A43, Data_main[Segment],$B43, Data_main[Scenario],$B$3))</f>
        <v>0</v>
      </c>
      <c r="BJ43" s="390">
        <f ca="1">IF($B$6="ON", IF(BJ42&gt;=covid_start, IF(BJ42&lt;covid_recovery,NA(),SUMIFS(INDIRECT("Data_main"&amp;"["&amp;BJ$8&amp;"]"),Data_main[Data],$A43, Data_main[Segment],$B43, Data_main[Scenario],$B$3)),SUMIFS(INDIRECT("Data_main"&amp;"["&amp;BJ$8&amp;"]"),Data_main[Data],$A43, Data_main[Segment],$B43, Data_main[Scenario],$B$3)),SUMIFS(INDIRECT("Data_main"&amp;"["&amp;BJ$8&amp;"]"),Data_main[Data],$A43, Data_main[Segment],$B43, Data_main[Scenario],$B$3))</f>
        <v>0</v>
      </c>
      <c r="BK43" s="390">
        <f ca="1">IF($B$6="ON", IF(BK42&gt;=covid_start, IF(BK42&lt;covid_recovery,NA(),SUMIFS(INDIRECT("Data_main"&amp;"["&amp;BK$8&amp;"]"),Data_main[Data],$A43, Data_main[Segment],$B43, Data_main[Scenario],$B$3)),SUMIFS(INDIRECT("Data_main"&amp;"["&amp;BK$8&amp;"]"),Data_main[Data],$A43, Data_main[Segment],$B43, Data_main[Scenario],$B$3)),SUMIFS(INDIRECT("Data_main"&amp;"["&amp;BK$8&amp;"]"),Data_main[Data],$A43, Data_main[Segment],$B43, Data_main[Scenario],$B$3))</f>
        <v>0</v>
      </c>
      <c r="BL43" s="390">
        <f ca="1">IF($B$6="ON", IF(BL42&gt;=covid_start, IF(BL42&lt;covid_recovery,NA(),SUMIFS(INDIRECT("Data_main"&amp;"["&amp;BL$8&amp;"]"),Data_main[Data],$A43, Data_main[Segment],$B43, Data_main[Scenario],$B$3)),SUMIFS(INDIRECT("Data_main"&amp;"["&amp;BL$8&amp;"]"),Data_main[Data],$A43, Data_main[Segment],$B43, Data_main[Scenario],$B$3)),SUMIFS(INDIRECT("Data_main"&amp;"["&amp;BL$8&amp;"]"),Data_main[Data],$A43, Data_main[Segment],$B43, Data_main[Scenario],$B$3))</f>
        <v>0</v>
      </c>
      <c r="BM43" s="390">
        <f ca="1">IF($B$6="ON", IF(BM42&gt;=covid_start, IF(BM42&lt;covid_recovery,NA(),SUMIFS(INDIRECT("Data_main"&amp;"["&amp;BM$8&amp;"]"),Data_main[Data],$A43, Data_main[Segment],$B43, Data_main[Scenario],$B$3)),SUMIFS(INDIRECT("Data_main"&amp;"["&amp;BM$8&amp;"]"),Data_main[Data],$A43, Data_main[Segment],$B43, Data_main[Scenario],$B$3)),SUMIFS(INDIRECT("Data_main"&amp;"["&amp;BM$8&amp;"]"),Data_main[Data],$A43, Data_main[Segment],$B43, Data_main[Scenario],$B$3))</f>
        <v>0</v>
      </c>
      <c r="BN43" s="390">
        <f ca="1">IF($B$6="ON", IF(BN42&gt;=covid_start, IF(BN42&lt;covid_recovery,NA(),SUMIFS(INDIRECT("Data_main"&amp;"["&amp;BN$8&amp;"]"),Data_main[Data],$A43, Data_main[Segment],$B43, Data_main[Scenario],$B$3)),SUMIFS(INDIRECT("Data_main"&amp;"["&amp;BN$8&amp;"]"),Data_main[Data],$A43, Data_main[Segment],$B43, Data_main[Scenario],$B$3)),SUMIFS(INDIRECT("Data_main"&amp;"["&amp;BN$8&amp;"]"),Data_main[Data],$A43, Data_main[Segment],$B43, Data_main[Scenario],$B$3))</f>
        <v>0</v>
      </c>
      <c r="BO43" s="390">
        <f ca="1">IF($B$6="ON", IF(BO42&gt;=covid_start, IF(BO42&lt;covid_recovery,NA(),SUMIFS(INDIRECT("Data_main"&amp;"["&amp;BO$8&amp;"]"),Data_main[Data],$A43, Data_main[Segment],$B43, Data_main[Scenario],$B$3)),SUMIFS(INDIRECT("Data_main"&amp;"["&amp;BO$8&amp;"]"),Data_main[Data],$A43, Data_main[Segment],$B43, Data_main[Scenario],$B$3)),SUMIFS(INDIRECT("Data_main"&amp;"["&amp;BO$8&amp;"]"),Data_main[Data],$A43, Data_main[Segment],$B43, Data_main[Scenario],$B$3))</f>
        <v>0</v>
      </c>
      <c r="BP43" s="390">
        <f ca="1">IF($B$6="ON", IF(BP42&gt;=covid_start, IF(BP42&lt;covid_recovery,NA(),SUMIFS(INDIRECT("Data_main"&amp;"["&amp;BP$8&amp;"]"),Data_main[Data],$A43, Data_main[Segment],$B43, Data_main[Scenario],$B$3)),SUMIFS(INDIRECT("Data_main"&amp;"["&amp;BP$8&amp;"]"),Data_main[Data],$A43, Data_main[Segment],$B43, Data_main[Scenario],$B$3)),SUMIFS(INDIRECT("Data_main"&amp;"["&amp;BP$8&amp;"]"),Data_main[Data],$A43, Data_main[Segment],$B43, Data_main[Scenario],$B$3))</f>
        <v>0</v>
      </c>
      <c r="BQ43" s="390">
        <f ca="1">IF($B$6="ON", IF(BQ42&gt;=covid_start, IF(BQ42&lt;covid_recovery,NA(),SUMIFS(INDIRECT("Data_main"&amp;"["&amp;BQ$8&amp;"]"),Data_main[Data],$A43, Data_main[Segment],$B43, Data_main[Scenario],$B$3)),SUMIFS(INDIRECT("Data_main"&amp;"["&amp;BQ$8&amp;"]"),Data_main[Data],$A43, Data_main[Segment],$B43, Data_main[Scenario],$B$3)),SUMIFS(INDIRECT("Data_main"&amp;"["&amp;BQ$8&amp;"]"),Data_main[Data],$A43, Data_main[Segment],$B43, Data_main[Scenario],$B$3))</f>
        <v>0</v>
      </c>
      <c r="BR43" s="390">
        <f ca="1">IF($B$6="ON", IF(BR42&gt;=covid_start, IF(BR42&lt;covid_recovery,NA(),SUMIFS(INDIRECT("Data_main"&amp;"["&amp;BR$8&amp;"]"),Data_main[Data],$A43, Data_main[Segment],$B43, Data_main[Scenario],$B$3)),SUMIFS(INDIRECT("Data_main"&amp;"["&amp;BR$8&amp;"]"),Data_main[Data],$A43, Data_main[Segment],$B43, Data_main[Scenario],$B$3)),SUMIFS(INDIRECT("Data_main"&amp;"["&amp;BR$8&amp;"]"),Data_main[Data],$A43, Data_main[Segment],$B43, Data_main[Scenario],$B$3))</f>
        <v>0</v>
      </c>
      <c r="BS43" s="390">
        <f ca="1">IF($B$6="ON", IF(BS42&gt;=covid_start, IF(BS42&lt;covid_recovery,NA(),SUMIFS(INDIRECT("Data_main"&amp;"["&amp;BS$8&amp;"]"),Data_main[Data],$A43, Data_main[Segment],$B43, Data_main[Scenario],$B$3)),SUMIFS(INDIRECT("Data_main"&amp;"["&amp;BS$8&amp;"]"),Data_main[Data],$A43, Data_main[Segment],$B43, Data_main[Scenario],$B$3)),SUMIFS(INDIRECT("Data_main"&amp;"["&amp;BS$8&amp;"]"),Data_main[Data],$A43, Data_main[Segment],$B43, Data_main[Scenario],$B$3))</f>
        <v>0</v>
      </c>
      <c r="BT43" s="390">
        <f ca="1">IF($B$6="ON", IF(BT42&gt;=covid_start, IF(BT42&lt;covid_recovery,NA(),SUMIFS(INDIRECT("Data_main"&amp;"["&amp;BT$8&amp;"]"),Data_main[Data],$A43, Data_main[Segment],$B43, Data_main[Scenario],$B$3)),SUMIFS(INDIRECT("Data_main"&amp;"["&amp;BT$8&amp;"]"),Data_main[Data],$A43, Data_main[Segment],$B43, Data_main[Scenario],$B$3)),SUMIFS(INDIRECT("Data_main"&amp;"["&amp;BT$8&amp;"]"),Data_main[Data],$A43, Data_main[Segment],$B43, Data_main[Scenario],$B$3))</f>
        <v>0</v>
      </c>
      <c r="BU43" s="390">
        <f ca="1">IF($B$6="ON", IF(BU42&gt;=covid_start, IF(BU42&lt;covid_recovery,NA(),SUMIFS(INDIRECT("Data_main"&amp;"["&amp;BU$8&amp;"]"),Data_main[Data],$A43, Data_main[Segment],$B43, Data_main[Scenario],$B$3)),SUMIFS(INDIRECT("Data_main"&amp;"["&amp;BU$8&amp;"]"),Data_main[Data],$A43, Data_main[Segment],$B43, Data_main[Scenario],$B$3)),SUMIFS(INDIRECT("Data_main"&amp;"["&amp;BU$8&amp;"]"),Data_main[Data],$A43, Data_main[Segment],$B43, Data_main[Scenario],$B$3))</f>
        <v>0</v>
      </c>
      <c r="BV43" s="390">
        <f ca="1">IF($B$6="ON", IF(BV42&gt;=covid_start, IF(BV42&lt;covid_recovery,NA(),SUMIFS(INDIRECT("Data_main"&amp;"["&amp;BV$8&amp;"]"),Data_main[Data],$A43, Data_main[Segment],$B43, Data_main[Scenario],$B$3)),SUMIFS(INDIRECT("Data_main"&amp;"["&amp;BV$8&amp;"]"),Data_main[Data],$A43, Data_main[Segment],$B43, Data_main[Scenario],$B$3)),SUMIFS(INDIRECT("Data_main"&amp;"["&amp;BV$8&amp;"]"),Data_main[Data],$A43, Data_main[Segment],$B43, Data_main[Scenario],$B$3))</f>
        <v>0</v>
      </c>
      <c r="BW43" s="390">
        <f ca="1">IF($B$6="ON", IF(BW42&gt;=covid_start, IF(BW42&lt;covid_recovery,NA(),SUMIFS(INDIRECT("Data_main"&amp;"["&amp;BW$8&amp;"]"),Data_main[Data],$A43, Data_main[Segment],$B43, Data_main[Scenario],$B$3)),SUMIFS(INDIRECT("Data_main"&amp;"["&amp;BW$8&amp;"]"),Data_main[Data],$A43, Data_main[Segment],$B43, Data_main[Scenario],$B$3)),SUMIFS(INDIRECT("Data_main"&amp;"["&amp;BW$8&amp;"]"),Data_main[Data],$A43, Data_main[Segment],$B43, Data_main[Scenario],$B$3))</f>
        <v>0</v>
      </c>
      <c r="BX43" s="390">
        <f ca="1">IF($B$6="ON", IF(BX42&gt;=covid_start, IF(BX42&lt;covid_recovery,NA(),SUMIFS(INDIRECT("Data_main"&amp;"["&amp;BX$8&amp;"]"),Data_main[Data],$A43, Data_main[Segment],$B43, Data_main[Scenario],$B$3)),SUMIFS(INDIRECT("Data_main"&amp;"["&amp;BX$8&amp;"]"),Data_main[Data],$A43, Data_main[Segment],$B43, Data_main[Scenario],$B$3)),SUMIFS(INDIRECT("Data_main"&amp;"["&amp;BX$8&amp;"]"),Data_main[Data],$A43, Data_main[Segment],$B43, Data_main[Scenario],$B$3))</f>
        <v>0</v>
      </c>
      <c r="BY43" s="390">
        <f ca="1">IF($B$6="ON", IF(BY42&gt;=covid_start, IF(BY42&lt;covid_recovery,NA(),SUMIFS(INDIRECT("Data_main"&amp;"["&amp;BY$8&amp;"]"),Data_main[Data],$A43, Data_main[Segment],$B43, Data_main[Scenario],$B$3)),SUMIFS(INDIRECT("Data_main"&amp;"["&amp;BY$8&amp;"]"),Data_main[Data],$A43, Data_main[Segment],$B43, Data_main[Scenario],$B$3)),SUMIFS(INDIRECT("Data_main"&amp;"["&amp;BY$8&amp;"]"),Data_main[Data],$A43, Data_main[Segment],$B43, Data_main[Scenario],$B$3))</f>
        <v>0</v>
      </c>
      <c r="BZ43" s="390">
        <f ca="1">IF($B$6="ON", IF(BZ42&gt;=covid_start, IF(BZ42&lt;covid_recovery,NA(),SUMIFS(INDIRECT("Data_main"&amp;"["&amp;BZ$8&amp;"]"),Data_main[Data],$A43, Data_main[Segment],$B43, Data_main[Scenario],$B$3)),SUMIFS(INDIRECT("Data_main"&amp;"["&amp;BZ$8&amp;"]"),Data_main[Data],$A43, Data_main[Segment],$B43, Data_main[Scenario],$B$3)),SUMIFS(INDIRECT("Data_main"&amp;"["&amp;BZ$8&amp;"]"),Data_main[Data],$A43, Data_main[Segment],$B43, Data_main[Scenario],$B$3))</f>
        <v>0</v>
      </c>
      <c r="CA43" s="390">
        <f ca="1">IF($B$6="ON", IF(CA42&gt;=covid_start, IF(CA42&lt;covid_recovery,NA(),SUMIFS(INDIRECT("Data_main"&amp;"["&amp;CA$8&amp;"]"),Data_main[Data],$A43, Data_main[Segment],$B43, Data_main[Scenario],$B$3)),SUMIFS(INDIRECT("Data_main"&amp;"["&amp;CA$8&amp;"]"),Data_main[Data],$A43, Data_main[Segment],$B43, Data_main[Scenario],$B$3)),SUMIFS(INDIRECT("Data_main"&amp;"["&amp;CA$8&amp;"]"),Data_main[Data],$A43, Data_main[Segment],$B43, Data_main[Scenario],$B$3))</f>
        <v>0</v>
      </c>
      <c r="CB43" s="390">
        <f ca="1">IF($B$6="ON", IF(CB42&gt;=covid_start, IF(CB42&lt;covid_recovery,NA(),SUMIFS(INDIRECT("Data_main"&amp;"["&amp;CB$8&amp;"]"),Data_main[Data],$A43, Data_main[Segment],$B43, Data_main[Scenario],$B$3)),SUMIFS(INDIRECT("Data_main"&amp;"["&amp;CB$8&amp;"]"),Data_main[Data],$A43, Data_main[Segment],$B43, Data_main[Scenario],$B$3)),SUMIFS(INDIRECT("Data_main"&amp;"["&amp;CB$8&amp;"]"),Data_main[Data],$A43, Data_main[Segment],$B43, Data_main[Scenario],$B$3))</f>
        <v>0</v>
      </c>
      <c r="CC43" s="390">
        <f ca="1">IF($B$6="ON", IF(CC42&gt;=covid_start, IF(CC42&lt;covid_recovery,NA(),SUMIFS(INDIRECT("Data_main"&amp;"["&amp;CC$8&amp;"]"),Data_main[Data],$A43, Data_main[Segment],$B43, Data_main[Scenario],$B$3)),SUMIFS(INDIRECT("Data_main"&amp;"["&amp;CC$8&amp;"]"),Data_main[Data],$A43, Data_main[Segment],$B43, Data_main[Scenario],$B$3)),SUMIFS(INDIRECT("Data_main"&amp;"["&amp;CC$8&amp;"]"),Data_main[Data],$A43, Data_main[Segment],$B43, Data_main[Scenario],$B$3))</f>
        <v>0</v>
      </c>
      <c r="CD43" s="390">
        <f ca="1">IF($B$6="ON", IF(CD42&gt;=covid_start, IF(CD42&lt;covid_recovery,NA(),SUMIFS(INDIRECT("Data_main"&amp;"["&amp;CD$8&amp;"]"),Data_main[Data],$A43, Data_main[Segment],$B43, Data_main[Scenario],$B$3)),SUMIFS(INDIRECT("Data_main"&amp;"["&amp;CD$8&amp;"]"),Data_main[Data],$A43, Data_main[Segment],$B43, Data_main[Scenario],$B$3)),SUMIFS(INDIRECT("Data_main"&amp;"["&amp;CD$8&amp;"]"),Data_main[Data],$A43, Data_main[Segment],$B43, Data_main[Scenario],$B$3))</f>
        <v>0</v>
      </c>
      <c r="CE43" s="390">
        <f ca="1">IF($B$6="ON", IF(CE42&gt;=covid_start, IF(CE42&lt;covid_recovery,NA(),SUMIFS(INDIRECT("Data_main"&amp;"["&amp;CE$8&amp;"]"),Data_main[Data],$A43, Data_main[Segment],$B43, Data_main[Scenario],$B$3)),SUMIFS(INDIRECT("Data_main"&amp;"["&amp;CE$8&amp;"]"),Data_main[Data],$A43, Data_main[Segment],$B43, Data_main[Scenario],$B$3)),SUMIFS(INDIRECT("Data_main"&amp;"["&amp;CE$8&amp;"]"),Data_main[Data],$A43, Data_main[Segment],$B43, Data_main[Scenario],$B$3))</f>
        <v>0</v>
      </c>
      <c r="CF43" s="390">
        <f ca="1">IF($B$6="ON", IF(CF42&gt;=covid_start, IF(CF42&lt;covid_recovery,NA(),SUMIFS(INDIRECT("Data_main"&amp;"["&amp;CF$8&amp;"]"),Data_main[Data],$A43, Data_main[Segment],$B43, Data_main[Scenario],$B$3)),SUMIFS(INDIRECT("Data_main"&amp;"["&amp;CF$8&amp;"]"),Data_main[Data],$A43, Data_main[Segment],$B43, Data_main[Scenario],$B$3)),SUMIFS(INDIRECT("Data_main"&amp;"["&amp;CF$8&amp;"]"),Data_main[Data],$A43, Data_main[Segment],$B43, Data_main[Scenario],$B$3))</f>
        <v>0</v>
      </c>
      <c r="CG43" s="390">
        <f ca="1">IF($B$6="ON", IF(CG42&gt;=covid_start, IF(CG42&lt;covid_recovery,NA(),SUMIFS(INDIRECT("Data_main"&amp;"["&amp;CG$8&amp;"]"),Data_main[Data],$A43, Data_main[Segment],$B43, Data_main[Scenario],$B$3)),SUMIFS(INDIRECT("Data_main"&amp;"["&amp;CG$8&amp;"]"),Data_main[Data],$A43, Data_main[Segment],$B43, Data_main[Scenario],$B$3)),SUMIFS(INDIRECT("Data_main"&amp;"["&amp;CG$8&amp;"]"),Data_main[Data],$A43, Data_main[Segment],$B43, Data_main[Scenario],$B$3))</f>
        <v>0</v>
      </c>
      <c r="CH43" s="390">
        <f ca="1">IF($B$6="ON", IF(CH42&gt;=covid_start, IF(CH42&lt;covid_recovery,NA(),SUMIFS(INDIRECT("Data_main"&amp;"["&amp;CH$8&amp;"]"),Data_main[Data],$A43, Data_main[Segment],$B43, Data_main[Scenario],$B$3)),SUMIFS(INDIRECT("Data_main"&amp;"["&amp;CH$8&amp;"]"),Data_main[Data],$A43, Data_main[Segment],$B43, Data_main[Scenario],$B$3)),SUMIFS(INDIRECT("Data_main"&amp;"["&amp;CH$8&amp;"]"),Data_main[Data],$A43, Data_main[Segment],$B43, Data_main[Scenario],$B$3))</f>
        <v>0</v>
      </c>
      <c r="CI43" s="390">
        <f ca="1">IF($B$6="ON", IF(CI42&gt;=covid_start, IF(CI42&lt;covid_recovery,NA(),SUMIFS(INDIRECT("Data_main"&amp;"["&amp;CI$8&amp;"]"),Data_main[Data],$A43, Data_main[Segment],$B43, Data_main[Scenario],$B$3)),SUMIFS(INDIRECT("Data_main"&amp;"["&amp;CI$8&amp;"]"),Data_main[Data],$A43, Data_main[Segment],$B43, Data_main[Scenario],$B$3)),SUMIFS(INDIRECT("Data_main"&amp;"["&amp;CI$8&amp;"]"),Data_main[Data],$A43, Data_main[Segment],$B43, Data_main[Scenario],$B$3))</f>
        <v>0</v>
      </c>
      <c r="CJ43" s="390">
        <f ca="1">IF($B$6="ON", IF(CJ42&gt;=covid_start, IF(CJ42&lt;covid_recovery,NA(),SUMIFS(INDIRECT("Data_main"&amp;"["&amp;CJ$8&amp;"]"),Data_main[Data],$A43, Data_main[Segment],$B43, Data_main[Scenario],$B$3)),SUMIFS(INDIRECT("Data_main"&amp;"["&amp;CJ$8&amp;"]"),Data_main[Data],$A43, Data_main[Segment],$B43, Data_main[Scenario],$B$3)),SUMIFS(INDIRECT("Data_main"&amp;"["&amp;CJ$8&amp;"]"),Data_main[Data],$A43, Data_main[Segment],$B43, Data_main[Scenario],$B$3))</f>
        <v>0</v>
      </c>
      <c r="CK43" s="390">
        <f ca="1">IF($B$6="ON", IF(CK42&gt;=covid_start, IF(CK42&lt;covid_recovery,NA(),SUMIFS(INDIRECT("Data_main"&amp;"["&amp;CK$8&amp;"]"),Data_main[Data],$A43, Data_main[Segment],$B43, Data_main[Scenario],$B$3)),SUMIFS(INDIRECT("Data_main"&amp;"["&amp;CK$8&amp;"]"),Data_main[Data],$A43, Data_main[Segment],$B43, Data_main[Scenario],$B$3)),SUMIFS(INDIRECT("Data_main"&amp;"["&amp;CK$8&amp;"]"),Data_main[Data],$A43, Data_main[Segment],$B43, Data_main[Scenario],$B$3))</f>
        <v>0</v>
      </c>
      <c r="CL43" s="390">
        <f ca="1">IF($B$6="ON", IF(CL42&gt;=covid_start, IF(CL42&lt;covid_recovery,NA(),SUMIFS(INDIRECT("Data_main"&amp;"["&amp;CL$8&amp;"]"),Data_main[Data],$A43, Data_main[Segment],$B43, Data_main[Scenario],$B$3)),SUMIFS(INDIRECT("Data_main"&amp;"["&amp;CL$8&amp;"]"),Data_main[Data],$A43, Data_main[Segment],$B43, Data_main[Scenario],$B$3)),SUMIFS(INDIRECT("Data_main"&amp;"["&amp;CL$8&amp;"]"),Data_main[Data],$A43, Data_main[Segment],$B43, Data_main[Scenario],$B$3))</f>
        <v>0</v>
      </c>
      <c r="CN43" s="391">
        <f ca="1">IFERROR((Y43/H43)^(1/17)-1,"")</f>
        <v>-1.4480099360075882E-2</v>
      </c>
      <c r="CO43" s="391">
        <f ca="1">IFERROR((AN43/Y43)^(1/15)-1,"")</f>
        <v>-0.15784777640450376</v>
      </c>
      <c r="CP43" s="391">
        <f ca="1">IFERROR((AN43/H43)^(1/32)-1,"")</f>
        <v>-8.4493174469676968E-2</v>
      </c>
    </row>
    <row r="44" spans="1:94" hidden="1" outlineLevel="1">
      <c r="A44" s="392" t="s">
        <v>157</v>
      </c>
      <c r="B44" s="392" t="str">
        <f t="shared" ref="B44:B45" si="321">$A$42</f>
        <v>Belly</v>
      </c>
      <c r="C44" s="393" t="s">
        <v>262</v>
      </c>
      <c r="D44" s="389"/>
      <c r="E44" s="390">
        <f ca="1">'SDS Calc'!E44</f>
        <v>103.64940771618524</v>
      </c>
      <c r="F44" s="531">
        <f ca="1">'SDS Calc'!F44</f>
        <v>111.17873423744896</v>
      </c>
      <c r="G44" s="531">
        <f ca="1">'SDS Calc'!G44</f>
        <v>118.70806075871269</v>
      </c>
      <c r="H44" s="531">
        <f ca="1">'SDS Calc'!H44</f>
        <v>126.23738727997639</v>
      </c>
      <c r="I44" s="531">
        <f ca="1">'SDS Calc'!I44</f>
        <v>132.05856292170913</v>
      </c>
      <c r="J44" s="531" t="e">
        <f ca="1">'SDS Calc'!J44</f>
        <v>#N/A</v>
      </c>
      <c r="K44" s="531" t="e">
        <f ca="1">'SDS Calc'!K44</f>
        <v>#N/A</v>
      </c>
      <c r="L44" s="531" t="e">
        <f ca="1">'SDS Calc'!L44</f>
        <v>#N/A</v>
      </c>
      <c r="M44" s="531">
        <f ca="1">'SDS Calc'!M44</f>
        <v>149.22560152397358</v>
      </c>
      <c r="N44" s="531">
        <f ca="1">'SDS Calc'!N44</f>
        <v>153.51736117453967</v>
      </c>
      <c r="O44" s="531">
        <f ca="1">'SDS Calc'!O44</f>
        <v>157.80912082510579</v>
      </c>
      <c r="P44" s="531">
        <f ca="1">'SDS Calc'!P44</f>
        <v>162.10088047567194</v>
      </c>
      <c r="Q44" s="531">
        <f ca="1">'SDS Calc'!Q44</f>
        <v>166.39264012623804</v>
      </c>
      <c r="R44" s="531">
        <f ca="1">'SDS Calc'!R44</f>
        <v>170.68439977680413</v>
      </c>
      <c r="S44" s="531">
        <f ca="1">'SDS Calc'!S44</f>
        <v>174.97615942737025</v>
      </c>
      <c r="T44" s="531">
        <f ca="1">'SDS Calc'!T44</f>
        <v>179.26791907793648</v>
      </c>
      <c r="U44" s="531">
        <f ca="1">'SDS Calc'!U44</f>
        <v>184.71017266537498</v>
      </c>
      <c r="V44" s="531">
        <f ca="1">IF($B$6="ON", IF(V42&gt;=covid_start, IF(V42&lt;covid_recovery,NA(),SUMIFS(INDIRECT("Data_main"&amp;"["&amp;V$8&amp;"]"),Data_main[Data],$A44, Data_main[Segment],$B44, Data_main[Scenario],$B$3)),SUMIFS(INDIRECT("Data_main"&amp;"["&amp;V$8&amp;"]"),Data_main[Data],$A44, Data_main[Segment],$B44, Data_main[Scenario],$B$3)),SUMIFS(INDIRECT("Data_main"&amp;"["&amp;V$8&amp;"]"),Data_main[Data],$A44, Data_main[Segment],$B44, Data_main[Scenario],$B$3))</f>
        <v>187.26353118344969</v>
      </c>
      <c r="W44" s="390">
        <f ca="1">IF($B$6="ON", IF(W42&gt;=covid_start, IF(W42&lt;covid_recovery,NA(),SUMIFS(INDIRECT("Data_main"&amp;"["&amp;W$8&amp;"]"),Data_main[Data],$A44, Data_main[Segment],$B44, Data_main[Scenario],$B$3)),SUMIFS(INDIRECT("Data_main"&amp;"["&amp;W$8&amp;"]"),Data_main[Data],$A44, Data_main[Segment],$B44, Data_main[Scenario],$B$3)),SUMIFS(INDIRECT("Data_main"&amp;"["&amp;W$8&amp;"]"),Data_main[Data],$A44, Data_main[Segment],$B44, Data_main[Scenario],$B$3))</f>
        <v>192.25158631178419</v>
      </c>
      <c r="X44" s="390">
        <f ca="1">IF($B$6="ON", IF(X42&gt;=covid_start, IF(X42&lt;covid_recovery,NA(),SUMIFS(INDIRECT("Data_main"&amp;"["&amp;X$8&amp;"]"),Data_main[Data],$A44, Data_main[Segment],$B44, Data_main[Scenario],$B$3)),SUMIFS(INDIRECT("Data_main"&amp;"["&amp;X$8&amp;"]"),Data_main[Data],$A44, Data_main[Segment],$B44, Data_main[Scenario],$B$3)),SUMIFS(INDIRECT("Data_main"&amp;"["&amp;X$8&amp;"]"),Data_main[Data],$A44, Data_main[Segment],$B44, Data_main[Scenario],$B$3))</f>
        <v>197.37337862304432</v>
      </c>
      <c r="Y44" s="390">
        <f ca="1">IF($B$6="ON", IF(Y42&gt;=covid_start, IF(Y42&lt;covid_recovery,NA(),SUMIFS(INDIRECT("Data_main"&amp;"["&amp;Y$8&amp;"]"),Data_main[Data],$A44, Data_main[Segment],$B44, Data_main[Scenario],$B$3)),SUMIFS(INDIRECT("Data_main"&amp;"["&amp;Y$8&amp;"]"),Data_main[Data],$A44, Data_main[Segment],$B44, Data_main[Scenario],$B$3)),SUMIFS(INDIRECT("Data_main"&amp;"["&amp;Y$8&amp;"]"),Data_main[Data],$A44, Data_main[Segment],$B44, Data_main[Scenario],$B$3))</f>
        <v>202.58551499034078</v>
      </c>
      <c r="Z44" s="390">
        <f ca="1">IF($B$6="ON", IF(Z42&gt;=covid_start, IF(Z42&lt;covid_recovery,NA(),SUMIFS(INDIRECT("Data_main"&amp;"["&amp;Z$8&amp;"]"),Data_main[Data],$A44, Data_main[Segment],$B44, Data_main[Scenario],$B$3)),SUMIFS(INDIRECT("Data_main"&amp;"["&amp;Z$8&amp;"]"),Data_main[Data],$A44, Data_main[Segment],$B44, Data_main[Scenario],$B$3)),SUMIFS(INDIRECT("Data_main"&amp;"["&amp;Z$8&amp;"]"),Data_main[Data],$A44, Data_main[Segment],$B44, Data_main[Scenario],$B$3))</f>
        <v>207.93263412313047</v>
      </c>
      <c r="AA44" s="390">
        <f ca="1">IF($B$6="ON", IF(AA42&gt;=covid_start, IF(AA42&lt;covid_recovery,NA(),SUMIFS(INDIRECT("Data_main"&amp;"["&amp;AA$8&amp;"]"),Data_main[Data],$A44, Data_main[Segment],$B44, Data_main[Scenario],$B$3)),SUMIFS(INDIRECT("Data_main"&amp;"["&amp;AA$8&amp;"]"),Data_main[Data],$A44, Data_main[Segment],$B44, Data_main[Scenario],$B$3)),SUMIFS(INDIRECT("Data_main"&amp;"["&amp;AA$8&amp;"]"),Data_main[Data],$A44, Data_main[Segment],$B44, Data_main[Scenario],$B$3))</f>
        <v>213.404257827778</v>
      </c>
      <c r="AB44" s="390">
        <f ca="1">IF($B$6="ON", IF(AB42&gt;=covid_start, IF(AB42&lt;covid_recovery,NA(),SUMIFS(INDIRECT("Data_main"&amp;"["&amp;AB$8&amp;"]"),Data_main[Data],$A44, Data_main[Segment],$B44, Data_main[Scenario],$B$3)),SUMIFS(INDIRECT("Data_main"&amp;"["&amp;AB$8&amp;"]"),Data_main[Data],$A44, Data_main[Segment],$B44, Data_main[Scenario],$B$3)),SUMIFS(INDIRECT("Data_main"&amp;"["&amp;AB$8&amp;"]"),Data_main[Data],$A44, Data_main[Segment],$B44, Data_main[Scenario],$B$3))</f>
        <v>219.00569848184068</v>
      </c>
      <c r="AC44" s="390">
        <f ca="1">IF($B$6="ON", IF(AC42&gt;=covid_start, IF(AC42&lt;covid_recovery,NA(),SUMIFS(INDIRECT("Data_main"&amp;"["&amp;AC$8&amp;"]"),Data_main[Data],$A44, Data_main[Segment],$B44, Data_main[Scenario],$B$3)),SUMIFS(INDIRECT("Data_main"&amp;"["&amp;AC$8&amp;"]"),Data_main[Data],$A44, Data_main[Segment],$B44, Data_main[Scenario],$B$3)),SUMIFS(INDIRECT("Data_main"&amp;"["&amp;AC$8&amp;"]"),Data_main[Data],$A44, Data_main[Segment],$B44, Data_main[Scenario],$B$3))</f>
        <v>224.74254967788735</v>
      </c>
      <c r="AD44" s="390">
        <f ca="1">IF($B$6="ON", IF(AD42&gt;=covid_start, IF(AD42&lt;covid_recovery,NA(),SUMIFS(INDIRECT("Data_main"&amp;"["&amp;AD$8&amp;"]"),Data_main[Data],$A44, Data_main[Segment],$B44, Data_main[Scenario],$B$3)),SUMIFS(INDIRECT("Data_main"&amp;"["&amp;AD$8&amp;"]"),Data_main[Data],$A44, Data_main[Segment],$B44, Data_main[Scenario],$B$3)),SUMIFS(INDIRECT("Data_main"&amp;"["&amp;AD$8&amp;"]"),Data_main[Data],$A44, Data_main[Segment],$B44, Data_main[Scenario],$B$3))</f>
        <v>230.6206802964318</v>
      </c>
      <c r="AE44" s="390">
        <f ca="1">IF($B$6="ON", IF(AE42&gt;=covid_start, IF(AE42&lt;covid_recovery,NA(),SUMIFS(INDIRECT("Data_main"&amp;"["&amp;AE$8&amp;"]"),Data_main[Data],$A44, Data_main[Segment],$B44, Data_main[Scenario],$B$3)),SUMIFS(INDIRECT("Data_main"&amp;"["&amp;AE$8&amp;"]"),Data_main[Data],$A44, Data_main[Segment],$B44, Data_main[Scenario],$B$3)),SUMIFS(INDIRECT("Data_main"&amp;"["&amp;AE$8&amp;"]"),Data_main[Data],$A44, Data_main[Segment],$B44, Data_main[Scenario],$B$3))</f>
        <v>236.6461977714917</v>
      </c>
      <c r="AF44" s="390">
        <f ca="1">IF($B$6="ON", IF(AF42&gt;=covid_start, IF(AF42&lt;covid_recovery,NA(),SUMIFS(INDIRECT("Data_main"&amp;"["&amp;AF$8&amp;"]"),Data_main[Data],$A44, Data_main[Segment],$B44, Data_main[Scenario],$B$3)),SUMIFS(INDIRECT("Data_main"&amp;"["&amp;AF$8&amp;"]"),Data_main[Data],$A44, Data_main[Segment],$B44, Data_main[Scenario],$B$3)),SUMIFS(INDIRECT("Data_main"&amp;"["&amp;AF$8&amp;"]"),Data_main[Data],$A44, Data_main[Segment],$B44, Data_main[Scenario],$B$3))</f>
        <v>242.82643743534027</v>
      </c>
      <c r="AG44" s="390">
        <f ca="1">IF($B$6="ON", IF(AG42&gt;=covid_start, IF(AG42&lt;covid_recovery,NA(),SUMIFS(INDIRECT("Data_main"&amp;"["&amp;AG$8&amp;"]"),Data_main[Data],$A44, Data_main[Segment],$B44, Data_main[Scenario],$B$3)),SUMIFS(INDIRECT("Data_main"&amp;"["&amp;AG$8&amp;"]"),Data_main[Data],$A44, Data_main[Segment],$B44, Data_main[Scenario],$B$3)),SUMIFS(INDIRECT("Data_main"&amp;"["&amp;AG$8&amp;"]"),Data_main[Data],$A44, Data_main[Segment],$B44, Data_main[Scenario],$B$3))</f>
        <v>249.16881594543116</v>
      </c>
      <c r="AH44" s="390">
        <f ca="1">IF($B$6="ON", IF(AH42&gt;=covid_start, IF(AH42&lt;covid_recovery,NA(),SUMIFS(INDIRECT("Data_main"&amp;"["&amp;AH$8&amp;"]"),Data_main[Data],$A44, Data_main[Segment],$B44, Data_main[Scenario],$B$3)),SUMIFS(INDIRECT("Data_main"&amp;"["&amp;AH$8&amp;"]"),Data_main[Data],$A44, Data_main[Segment],$B44, Data_main[Scenario],$B$3)),SUMIFS(INDIRECT("Data_main"&amp;"["&amp;AH$8&amp;"]"),Data_main[Data],$A44, Data_main[Segment],$B44, Data_main[Scenario],$B$3))</f>
        <v>255.68093476083641</v>
      </c>
      <c r="AI44" s="390">
        <f ca="1">IF($B$6="ON", IF(AI42&gt;=covid_start, IF(AI42&lt;covid_recovery,NA(),SUMIFS(INDIRECT("Data_main"&amp;"["&amp;AI$8&amp;"]"),Data_main[Data],$A44, Data_main[Segment],$B44, Data_main[Scenario],$B$3)),SUMIFS(INDIRECT("Data_main"&amp;"["&amp;AI$8&amp;"]"),Data_main[Data],$A44, Data_main[Segment],$B44, Data_main[Scenario],$B$3)),SUMIFS(INDIRECT("Data_main"&amp;"["&amp;AI$8&amp;"]"),Data_main[Data],$A44, Data_main[Segment],$B44, Data_main[Scenario],$B$3))</f>
        <v>262.37060703706646</v>
      </c>
      <c r="AJ44" s="390">
        <f ca="1">IF($B$6="ON", IF(AJ42&gt;=covid_start, IF(AJ42&lt;covid_recovery,NA(),SUMIFS(INDIRECT("Data_main"&amp;"["&amp;AJ$8&amp;"]"),Data_main[Data],$A44, Data_main[Segment],$B44, Data_main[Scenario],$B$3)),SUMIFS(INDIRECT("Data_main"&amp;"["&amp;AJ$8&amp;"]"),Data_main[Data],$A44, Data_main[Segment],$B44, Data_main[Scenario],$B$3)),SUMIFS(INDIRECT("Data_main"&amp;"["&amp;AJ$8&amp;"]"),Data_main[Data],$A44, Data_main[Segment],$B44, Data_main[Scenario],$B$3))</f>
        <v>269.24591947685241</v>
      </c>
      <c r="AK44" s="390">
        <f ca="1">IF($B$6="ON", IF(AK42&gt;=covid_start, IF(AK42&lt;covid_recovery,NA(),SUMIFS(INDIRECT("Data_main"&amp;"["&amp;AK$8&amp;"]"),Data_main[Data],$A44, Data_main[Segment],$B44, Data_main[Scenario],$B$3)),SUMIFS(INDIRECT("Data_main"&amp;"["&amp;AK$8&amp;"]"),Data_main[Data],$A44, Data_main[Segment],$B44, Data_main[Scenario],$B$3)),SUMIFS(INDIRECT("Data_main"&amp;"["&amp;AK$8&amp;"]"),Data_main[Data],$A44, Data_main[Segment],$B44, Data_main[Scenario],$B$3))</f>
        <v>276.31535730125745</v>
      </c>
      <c r="AL44" s="390">
        <f ca="1">IF($B$6="ON", IF(AL42&gt;=covid_start, IF(AL42&lt;covid_recovery,NA(),SUMIFS(INDIRECT("Data_main"&amp;"["&amp;AL$8&amp;"]"),Data_main[Data],$A44, Data_main[Segment],$B44, Data_main[Scenario],$B$3)),SUMIFS(INDIRECT("Data_main"&amp;"["&amp;AL$8&amp;"]"),Data_main[Data],$A44, Data_main[Segment],$B44, Data_main[Scenario],$B$3)),SUMIFS(INDIRECT("Data_main"&amp;"["&amp;AL$8&amp;"]"),Data_main[Data],$A44, Data_main[Segment],$B44, Data_main[Scenario],$B$3))</f>
        <v>283.58789309346656</v>
      </c>
      <c r="AM44" s="390">
        <f ca="1">IF($B$6="ON", IF(AM42&gt;=covid_start, IF(AM42&lt;covid_recovery,NA(),SUMIFS(INDIRECT("Data_main"&amp;"["&amp;AM$8&amp;"]"),Data_main[Data],$A44, Data_main[Segment],$B44, Data_main[Scenario],$B$3)),SUMIFS(INDIRECT("Data_main"&amp;"["&amp;AM$8&amp;"]"),Data_main[Data],$A44, Data_main[Segment],$B44, Data_main[Scenario],$B$3)),SUMIFS(INDIRECT("Data_main"&amp;"["&amp;AM$8&amp;"]"),Data_main[Data],$A44, Data_main[Segment],$B44, Data_main[Scenario],$B$3))</f>
        <v>291.07311730251195</v>
      </c>
      <c r="AN44" s="390">
        <f ca="1">IF($B$6="ON", IF(AN42&gt;=covid_start, IF(AN42&lt;covid_recovery,NA(),SUMIFS(INDIRECT("Data_main"&amp;"["&amp;AN$8&amp;"]"),Data_main[Data],$A44, Data_main[Segment],$B44, Data_main[Scenario],$B$3)),SUMIFS(INDIRECT("Data_main"&amp;"["&amp;AN$8&amp;"]"),Data_main[Data],$A44, Data_main[Segment],$B44, Data_main[Scenario],$B$3)),SUMIFS(INDIRECT("Data_main"&amp;"["&amp;AN$8&amp;"]"),Data_main[Data],$A44, Data_main[Segment],$B44, Data_main[Scenario],$B$3))</f>
        <v>298.80065657921045</v>
      </c>
      <c r="AO44" s="390">
        <f ca="1">IF($B$6="ON", IF(AO42&gt;=covid_start, IF(AO42&lt;covid_recovery,NA(),SUMIFS(INDIRECT("Data_main"&amp;"["&amp;AO$8&amp;"]"),Data_main[Data],$A44, Data_main[Segment],$B44, Data_main[Scenario],$B$3)),SUMIFS(INDIRECT("Data_main"&amp;"["&amp;AO$8&amp;"]"),Data_main[Data],$A44, Data_main[Segment],$B44, Data_main[Scenario],$B$3)),SUMIFS(INDIRECT("Data_main"&amp;"["&amp;AO$8&amp;"]"),Data_main[Data],$A44, Data_main[Segment],$B44, Data_main[Scenario],$B$3))</f>
        <v>0</v>
      </c>
      <c r="AP44" s="390">
        <f ca="1">IF($B$6="ON", IF(AP42&gt;=covid_start, IF(AP42&lt;covid_recovery,NA(),SUMIFS(INDIRECT("Data_main"&amp;"["&amp;AP$8&amp;"]"),Data_main[Data],$A44, Data_main[Segment],$B44, Data_main[Scenario],$B$3)),SUMIFS(INDIRECT("Data_main"&amp;"["&amp;AP$8&amp;"]"),Data_main[Data],$A44, Data_main[Segment],$B44, Data_main[Scenario],$B$3)),SUMIFS(INDIRECT("Data_main"&amp;"["&amp;AP$8&amp;"]"),Data_main[Data],$A44, Data_main[Segment],$B44, Data_main[Scenario],$B$3))</f>
        <v>0</v>
      </c>
      <c r="AQ44" s="390">
        <f ca="1">IF($B$6="ON", IF(AQ42&gt;=covid_start, IF(AQ42&lt;covid_recovery,NA(),SUMIFS(INDIRECT("Data_main"&amp;"["&amp;AQ$8&amp;"]"),Data_main[Data],$A44, Data_main[Segment],$B44, Data_main[Scenario],$B$3)),SUMIFS(INDIRECT("Data_main"&amp;"["&amp;AQ$8&amp;"]"),Data_main[Data],$A44, Data_main[Segment],$B44, Data_main[Scenario],$B$3)),SUMIFS(INDIRECT("Data_main"&amp;"["&amp;AQ$8&amp;"]"),Data_main[Data],$A44, Data_main[Segment],$B44, Data_main[Scenario],$B$3))</f>
        <v>0</v>
      </c>
      <c r="AR44" s="390">
        <f ca="1">IF($B$6="ON", IF(AR42&gt;=covid_start, IF(AR42&lt;covid_recovery,NA(),SUMIFS(INDIRECT("Data_main"&amp;"["&amp;AR$8&amp;"]"),Data_main[Data],$A44, Data_main[Segment],$B44, Data_main[Scenario],$B$3)),SUMIFS(INDIRECT("Data_main"&amp;"["&amp;AR$8&amp;"]"),Data_main[Data],$A44, Data_main[Segment],$B44, Data_main[Scenario],$B$3)),SUMIFS(INDIRECT("Data_main"&amp;"["&amp;AR$8&amp;"]"),Data_main[Data],$A44, Data_main[Segment],$B44, Data_main[Scenario],$B$3))</f>
        <v>0</v>
      </c>
      <c r="AS44" s="390">
        <f ca="1">IF($B$6="ON", IF(AS42&gt;=covid_start, IF(AS42&lt;covid_recovery,NA(),SUMIFS(INDIRECT("Data_main"&amp;"["&amp;AS$8&amp;"]"),Data_main[Data],$A44, Data_main[Segment],$B44, Data_main[Scenario],$B$3)),SUMIFS(INDIRECT("Data_main"&amp;"["&amp;AS$8&amp;"]"),Data_main[Data],$A44, Data_main[Segment],$B44, Data_main[Scenario],$B$3)),SUMIFS(INDIRECT("Data_main"&amp;"["&amp;AS$8&amp;"]"),Data_main[Data],$A44, Data_main[Segment],$B44, Data_main[Scenario],$B$3))</f>
        <v>0</v>
      </c>
      <c r="AT44" s="390">
        <f ca="1">IF($B$6="ON", IF(AT42&gt;=covid_start, IF(AT42&lt;covid_recovery,NA(),SUMIFS(INDIRECT("Data_main"&amp;"["&amp;AT$8&amp;"]"),Data_main[Data],$A44, Data_main[Segment],$B44, Data_main[Scenario],$B$3)),SUMIFS(INDIRECT("Data_main"&amp;"["&amp;AT$8&amp;"]"),Data_main[Data],$A44, Data_main[Segment],$B44, Data_main[Scenario],$B$3)),SUMIFS(INDIRECT("Data_main"&amp;"["&amp;AT$8&amp;"]"),Data_main[Data],$A44, Data_main[Segment],$B44, Data_main[Scenario],$B$3))</f>
        <v>0</v>
      </c>
      <c r="AU44" s="390">
        <f ca="1">IF($B$6="ON", IF(AU42&gt;=covid_start, IF(AU42&lt;covid_recovery,NA(),SUMIFS(INDIRECT("Data_main"&amp;"["&amp;AU$8&amp;"]"),Data_main[Data],$A44, Data_main[Segment],$B44, Data_main[Scenario],$B$3)),SUMIFS(INDIRECT("Data_main"&amp;"["&amp;AU$8&amp;"]"),Data_main[Data],$A44, Data_main[Segment],$B44, Data_main[Scenario],$B$3)),SUMIFS(INDIRECT("Data_main"&amp;"["&amp;AU$8&amp;"]"),Data_main[Data],$A44, Data_main[Segment],$B44, Data_main[Scenario],$B$3))</f>
        <v>0</v>
      </c>
      <c r="AV44" s="390">
        <f ca="1">IF($B$6="ON", IF(AV42&gt;=covid_start, IF(AV42&lt;covid_recovery,NA(),SUMIFS(INDIRECT("Data_main"&amp;"["&amp;AV$8&amp;"]"),Data_main[Data],$A44, Data_main[Segment],$B44, Data_main[Scenario],$B$3)),SUMIFS(INDIRECT("Data_main"&amp;"["&amp;AV$8&amp;"]"),Data_main[Data],$A44, Data_main[Segment],$B44, Data_main[Scenario],$B$3)),SUMIFS(INDIRECT("Data_main"&amp;"["&amp;AV$8&amp;"]"),Data_main[Data],$A44, Data_main[Segment],$B44, Data_main[Scenario],$B$3))</f>
        <v>0</v>
      </c>
      <c r="AW44" s="390">
        <f ca="1">IF($B$6="ON", IF(AW42&gt;=covid_start, IF(AW42&lt;covid_recovery,NA(),SUMIFS(INDIRECT("Data_main"&amp;"["&amp;AW$8&amp;"]"),Data_main[Data],$A44, Data_main[Segment],$B44, Data_main[Scenario],$B$3)),SUMIFS(INDIRECT("Data_main"&amp;"["&amp;AW$8&amp;"]"),Data_main[Data],$A44, Data_main[Segment],$B44, Data_main[Scenario],$B$3)),SUMIFS(INDIRECT("Data_main"&amp;"["&amp;AW$8&amp;"]"),Data_main[Data],$A44, Data_main[Segment],$B44, Data_main[Scenario],$B$3))</f>
        <v>0</v>
      </c>
      <c r="AX44" s="390">
        <f ca="1">IF($B$6="ON", IF(AX42&gt;=covid_start, IF(AX42&lt;covid_recovery,NA(),SUMIFS(INDIRECT("Data_main"&amp;"["&amp;AX$8&amp;"]"),Data_main[Data],$A44, Data_main[Segment],$B44, Data_main[Scenario],$B$3)),SUMIFS(INDIRECT("Data_main"&amp;"["&amp;AX$8&amp;"]"),Data_main[Data],$A44, Data_main[Segment],$B44, Data_main[Scenario],$B$3)),SUMIFS(INDIRECT("Data_main"&amp;"["&amp;AX$8&amp;"]"),Data_main[Data],$A44, Data_main[Segment],$B44, Data_main[Scenario],$B$3))</f>
        <v>0</v>
      </c>
      <c r="AY44" s="390">
        <f ca="1">IF($B$6="ON", IF(AY42&gt;=covid_start, IF(AY42&lt;covid_recovery,NA(),SUMIFS(INDIRECT("Data_main"&amp;"["&amp;AY$8&amp;"]"),Data_main[Data],$A44, Data_main[Segment],$B44, Data_main[Scenario],$B$3)),SUMIFS(INDIRECT("Data_main"&amp;"["&amp;AY$8&amp;"]"),Data_main[Data],$A44, Data_main[Segment],$B44, Data_main[Scenario],$B$3)),SUMIFS(INDIRECT("Data_main"&amp;"["&amp;AY$8&amp;"]"),Data_main[Data],$A44, Data_main[Segment],$B44, Data_main[Scenario],$B$3))</f>
        <v>0</v>
      </c>
      <c r="AZ44" s="390">
        <f ca="1">IF($B$6="ON", IF(AZ42&gt;=covid_start, IF(AZ42&lt;covid_recovery,NA(),SUMIFS(INDIRECT("Data_main"&amp;"["&amp;AZ$8&amp;"]"),Data_main[Data],$A44, Data_main[Segment],$B44, Data_main[Scenario],$B$3)),SUMIFS(INDIRECT("Data_main"&amp;"["&amp;AZ$8&amp;"]"),Data_main[Data],$A44, Data_main[Segment],$B44, Data_main[Scenario],$B$3)),SUMIFS(INDIRECT("Data_main"&amp;"["&amp;AZ$8&amp;"]"),Data_main[Data],$A44, Data_main[Segment],$B44, Data_main[Scenario],$B$3))</f>
        <v>0</v>
      </c>
      <c r="BA44" s="390">
        <f ca="1">IF($B$6="ON", IF(BA42&gt;=covid_start, IF(BA42&lt;covid_recovery,NA(),SUMIFS(INDIRECT("Data_main"&amp;"["&amp;BA$8&amp;"]"),Data_main[Data],$A44, Data_main[Segment],$B44, Data_main[Scenario],$B$3)),SUMIFS(INDIRECT("Data_main"&amp;"["&amp;BA$8&amp;"]"),Data_main[Data],$A44, Data_main[Segment],$B44, Data_main[Scenario],$B$3)),SUMIFS(INDIRECT("Data_main"&amp;"["&amp;BA$8&amp;"]"),Data_main[Data],$A44, Data_main[Segment],$B44, Data_main[Scenario],$B$3))</f>
        <v>0</v>
      </c>
      <c r="BB44" s="390">
        <f ca="1">IF($B$6="ON", IF(BB42&gt;=covid_start, IF(BB42&lt;covid_recovery,NA(),SUMIFS(INDIRECT("Data_main"&amp;"["&amp;BB$8&amp;"]"),Data_main[Data],$A44, Data_main[Segment],$B44, Data_main[Scenario],$B$3)),SUMIFS(INDIRECT("Data_main"&amp;"["&amp;BB$8&amp;"]"),Data_main[Data],$A44, Data_main[Segment],$B44, Data_main[Scenario],$B$3)),SUMIFS(INDIRECT("Data_main"&amp;"["&amp;BB$8&amp;"]"),Data_main[Data],$A44, Data_main[Segment],$B44, Data_main[Scenario],$B$3))</f>
        <v>0</v>
      </c>
      <c r="BC44" s="390">
        <f ca="1">IF($B$6="ON", IF(BC42&gt;=covid_start, IF(BC42&lt;covid_recovery,NA(),SUMIFS(INDIRECT("Data_main"&amp;"["&amp;BC$8&amp;"]"),Data_main[Data],$A44, Data_main[Segment],$B44, Data_main[Scenario],$B$3)),SUMIFS(INDIRECT("Data_main"&amp;"["&amp;BC$8&amp;"]"),Data_main[Data],$A44, Data_main[Segment],$B44, Data_main[Scenario],$B$3)),SUMIFS(INDIRECT("Data_main"&amp;"["&amp;BC$8&amp;"]"),Data_main[Data],$A44, Data_main[Segment],$B44, Data_main[Scenario],$B$3))</f>
        <v>0</v>
      </c>
      <c r="BD44" s="390">
        <f ca="1">IF($B$6="ON", IF(BD42&gt;=covid_start, IF(BD42&lt;covid_recovery,NA(),SUMIFS(INDIRECT("Data_main"&amp;"["&amp;BD$8&amp;"]"),Data_main[Data],$A44, Data_main[Segment],$B44, Data_main[Scenario],$B$3)),SUMIFS(INDIRECT("Data_main"&amp;"["&amp;BD$8&amp;"]"),Data_main[Data],$A44, Data_main[Segment],$B44, Data_main[Scenario],$B$3)),SUMIFS(INDIRECT("Data_main"&amp;"["&amp;BD$8&amp;"]"),Data_main[Data],$A44, Data_main[Segment],$B44, Data_main[Scenario],$B$3))</f>
        <v>0</v>
      </c>
      <c r="BE44" s="390">
        <f ca="1">IF($B$6="ON", IF(BE42&gt;=covid_start, IF(BE42&lt;covid_recovery,NA(),SUMIFS(INDIRECT("Data_main"&amp;"["&amp;BE$8&amp;"]"),Data_main[Data],$A44, Data_main[Segment],$B44, Data_main[Scenario],$B$3)),SUMIFS(INDIRECT("Data_main"&amp;"["&amp;BE$8&amp;"]"),Data_main[Data],$A44, Data_main[Segment],$B44, Data_main[Scenario],$B$3)),SUMIFS(INDIRECT("Data_main"&amp;"["&amp;BE$8&amp;"]"),Data_main[Data],$A44, Data_main[Segment],$B44, Data_main[Scenario],$B$3))</f>
        <v>0</v>
      </c>
      <c r="BF44" s="390">
        <f ca="1">IF($B$6="ON", IF(BF42&gt;=covid_start, IF(BF42&lt;covid_recovery,NA(),SUMIFS(INDIRECT("Data_main"&amp;"["&amp;BF$8&amp;"]"),Data_main[Data],$A44, Data_main[Segment],$B44, Data_main[Scenario],$B$3)),SUMIFS(INDIRECT("Data_main"&amp;"["&amp;BF$8&amp;"]"),Data_main[Data],$A44, Data_main[Segment],$B44, Data_main[Scenario],$B$3)),SUMIFS(INDIRECT("Data_main"&amp;"["&amp;BF$8&amp;"]"),Data_main[Data],$A44, Data_main[Segment],$B44, Data_main[Scenario],$B$3))</f>
        <v>0</v>
      </c>
      <c r="BG44" s="390">
        <f ca="1">IF($B$6="ON", IF(BG42&gt;=covid_start, IF(BG42&lt;covid_recovery,NA(),SUMIFS(INDIRECT("Data_main"&amp;"["&amp;BG$8&amp;"]"),Data_main[Data],$A44, Data_main[Segment],$B44, Data_main[Scenario],$B$3)),SUMIFS(INDIRECT("Data_main"&amp;"["&amp;BG$8&amp;"]"),Data_main[Data],$A44, Data_main[Segment],$B44, Data_main[Scenario],$B$3)),SUMIFS(INDIRECT("Data_main"&amp;"["&amp;BG$8&amp;"]"),Data_main[Data],$A44, Data_main[Segment],$B44, Data_main[Scenario],$B$3))</f>
        <v>0</v>
      </c>
      <c r="BH44" s="390">
        <f ca="1">IF($B$6="ON", IF(BH42&gt;=covid_start, IF(BH42&lt;covid_recovery,NA(),SUMIFS(INDIRECT("Data_main"&amp;"["&amp;BH$8&amp;"]"),Data_main[Data],$A44, Data_main[Segment],$B44, Data_main[Scenario],$B$3)),SUMIFS(INDIRECT("Data_main"&amp;"["&amp;BH$8&amp;"]"),Data_main[Data],$A44, Data_main[Segment],$B44, Data_main[Scenario],$B$3)),SUMIFS(INDIRECT("Data_main"&amp;"["&amp;BH$8&amp;"]"),Data_main[Data],$A44, Data_main[Segment],$B44, Data_main[Scenario],$B$3))</f>
        <v>0</v>
      </c>
      <c r="BI44" s="390">
        <f ca="1">IF($B$6="ON", IF(BI42&gt;=covid_start, IF(BI42&lt;covid_recovery,NA(),SUMIFS(INDIRECT("Data_main"&amp;"["&amp;BI$8&amp;"]"),Data_main[Data],$A44, Data_main[Segment],$B44, Data_main[Scenario],$B$3)),SUMIFS(INDIRECT("Data_main"&amp;"["&amp;BI$8&amp;"]"),Data_main[Data],$A44, Data_main[Segment],$B44, Data_main[Scenario],$B$3)),SUMIFS(INDIRECT("Data_main"&amp;"["&amp;BI$8&amp;"]"),Data_main[Data],$A44, Data_main[Segment],$B44, Data_main[Scenario],$B$3))</f>
        <v>0</v>
      </c>
      <c r="BJ44" s="390">
        <f ca="1">IF($B$6="ON", IF(BJ42&gt;=covid_start, IF(BJ42&lt;covid_recovery,NA(),SUMIFS(INDIRECT("Data_main"&amp;"["&amp;BJ$8&amp;"]"),Data_main[Data],$A44, Data_main[Segment],$B44, Data_main[Scenario],$B$3)),SUMIFS(INDIRECT("Data_main"&amp;"["&amp;BJ$8&amp;"]"),Data_main[Data],$A44, Data_main[Segment],$B44, Data_main[Scenario],$B$3)),SUMIFS(INDIRECT("Data_main"&amp;"["&amp;BJ$8&amp;"]"),Data_main[Data],$A44, Data_main[Segment],$B44, Data_main[Scenario],$B$3))</f>
        <v>0</v>
      </c>
      <c r="BK44" s="390">
        <f ca="1">IF($B$6="ON", IF(BK42&gt;=covid_start, IF(BK42&lt;covid_recovery,NA(),SUMIFS(INDIRECT("Data_main"&amp;"["&amp;BK$8&amp;"]"),Data_main[Data],$A44, Data_main[Segment],$B44, Data_main[Scenario],$B$3)),SUMIFS(INDIRECT("Data_main"&amp;"["&amp;BK$8&amp;"]"),Data_main[Data],$A44, Data_main[Segment],$B44, Data_main[Scenario],$B$3)),SUMIFS(INDIRECT("Data_main"&amp;"["&amp;BK$8&amp;"]"),Data_main[Data],$A44, Data_main[Segment],$B44, Data_main[Scenario],$B$3))</f>
        <v>0</v>
      </c>
      <c r="BL44" s="390">
        <f ca="1">IF($B$6="ON", IF(BL42&gt;=covid_start, IF(BL42&lt;covid_recovery,NA(),SUMIFS(INDIRECT("Data_main"&amp;"["&amp;BL$8&amp;"]"),Data_main[Data],$A44, Data_main[Segment],$B44, Data_main[Scenario],$B$3)),SUMIFS(INDIRECT("Data_main"&amp;"["&amp;BL$8&amp;"]"),Data_main[Data],$A44, Data_main[Segment],$B44, Data_main[Scenario],$B$3)),SUMIFS(INDIRECT("Data_main"&amp;"["&amp;BL$8&amp;"]"),Data_main[Data],$A44, Data_main[Segment],$B44, Data_main[Scenario],$B$3))</f>
        <v>0</v>
      </c>
      <c r="BM44" s="390">
        <f ca="1">IF($B$6="ON", IF(BM42&gt;=covid_start, IF(BM42&lt;covid_recovery,NA(),SUMIFS(INDIRECT("Data_main"&amp;"["&amp;BM$8&amp;"]"),Data_main[Data],$A44, Data_main[Segment],$B44, Data_main[Scenario],$B$3)),SUMIFS(INDIRECT("Data_main"&amp;"["&amp;BM$8&amp;"]"),Data_main[Data],$A44, Data_main[Segment],$B44, Data_main[Scenario],$B$3)),SUMIFS(INDIRECT("Data_main"&amp;"["&amp;BM$8&amp;"]"),Data_main[Data],$A44, Data_main[Segment],$B44, Data_main[Scenario],$B$3))</f>
        <v>0</v>
      </c>
      <c r="BN44" s="390">
        <f ca="1">IF($B$6="ON", IF(BN42&gt;=covid_start, IF(BN42&lt;covid_recovery,NA(),SUMIFS(INDIRECT("Data_main"&amp;"["&amp;BN$8&amp;"]"),Data_main[Data],$A44, Data_main[Segment],$B44, Data_main[Scenario],$B$3)),SUMIFS(INDIRECT("Data_main"&amp;"["&amp;BN$8&amp;"]"),Data_main[Data],$A44, Data_main[Segment],$B44, Data_main[Scenario],$B$3)),SUMIFS(INDIRECT("Data_main"&amp;"["&amp;BN$8&amp;"]"),Data_main[Data],$A44, Data_main[Segment],$B44, Data_main[Scenario],$B$3))</f>
        <v>0</v>
      </c>
      <c r="BO44" s="390">
        <f ca="1">IF($B$6="ON", IF(BO42&gt;=covid_start, IF(BO42&lt;covid_recovery,NA(),SUMIFS(INDIRECT("Data_main"&amp;"["&amp;BO$8&amp;"]"),Data_main[Data],$A44, Data_main[Segment],$B44, Data_main[Scenario],$B$3)),SUMIFS(INDIRECT("Data_main"&amp;"["&amp;BO$8&amp;"]"),Data_main[Data],$A44, Data_main[Segment],$B44, Data_main[Scenario],$B$3)),SUMIFS(INDIRECT("Data_main"&amp;"["&amp;BO$8&amp;"]"),Data_main[Data],$A44, Data_main[Segment],$B44, Data_main[Scenario],$B$3))</f>
        <v>0</v>
      </c>
      <c r="BP44" s="390">
        <f ca="1">IF($B$6="ON", IF(BP42&gt;=covid_start, IF(BP42&lt;covid_recovery,NA(),SUMIFS(INDIRECT("Data_main"&amp;"["&amp;BP$8&amp;"]"),Data_main[Data],$A44, Data_main[Segment],$B44, Data_main[Scenario],$B$3)),SUMIFS(INDIRECT("Data_main"&amp;"["&amp;BP$8&amp;"]"),Data_main[Data],$A44, Data_main[Segment],$B44, Data_main[Scenario],$B$3)),SUMIFS(INDIRECT("Data_main"&amp;"["&amp;BP$8&amp;"]"),Data_main[Data],$A44, Data_main[Segment],$B44, Data_main[Scenario],$B$3))</f>
        <v>0</v>
      </c>
      <c r="BQ44" s="390">
        <f ca="1">IF($B$6="ON", IF(BQ42&gt;=covid_start, IF(BQ42&lt;covid_recovery,NA(),SUMIFS(INDIRECT("Data_main"&amp;"["&amp;BQ$8&amp;"]"),Data_main[Data],$A44, Data_main[Segment],$B44, Data_main[Scenario],$B$3)),SUMIFS(INDIRECT("Data_main"&amp;"["&amp;BQ$8&amp;"]"),Data_main[Data],$A44, Data_main[Segment],$B44, Data_main[Scenario],$B$3)),SUMIFS(INDIRECT("Data_main"&amp;"["&amp;BQ$8&amp;"]"),Data_main[Data],$A44, Data_main[Segment],$B44, Data_main[Scenario],$B$3))</f>
        <v>0</v>
      </c>
      <c r="BR44" s="390">
        <f ca="1">IF($B$6="ON", IF(BR42&gt;=covid_start, IF(BR42&lt;covid_recovery,NA(),SUMIFS(INDIRECT("Data_main"&amp;"["&amp;BR$8&amp;"]"),Data_main[Data],$A44, Data_main[Segment],$B44, Data_main[Scenario],$B$3)),SUMIFS(INDIRECT("Data_main"&amp;"["&amp;BR$8&amp;"]"),Data_main[Data],$A44, Data_main[Segment],$B44, Data_main[Scenario],$B$3)),SUMIFS(INDIRECT("Data_main"&amp;"["&amp;BR$8&amp;"]"),Data_main[Data],$A44, Data_main[Segment],$B44, Data_main[Scenario],$B$3))</f>
        <v>0</v>
      </c>
      <c r="BS44" s="390">
        <f ca="1">IF($B$6="ON", IF(BS42&gt;=covid_start, IF(BS42&lt;covid_recovery,NA(),SUMIFS(INDIRECT("Data_main"&amp;"["&amp;BS$8&amp;"]"),Data_main[Data],$A44, Data_main[Segment],$B44, Data_main[Scenario],$B$3)),SUMIFS(INDIRECT("Data_main"&amp;"["&amp;BS$8&amp;"]"),Data_main[Data],$A44, Data_main[Segment],$B44, Data_main[Scenario],$B$3)),SUMIFS(INDIRECT("Data_main"&amp;"["&amp;BS$8&amp;"]"),Data_main[Data],$A44, Data_main[Segment],$B44, Data_main[Scenario],$B$3))</f>
        <v>0</v>
      </c>
      <c r="BT44" s="390">
        <f ca="1">IF($B$6="ON", IF(BT42&gt;=covid_start, IF(BT42&lt;covid_recovery,NA(),SUMIFS(INDIRECT("Data_main"&amp;"["&amp;BT$8&amp;"]"),Data_main[Data],$A44, Data_main[Segment],$B44, Data_main[Scenario],$B$3)),SUMIFS(INDIRECT("Data_main"&amp;"["&amp;BT$8&amp;"]"),Data_main[Data],$A44, Data_main[Segment],$B44, Data_main[Scenario],$B$3)),SUMIFS(INDIRECT("Data_main"&amp;"["&amp;BT$8&amp;"]"),Data_main[Data],$A44, Data_main[Segment],$B44, Data_main[Scenario],$B$3))</f>
        <v>0</v>
      </c>
      <c r="BU44" s="390">
        <f ca="1">IF($B$6="ON", IF(BU42&gt;=covid_start, IF(BU42&lt;covid_recovery,NA(),SUMIFS(INDIRECT("Data_main"&amp;"["&amp;BU$8&amp;"]"),Data_main[Data],$A44, Data_main[Segment],$B44, Data_main[Scenario],$B$3)),SUMIFS(INDIRECT("Data_main"&amp;"["&amp;BU$8&amp;"]"),Data_main[Data],$A44, Data_main[Segment],$B44, Data_main[Scenario],$B$3)),SUMIFS(INDIRECT("Data_main"&amp;"["&amp;BU$8&amp;"]"),Data_main[Data],$A44, Data_main[Segment],$B44, Data_main[Scenario],$B$3))</f>
        <v>0</v>
      </c>
      <c r="BV44" s="390">
        <f ca="1">IF($B$6="ON", IF(BV42&gt;=covid_start, IF(BV42&lt;covid_recovery,NA(),SUMIFS(INDIRECT("Data_main"&amp;"["&amp;BV$8&amp;"]"),Data_main[Data],$A44, Data_main[Segment],$B44, Data_main[Scenario],$B$3)),SUMIFS(INDIRECT("Data_main"&amp;"["&amp;BV$8&amp;"]"),Data_main[Data],$A44, Data_main[Segment],$B44, Data_main[Scenario],$B$3)),SUMIFS(INDIRECT("Data_main"&amp;"["&amp;BV$8&amp;"]"),Data_main[Data],$A44, Data_main[Segment],$B44, Data_main[Scenario],$B$3))</f>
        <v>0</v>
      </c>
      <c r="BW44" s="390">
        <f ca="1">IF($B$6="ON", IF(BW42&gt;=covid_start, IF(BW42&lt;covid_recovery,NA(),SUMIFS(INDIRECT("Data_main"&amp;"["&amp;BW$8&amp;"]"),Data_main[Data],$A44, Data_main[Segment],$B44, Data_main[Scenario],$B$3)),SUMIFS(INDIRECT("Data_main"&amp;"["&amp;BW$8&amp;"]"),Data_main[Data],$A44, Data_main[Segment],$B44, Data_main[Scenario],$B$3)),SUMIFS(INDIRECT("Data_main"&amp;"["&amp;BW$8&amp;"]"),Data_main[Data],$A44, Data_main[Segment],$B44, Data_main[Scenario],$B$3))</f>
        <v>0</v>
      </c>
      <c r="BX44" s="390">
        <f ca="1">IF($B$6="ON", IF(BX42&gt;=covid_start, IF(BX42&lt;covid_recovery,NA(),SUMIFS(INDIRECT("Data_main"&amp;"["&amp;BX$8&amp;"]"),Data_main[Data],$A44, Data_main[Segment],$B44, Data_main[Scenario],$B$3)),SUMIFS(INDIRECT("Data_main"&amp;"["&amp;BX$8&amp;"]"),Data_main[Data],$A44, Data_main[Segment],$B44, Data_main[Scenario],$B$3)),SUMIFS(INDIRECT("Data_main"&amp;"["&amp;BX$8&amp;"]"),Data_main[Data],$A44, Data_main[Segment],$B44, Data_main[Scenario],$B$3))</f>
        <v>0</v>
      </c>
      <c r="BY44" s="390">
        <f ca="1">IF($B$6="ON", IF(BY42&gt;=covid_start, IF(BY42&lt;covid_recovery,NA(),SUMIFS(INDIRECT("Data_main"&amp;"["&amp;BY$8&amp;"]"),Data_main[Data],$A44, Data_main[Segment],$B44, Data_main[Scenario],$B$3)),SUMIFS(INDIRECT("Data_main"&amp;"["&amp;BY$8&amp;"]"),Data_main[Data],$A44, Data_main[Segment],$B44, Data_main[Scenario],$B$3)),SUMIFS(INDIRECT("Data_main"&amp;"["&amp;BY$8&amp;"]"),Data_main[Data],$A44, Data_main[Segment],$B44, Data_main[Scenario],$B$3))</f>
        <v>0</v>
      </c>
      <c r="BZ44" s="390">
        <f ca="1">IF($B$6="ON", IF(BZ42&gt;=covid_start, IF(BZ42&lt;covid_recovery,NA(),SUMIFS(INDIRECT("Data_main"&amp;"["&amp;BZ$8&amp;"]"),Data_main[Data],$A44, Data_main[Segment],$B44, Data_main[Scenario],$B$3)),SUMIFS(INDIRECT("Data_main"&amp;"["&amp;BZ$8&amp;"]"),Data_main[Data],$A44, Data_main[Segment],$B44, Data_main[Scenario],$B$3)),SUMIFS(INDIRECT("Data_main"&amp;"["&amp;BZ$8&amp;"]"),Data_main[Data],$A44, Data_main[Segment],$B44, Data_main[Scenario],$B$3))</f>
        <v>0</v>
      </c>
      <c r="CA44" s="390">
        <f ca="1">IF($B$6="ON", IF(CA42&gt;=covid_start, IF(CA42&lt;covid_recovery,NA(),SUMIFS(INDIRECT("Data_main"&amp;"["&amp;CA$8&amp;"]"),Data_main[Data],$A44, Data_main[Segment],$B44, Data_main[Scenario],$B$3)),SUMIFS(INDIRECT("Data_main"&amp;"["&amp;CA$8&amp;"]"),Data_main[Data],$A44, Data_main[Segment],$B44, Data_main[Scenario],$B$3)),SUMIFS(INDIRECT("Data_main"&amp;"["&amp;CA$8&amp;"]"),Data_main[Data],$A44, Data_main[Segment],$B44, Data_main[Scenario],$B$3))</f>
        <v>0</v>
      </c>
      <c r="CB44" s="390">
        <f ca="1">IF($B$6="ON", IF(CB42&gt;=covid_start, IF(CB42&lt;covid_recovery,NA(),SUMIFS(INDIRECT("Data_main"&amp;"["&amp;CB$8&amp;"]"),Data_main[Data],$A44, Data_main[Segment],$B44, Data_main[Scenario],$B$3)),SUMIFS(INDIRECT("Data_main"&amp;"["&amp;CB$8&amp;"]"),Data_main[Data],$A44, Data_main[Segment],$B44, Data_main[Scenario],$B$3)),SUMIFS(INDIRECT("Data_main"&amp;"["&amp;CB$8&amp;"]"),Data_main[Data],$A44, Data_main[Segment],$B44, Data_main[Scenario],$B$3))</f>
        <v>0</v>
      </c>
      <c r="CC44" s="390">
        <f ca="1">IF($B$6="ON", IF(CC42&gt;=covid_start, IF(CC42&lt;covid_recovery,NA(),SUMIFS(INDIRECT("Data_main"&amp;"["&amp;CC$8&amp;"]"),Data_main[Data],$A44, Data_main[Segment],$B44, Data_main[Scenario],$B$3)),SUMIFS(INDIRECT("Data_main"&amp;"["&amp;CC$8&amp;"]"),Data_main[Data],$A44, Data_main[Segment],$B44, Data_main[Scenario],$B$3)),SUMIFS(INDIRECT("Data_main"&amp;"["&amp;CC$8&amp;"]"),Data_main[Data],$A44, Data_main[Segment],$B44, Data_main[Scenario],$B$3))</f>
        <v>0</v>
      </c>
      <c r="CD44" s="390">
        <f ca="1">IF($B$6="ON", IF(CD42&gt;=covid_start, IF(CD42&lt;covid_recovery,NA(),SUMIFS(INDIRECT("Data_main"&amp;"["&amp;CD$8&amp;"]"),Data_main[Data],$A44, Data_main[Segment],$B44, Data_main[Scenario],$B$3)),SUMIFS(INDIRECT("Data_main"&amp;"["&amp;CD$8&amp;"]"),Data_main[Data],$A44, Data_main[Segment],$B44, Data_main[Scenario],$B$3)),SUMIFS(INDIRECT("Data_main"&amp;"["&amp;CD$8&amp;"]"),Data_main[Data],$A44, Data_main[Segment],$B44, Data_main[Scenario],$B$3))</f>
        <v>0</v>
      </c>
      <c r="CE44" s="390">
        <f ca="1">IF($B$6="ON", IF(CE42&gt;=covid_start, IF(CE42&lt;covid_recovery,NA(),SUMIFS(INDIRECT("Data_main"&amp;"["&amp;CE$8&amp;"]"),Data_main[Data],$A44, Data_main[Segment],$B44, Data_main[Scenario],$B$3)),SUMIFS(INDIRECT("Data_main"&amp;"["&amp;CE$8&amp;"]"),Data_main[Data],$A44, Data_main[Segment],$B44, Data_main[Scenario],$B$3)),SUMIFS(INDIRECT("Data_main"&amp;"["&amp;CE$8&amp;"]"),Data_main[Data],$A44, Data_main[Segment],$B44, Data_main[Scenario],$B$3))</f>
        <v>0</v>
      </c>
      <c r="CF44" s="390">
        <f ca="1">IF($B$6="ON", IF(CF42&gt;=covid_start, IF(CF42&lt;covid_recovery,NA(),SUMIFS(INDIRECT("Data_main"&amp;"["&amp;CF$8&amp;"]"),Data_main[Data],$A44, Data_main[Segment],$B44, Data_main[Scenario],$B$3)),SUMIFS(INDIRECT("Data_main"&amp;"["&amp;CF$8&amp;"]"),Data_main[Data],$A44, Data_main[Segment],$B44, Data_main[Scenario],$B$3)),SUMIFS(INDIRECT("Data_main"&amp;"["&amp;CF$8&amp;"]"),Data_main[Data],$A44, Data_main[Segment],$B44, Data_main[Scenario],$B$3))</f>
        <v>0</v>
      </c>
      <c r="CG44" s="390">
        <f ca="1">IF($B$6="ON", IF(CG42&gt;=covid_start, IF(CG42&lt;covid_recovery,NA(),SUMIFS(INDIRECT("Data_main"&amp;"["&amp;CG$8&amp;"]"),Data_main[Data],$A44, Data_main[Segment],$B44, Data_main[Scenario],$B$3)),SUMIFS(INDIRECT("Data_main"&amp;"["&amp;CG$8&amp;"]"),Data_main[Data],$A44, Data_main[Segment],$B44, Data_main[Scenario],$B$3)),SUMIFS(INDIRECT("Data_main"&amp;"["&amp;CG$8&amp;"]"),Data_main[Data],$A44, Data_main[Segment],$B44, Data_main[Scenario],$B$3))</f>
        <v>0</v>
      </c>
      <c r="CH44" s="390">
        <f ca="1">IF($B$6="ON", IF(CH42&gt;=covid_start, IF(CH42&lt;covid_recovery,NA(),SUMIFS(INDIRECT("Data_main"&amp;"["&amp;CH$8&amp;"]"),Data_main[Data],$A44, Data_main[Segment],$B44, Data_main[Scenario],$B$3)),SUMIFS(INDIRECT("Data_main"&amp;"["&amp;CH$8&amp;"]"),Data_main[Data],$A44, Data_main[Segment],$B44, Data_main[Scenario],$B$3)),SUMIFS(INDIRECT("Data_main"&amp;"["&amp;CH$8&amp;"]"),Data_main[Data],$A44, Data_main[Segment],$B44, Data_main[Scenario],$B$3))</f>
        <v>0</v>
      </c>
      <c r="CI44" s="390">
        <f ca="1">IF($B$6="ON", IF(CI42&gt;=covid_start, IF(CI42&lt;covid_recovery,NA(),SUMIFS(INDIRECT("Data_main"&amp;"["&amp;CI$8&amp;"]"),Data_main[Data],$A44, Data_main[Segment],$B44, Data_main[Scenario],$B$3)),SUMIFS(INDIRECT("Data_main"&amp;"["&amp;CI$8&amp;"]"),Data_main[Data],$A44, Data_main[Segment],$B44, Data_main[Scenario],$B$3)),SUMIFS(INDIRECT("Data_main"&amp;"["&amp;CI$8&amp;"]"),Data_main[Data],$A44, Data_main[Segment],$B44, Data_main[Scenario],$B$3))</f>
        <v>0</v>
      </c>
      <c r="CJ44" s="390">
        <f ca="1">IF($B$6="ON", IF(CJ42&gt;=covid_start, IF(CJ42&lt;covid_recovery,NA(),SUMIFS(INDIRECT("Data_main"&amp;"["&amp;CJ$8&amp;"]"),Data_main[Data],$A44, Data_main[Segment],$B44, Data_main[Scenario],$B$3)),SUMIFS(INDIRECT("Data_main"&amp;"["&amp;CJ$8&amp;"]"),Data_main[Data],$A44, Data_main[Segment],$B44, Data_main[Scenario],$B$3)),SUMIFS(INDIRECT("Data_main"&amp;"["&amp;CJ$8&amp;"]"),Data_main[Data],$A44, Data_main[Segment],$B44, Data_main[Scenario],$B$3))</f>
        <v>0</v>
      </c>
      <c r="CK44" s="390">
        <f ca="1">IF($B$6="ON", IF(CK42&gt;=covid_start, IF(CK42&lt;covid_recovery,NA(),SUMIFS(INDIRECT("Data_main"&amp;"["&amp;CK$8&amp;"]"),Data_main[Data],$A44, Data_main[Segment],$B44, Data_main[Scenario],$B$3)),SUMIFS(INDIRECT("Data_main"&amp;"["&amp;CK$8&amp;"]"),Data_main[Data],$A44, Data_main[Segment],$B44, Data_main[Scenario],$B$3)),SUMIFS(INDIRECT("Data_main"&amp;"["&amp;CK$8&amp;"]"),Data_main[Data],$A44, Data_main[Segment],$B44, Data_main[Scenario],$B$3))</f>
        <v>0</v>
      </c>
      <c r="CL44" s="390">
        <f ca="1">IF($B$6="ON", IF(CL42&gt;=covid_start, IF(CL42&lt;covid_recovery,NA(),SUMIFS(INDIRECT("Data_main"&amp;"["&amp;CL$8&amp;"]"),Data_main[Data],$A44, Data_main[Segment],$B44, Data_main[Scenario],$B$3)),SUMIFS(INDIRECT("Data_main"&amp;"["&amp;CL$8&amp;"]"),Data_main[Data],$A44, Data_main[Segment],$B44, Data_main[Scenario],$B$3)),SUMIFS(INDIRECT("Data_main"&amp;"["&amp;CL$8&amp;"]"),Data_main[Data],$A44, Data_main[Segment],$B44, Data_main[Scenario],$B$3))</f>
        <v>0</v>
      </c>
      <c r="CN44" s="391">
        <f ca="1">IFERROR((Y44/H44)^(1/17)-1,"")</f>
        <v>2.8214093836832044E-2</v>
      </c>
      <c r="CO44" s="391">
        <f ca="1">IFERROR((AN44/Y44)^(1/15)-1,"")</f>
        <v>2.6246157058246178E-2</v>
      </c>
      <c r="CP44" s="391">
        <f ca="1">IFERROR((AN44/H44)^(1/32)-1,"")</f>
        <v>2.7291154038961096E-2</v>
      </c>
    </row>
    <row r="45" spans="1:94" hidden="1" outlineLevel="1">
      <c r="A45" s="392" t="s">
        <v>158</v>
      </c>
      <c r="B45" s="392" t="str">
        <f t="shared" si="321"/>
        <v>Belly</v>
      </c>
      <c r="C45" s="393" t="s">
        <v>263</v>
      </c>
      <c r="D45" s="389" t="s">
        <v>276</v>
      </c>
      <c r="E45" s="390">
        <f ca="1">'SDS Calc'!E45</f>
        <v>683.29204166542684</v>
      </c>
      <c r="F45" s="531">
        <f ca="1">'SDS Calc'!F45</f>
        <v>670.34703768087195</v>
      </c>
      <c r="G45" s="531">
        <f ca="1">'SDS Calc'!G45</f>
        <v>659.04416585138404</v>
      </c>
      <c r="H45" s="531">
        <f ca="1">'SDS Calc'!H45</f>
        <v>649.08959525762248</v>
      </c>
      <c r="I45" s="531">
        <f ca="1">'SDS Calc'!I45</f>
        <v>635.54538040104273</v>
      </c>
      <c r="J45" s="531" t="e">
        <f ca="1">'SDS Calc'!J45</f>
        <v>#N/A</v>
      </c>
      <c r="K45" s="531" t="e">
        <f ca="1">'SDS Calc'!K45</f>
        <v>#N/A</v>
      </c>
      <c r="L45" s="531" t="e">
        <f ca="1">'SDS Calc'!L45</f>
        <v>#N/A</v>
      </c>
      <c r="M45" s="531">
        <f ca="1">'SDS Calc'!M45</f>
        <v>553.46922737806392</v>
      </c>
      <c r="N45" s="531">
        <f ca="1">'SDS Calc'!N45</f>
        <v>535.81835920356218</v>
      </c>
      <c r="O45" s="531">
        <f ca="1">'SDS Calc'!O45</f>
        <v>519.12755320332121</v>
      </c>
      <c r="P45" s="531">
        <f ca="1">'SDS Calc'!P45</f>
        <v>503.32055397226071</v>
      </c>
      <c r="Q45" s="531">
        <f ca="1">'SDS Calc'!Q45</f>
        <v>488.32897351747442</v>
      </c>
      <c r="R45" s="531">
        <f ca="1">'SDS Calc'!R45</f>
        <v>474.09130215078557</v>
      </c>
      <c r="S45" s="531">
        <f ca="1">'SDS Calc'!S45</f>
        <v>460.5520649443792</v>
      </c>
      <c r="T45" s="531">
        <f ca="1">'SDS Calc'!T45</f>
        <v>447.66109935556875</v>
      </c>
      <c r="U45" s="531">
        <f ca="1">'SDS Calc'!U45</f>
        <v>429.90605443771096</v>
      </c>
      <c r="V45" s="531">
        <f ca="1">IF($B$6="ON", IF(V42&gt;=covid_start, IF(V42&lt;covid_recovery,NA(),SUMIFS(INDIRECT("Data_main"&amp;"["&amp;V$8&amp;"]"),Data_main[Data],$A45, Data_main[Segment],$B45, Data_main[Scenario],$B$3)),SUMIFS(INDIRECT("Data_main"&amp;"["&amp;V$8&amp;"]"),Data_main[Data],$A45, Data_main[Segment],$B45, Data_main[Scenario],$B$3)),SUMIFS(INDIRECT("Data_main"&amp;"["&amp;V$8&amp;"]"),Data_main[Data],$A45, Data_main[Segment],$B45, Data_main[Scenario],$B$3))</f>
        <v>402.34755994659474</v>
      </c>
      <c r="W45" s="390">
        <f ca="1">IF($B$6="ON", IF(W42&gt;=covid_start, IF(W42&lt;covid_recovery,NA(),SUMIFS(INDIRECT("Data_main"&amp;"["&amp;W$8&amp;"]"),Data_main[Data],$A45, Data_main[Segment],$B45, Data_main[Scenario],$B$3)),SUMIFS(INDIRECT("Data_main"&amp;"["&amp;W$8&amp;"]"),Data_main[Data],$A45, Data_main[Segment],$B45, Data_main[Scenario],$B$3)),SUMIFS(INDIRECT("Data_main"&amp;"["&amp;W$8&amp;"]"),Data_main[Data],$A45, Data_main[Segment],$B45, Data_main[Scenario],$B$3))</f>
        <v>374.83638659930745</v>
      </c>
      <c r="X45" s="390">
        <f ca="1">IF($B$6="ON", IF(X42&gt;=covid_start, IF(X42&lt;covid_recovery,NA(),SUMIFS(INDIRECT("Data_main"&amp;"["&amp;X$8&amp;"]"),Data_main[Data],$A45, Data_main[Segment],$B45, Data_main[Scenario],$B$3)),SUMIFS(INDIRECT("Data_main"&amp;"["&amp;X$8&amp;"]"),Data_main[Data],$A45, Data_main[Segment],$B45, Data_main[Scenario],$B$3)),SUMIFS(INDIRECT("Data_main"&amp;"["&amp;X$8&amp;"]"),Data_main[Data],$A45, Data_main[Segment],$B45, Data_main[Scenario],$B$3))</f>
        <v>348.24740024150054</v>
      </c>
      <c r="Y45" s="390">
        <f ca="1">IF($B$6="ON", IF(Y42&gt;=covid_start, IF(Y42&lt;covid_recovery,NA(),SUMIFS(INDIRECT("Data_main"&amp;"["&amp;Y$8&amp;"]"),Data_main[Data],$A45, Data_main[Segment],$B45, Data_main[Scenario],$B$3)),SUMIFS(INDIRECT("Data_main"&amp;"["&amp;Y$8&amp;"]"),Data_main[Data],$A45, Data_main[Segment],$B45, Data_main[Scenario],$B$3)),SUMIFS(INDIRECT("Data_main"&amp;"["&amp;Y$8&amp;"]"),Data_main[Data],$A45, Data_main[Segment],$B45, Data_main[Scenario],$B$3))</f>
        <v>315.64290264633536</v>
      </c>
      <c r="Z45" s="390">
        <f ca="1">IF($B$6="ON", IF(Z42&gt;=covid_start, IF(Z42&lt;covid_recovery,NA(),SUMIFS(INDIRECT("Data_main"&amp;"["&amp;Z$8&amp;"]"),Data_main[Data],$A45, Data_main[Segment],$B45, Data_main[Scenario],$B$3)),SUMIFS(INDIRECT("Data_main"&amp;"["&amp;Z$8&amp;"]"),Data_main[Data],$A45, Data_main[Segment],$B45, Data_main[Scenario],$B$3)),SUMIFS(INDIRECT("Data_main"&amp;"["&amp;Z$8&amp;"]"),Data_main[Data],$A45, Data_main[Segment],$B45, Data_main[Scenario],$B$3))</f>
        <v>283.96305958473783</v>
      </c>
      <c r="AA45" s="390">
        <f ca="1">IF($B$6="ON", IF(AA42&gt;=covid_start, IF(AA42&lt;covid_recovery,NA(),SUMIFS(INDIRECT("Data_main"&amp;"["&amp;AA$8&amp;"]"),Data_main[Data],$A45, Data_main[Segment],$B45, Data_main[Scenario],$B$3)),SUMIFS(INDIRECT("Data_main"&amp;"["&amp;AA$8&amp;"]"),Data_main[Data],$A45, Data_main[Segment],$B45, Data_main[Scenario],$B$3)),SUMIFS(INDIRECT("Data_main"&amp;"["&amp;AA$8&amp;"]"),Data_main[Data],$A45, Data_main[Segment],$B45, Data_main[Scenario],$B$3))</f>
        <v>253.709975822704</v>
      </c>
      <c r="AB45" s="390">
        <f ca="1">IF($B$6="ON", IF(AB42&gt;=covid_start, IF(AB42&lt;covid_recovery,NA(),SUMIFS(INDIRECT("Data_main"&amp;"["&amp;AB$8&amp;"]"),Data_main[Data],$A45, Data_main[Segment],$B45, Data_main[Scenario],$B$3)),SUMIFS(INDIRECT("Data_main"&amp;"["&amp;AB$8&amp;"]"),Data_main[Data],$A45, Data_main[Segment],$B45, Data_main[Scenario],$B$3)),SUMIFS(INDIRECT("Data_main"&amp;"["&amp;AB$8&amp;"]"),Data_main[Data],$A45, Data_main[Segment],$B45, Data_main[Scenario],$B$3))</f>
        <v>224.93361288289125</v>
      </c>
      <c r="AC45" s="390">
        <f ca="1">IF($B$6="ON", IF(AC42&gt;=covid_start, IF(AC42&lt;covid_recovery,NA(),SUMIFS(INDIRECT("Data_main"&amp;"["&amp;AC$8&amp;"]"),Data_main[Data],$A45, Data_main[Segment],$B45, Data_main[Scenario],$B$3)),SUMIFS(INDIRECT("Data_main"&amp;"["&amp;AC$8&amp;"]"),Data_main[Data],$A45, Data_main[Segment],$B45, Data_main[Scenario],$B$3)),SUMIFS(INDIRECT("Data_main"&amp;"["&amp;AC$8&amp;"]"),Data_main[Data],$A45, Data_main[Segment],$B45, Data_main[Scenario],$B$3))</f>
        <v>197.67233148521848</v>
      </c>
      <c r="AD45" s="390">
        <f ca="1">IF($B$6="ON", IF(AD42&gt;=covid_start, IF(AD42&lt;covid_recovery,NA(),SUMIFS(INDIRECT("Data_main"&amp;"["&amp;AD$8&amp;"]"),Data_main[Data],$A45, Data_main[Segment],$B45, Data_main[Scenario],$B$3)),SUMIFS(INDIRECT("Data_main"&amp;"["&amp;AD$8&amp;"]"),Data_main[Data],$A45, Data_main[Segment],$B45, Data_main[Scenario],$B$3)),SUMIFS(INDIRECT("Data_main"&amp;"["&amp;AD$8&amp;"]"),Data_main[Data],$A45, Data_main[Segment],$B45, Data_main[Scenario],$B$3))</f>
        <v>171.92689088621964</v>
      </c>
      <c r="AE45" s="390">
        <f ca="1">IF($B$6="ON", IF(AE42&gt;=covid_start, IF(AE42&lt;covid_recovery,NA(),SUMIFS(INDIRECT("Data_main"&amp;"["&amp;AE$8&amp;"]"),Data_main[Data],$A45, Data_main[Segment],$B45, Data_main[Scenario],$B$3)),SUMIFS(INDIRECT("Data_main"&amp;"["&amp;AE$8&amp;"]"),Data_main[Data],$A45, Data_main[Segment],$B45, Data_main[Scenario],$B$3)),SUMIFS(INDIRECT("Data_main"&amp;"["&amp;AE$8&amp;"]"),Data_main[Data],$A45, Data_main[Segment],$B45, Data_main[Scenario],$B$3))</f>
        <v>149.79530249554762</v>
      </c>
      <c r="AF45" s="390">
        <f ca="1">IF($B$6="ON", IF(AF42&gt;=covid_start, IF(AF42&lt;covid_recovery,NA(),SUMIFS(INDIRECT("Data_main"&amp;"["&amp;AF$8&amp;"]"),Data_main[Data],$A45, Data_main[Segment],$B45, Data_main[Scenario],$B$3)),SUMIFS(INDIRECT("Data_main"&amp;"["&amp;AF$8&amp;"]"),Data_main[Data],$A45, Data_main[Segment],$B45, Data_main[Scenario],$B$3)),SUMIFS(INDIRECT("Data_main"&amp;"["&amp;AF$8&amp;"]"),Data_main[Data],$A45, Data_main[Segment],$B45, Data_main[Scenario],$B$3))</f>
        <v>128.95785371681438</v>
      </c>
      <c r="AG45" s="390">
        <f ca="1">IF($B$6="ON", IF(AG42&gt;=covid_start, IF(AG42&lt;covid_recovery,NA(),SUMIFS(INDIRECT("Data_main"&amp;"["&amp;AG$8&amp;"]"),Data_main[Data],$A45, Data_main[Segment],$B45, Data_main[Scenario],$B$3)),SUMIFS(INDIRECT("Data_main"&amp;"["&amp;AG$8&amp;"]"),Data_main[Data],$A45, Data_main[Segment],$B45, Data_main[Scenario],$B$3)),SUMIFS(INDIRECT("Data_main"&amp;"["&amp;AG$8&amp;"]"),Data_main[Data],$A45, Data_main[Segment],$B45, Data_main[Scenario],$B$3))</f>
        <v>109.31122742753327</v>
      </c>
      <c r="AH45" s="390">
        <f ca="1">IF($B$6="ON", IF(AH42&gt;=covid_start, IF(AH42&lt;covid_recovery,NA(),SUMIFS(INDIRECT("Data_main"&amp;"["&amp;AH$8&amp;"]"),Data_main[Data],$A45, Data_main[Segment],$B45, Data_main[Scenario],$B$3)),SUMIFS(INDIRECT("Data_main"&amp;"["&amp;AH$8&amp;"]"),Data_main[Data],$A45, Data_main[Segment],$B45, Data_main[Scenario],$B$3)),SUMIFS(INDIRECT("Data_main"&amp;"["&amp;AH$8&amp;"]"),Data_main[Data],$A45, Data_main[Segment],$B45, Data_main[Scenario],$B$3))</f>
        <v>90.738629448906778</v>
      </c>
      <c r="AI45" s="390">
        <f ca="1">IF($B$6="ON", IF(AI42&gt;=covid_start, IF(AI42&lt;covid_recovery,NA(),SUMIFS(INDIRECT("Data_main"&amp;"["&amp;AI$8&amp;"]"),Data_main[Data],$A45, Data_main[Segment],$B45, Data_main[Scenario],$B$3)),SUMIFS(INDIRECT("Data_main"&amp;"["&amp;AI$8&amp;"]"),Data_main[Data],$A45, Data_main[Segment],$B45, Data_main[Scenario],$B$3)),SUMIFS(INDIRECT("Data_main"&amp;"["&amp;AI$8&amp;"]"),Data_main[Data],$A45, Data_main[Segment],$B45, Data_main[Scenario],$B$3))</f>
        <v>73.120796486100161</v>
      </c>
      <c r="AJ45" s="390">
        <f ca="1">IF($B$6="ON", IF(AJ42&gt;=covid_start, IF(AJ42&lt;covid_recovery,NA(),SUMIFS(INDIRECT("Data_main"&amp;"["&amp;AJ$8&amp;"]"),Data_main[Data],$A45, Data_main[Segment],$B45, Data_main[Scenario],$B$3)),SUMIFS(INDIRECT("Data_main"&amp;"["&amp;AJ$8&amp;"]"),Data_main[Data],$A45, Data_main[Segment],$B45, Data_main[Scenario],$B$3)),SUMIFS(INDIRECT("Data_main"&amp;"["&amp;AJ$8&amp;"]"),Data_main[Data],$A45, Data_main[Segment],$B45, Data_main[Scenario],$B$3))</f>
        <v>56.186423239523393</v>
      </c>
      <c r="AK45" s="390">
        <f ca="1">IF($B$6="ON", IF(AK42&gt;=covid_start, IF(AK42&lt;covid_recovery,NA(),SUMIFS(INDIRECT("Data_main"&amp;"["&amp;AK$8&amp;"]"),Data_main[Data],$A45, Data_main[Segment],$B45, Data_main[Scenario],$B$3)),SUMIFS(INDIRECT("Data_main"&amp;"["&amp;AK$8&amp;"]"),Data_main[Data],$A45, Data_main[Segment],$B45, Data_main[Scenario],$B$3)),SUMIFS(INDIRECT("Data_main"&amp;"["&amp;AK$8&amp;"]"),Data_main[Data],$A45, Data_main[Segment],$B45, Data_main[Scenario],$B$3))</f>
        <v>40.00572006891133</v>
      </c>
      <c r="AL45" s="390">
        <f ca="1">IF($B$6="ON", IF(AL42&gt;=covid_start, IF(AL42&lt;covid_recovery,NA(),SUMIFS(INDIRECT("Data_main"&amp;"["&amp;AL$8&amp;"]"),Data_main[Data],$A45, Data_main[Segment],$B45, Data_main[Scenario],$B$3)),SUMIFS(INDIRECT("Data_main"&amp;"["&amp;AL$8&amp;"]"),Data_main[Data],$A45, Data_main[Segment],$B45, Data_main[Scenario],$B$3)),SUMIFS(INDIRECT("Data_main"&amp;"["&amp;AL$8&amp;"]"),Data_main[Data],$A45, Data_main[Segment],$B45, Data_main[Scenario],$B$3))</f>
        <v>24.495468108512217</v>
      </c>
      <c r="AM45" s="390">
        <f ca="1">IF($B$6="ON", IF(AM42&gt;=covid_start, IF(AM42&lt;covid_recovery,NA(),SUMIFS(INDIRECT("Data_main"&amp;"["&amp;AM$8&amp;"]"),Data_main[Data],$A45, Data_main[Segment],$B45, Data_main[Scenario],$B$3)),SUMIFS(INDIRECT("Data_main"&amp;"["&amp;AM$8&amp;"]"),Data_main[Data],$A45, Data_main[Segment],$B45, Data_main[Scenario],$B$3)),SUMIFS(INDIRECT("Data_main"&amp;"["&amp;AM$8&amp;"]"),Data_main[Data],$A45, Data_main[Segment],$B45, Data_main[Scenario],$B$3))</f>
        <v>18.997056521408702</v>
      </c>
      <c r="AN45" s="390">
        <f ca="1">IF($B$6="ON", IF(AN42&gt;=covid_start, IF(AN42&lt;covid_recovery,NA(),SUMIFS(INDIRECT("Data_main"&amp;"["&amp;AN$8&amp;"]"),Data_main[Data],$A45, Data_main[Segment],$B45, Data_main[Scenario],$B$3)),SUMIFS(INDIRECT("Data_main"&amp;"["&amp;AN$8&amp;"]"),Data_main[Data],$A45, Data_main[Segment],$B45, Data_main[Scenario],$B$3)),SUMIFS(INDIRECT("Data_main"&amp;"["&amp;AN$8&amp;"]"),Data_main[Data],$A45, Data_main[Segment],$B45, Data_main[Scenario],$B$3))</f>
        <v>16.266041128869425</v>
      </c>
      <c r="AO45" s="390">
        <f ca="1">IF($B$6="ON", IF(AO42&gt;=covid_start, IF(AO42&lt;covid_recovery,NA(),SUMIFS(INDIRECT("Data_main"&amp;"["&amp;AO$8&amp;"]"),Data_main[Data],$A45, Data_main[Segment],$B45, Data_main[Scenario],$B$3)),SUMIFS(INDIRECT("Data_main"&amp;"["&amp;AO$8&amp;"]"),Data_main[Data],$A45, Data_main[Segment],$B45, Data_main[Scenario],$B$3)),SUMIFS(INDIRECT("Data_main"&amp;"["&amp;AO$8&amp;"]"),Data_main[Data],$A45, Data_main[Segment],$B45, Data_main[Scenario],$B$3))</f>
        <v>0</v>
      </c>
      <c r="AP45" s="390">
        <f ca="1">IF($B$6="ON", IF(AP42&gt;=covid_start, IF(AP42&lt;covid_recovery,NA(),SUMIFS(INDIRECT("Data_main"&amp;"["&amp;AP$8&amp;"]"),Data_main[Data],$A45, Data_main[Segment],$B45, Data_main[Scenario],$B$3)),SUMIFS(INDIRECT("Data_main"&amp;"["&amp;AP$8&amp;"]"),Data_main[Data],$A45, Data_main[Segment],$B45, Data_main[Scenario],$B$3)),SUMIFS(INDIRECT("Data_main"&amp;"["&amp;AP$8&amp;"]"),Data_main[Data],$A45, Data_main[Segment],$B45, Data_main[Scenario],$B$3))</f>
        <v>0</v>
      </c>
      <c r="AQ45" s="390">
        <f ca="1">IF($B$6="ON", IF(AQ42&gt;=covid_start, IF(AQ42&lt;covid_recovery,NA(),SUMIFS(INDIRECT("Data_main"&amp;"["&amp;AQ$8&amp;"]"),Data_main[Data],$A45, Data_main[Segment],$B45, Data_main[Scenario],$B$3)),SUMIFS(INDIRECT("Data_main"&amp;"["&amp;AQ$8&amp;"]"),Data_main[Data],$A45, Data_main[Segment],$B45, Data_main[Scenario],$B$3)),SUMIFS(INDIRECT("Data_main"&amp;"["&amp;AQ$8&amp;"]"),Data_main[Data],$A45, Data_main[Segment],$B45, Data_main[Scenario],$B$3))</f>
        <v>0</v>
      </c>
      <c r="AR45" s="390">
        <f ca="1">IF($B$6="ON", IF(AR42&gt;=covid_start, IF(AR42&lt;covid_recovery,NA(),SUMIFS(INDIRECT("Data_main"&amp;"["&amp;AR$8&amp;"]"),Data_main[Data],$A45, Data_main[Segment],$B45, Data_main[Scenario],$B$3)),SUMIFS(INDIRECT("Data_main"&amp;"["&amp;AR$8&amp;"]"),Data_main[Data],$A45, Data_main[Segment],$B45, Data_main[Scenario],$B$3)),SUMIFS(INDIRECT("Data_main"&amp;"["&amp;AR$8&amp;"]"),Data_main[Data],$A45, Data_main[Segment],$B45, Data_main[Scenario],$B$3))</f>
        <v>0</v>
      </c>
      <c r="AS45" s="390">
        <f ca="1">IF($B$6="ON", IF(AS42&gt;=covid_start, IF(AS42&lt;covid_recovery,NA(),SUMIFS(INDIRECT("Data_main"&amp;"["&amp;AS$8&amp;"]"),Data_main[Data],$A45, Data_main[Segment],$B45, Data_main[Scenario],$B$3)),SUMIFS(INDIRECT("Data_main"&amp;"["&amp;AS$8&amp;"]"),Data_main[Data],$A45, Data_main[Segment],$B45, Data_main[Scenario],$B$3)),SUMIFS(INDIRECT("Data_main"&amp;"["&amp;AS$8&amp;"]"),Data_main[Data],$A45, Data_main[Segment],$B45, Data_main[Scenario],$B$3))</f>
        <v>0</v>
      </c>
      <c r="AT45" s="390">
        <f ca="1">IF($B$6="ON", IF(AT42&gt;=covid_start, IF(AT42&lt;covid_recovery,NA(),SUMIFS(INDIRECT("Data_main"&amp;"["&amp;AT$8&amp;"]"),Data_main[Data],$A45, Data_main[Segment],$B45, Data_main[Scenario],$B$3)),SUMIFS(INDIRECT("Data_main"&amp;"["&amp;AT$8&amp;"]"),Data_main[Data],$A45, Data_main[Segment],$B45, Data_main[Scenario],$B$3)),SUMIFS(INDIRECT("Data_main"&amp;"["&amp;AT$8&amp;"]"),Data_main[Data],$A45, Data_main[Segment],$B45, Data_main[Scenario],$B$3))</f>
        <v>0</v>
      </c>
      <c r="AU45" s="390">
        <f ca="1">IF($B$6="ON", IF(AU42&gt;=covid_start, IF(AU42&lt;covid_recovery,NA(),SUMIFS(INDIRECT("Data_main"&amp;"["&amp;AU$8&amp;"]"),Data_main[Data],$A45, Data_main[Segment],$B45, Data_main[Scenario],$B$3)),SUMIFS(INDIRECT("Data_main"&amp;"["&amp;AU$8&amp;"]"),Data_main[Data],$A45, Data_main[Segment],$B45, Data_main[Scenario],$B$3)),SUMIFS(INDIRECT("Data_main"&amp;"["&amp;AU$8&amp;"]"),Data_main[Data],$A45, Data_main[Segment],$B45, Data_main[Scenario],$B$3))</f>
        <v>0</v>
      </c>
      <c r="AV45" s="390">
        <f ca="1">IF($B$6="ON", IF(AV42&gt;=covid_start, IF(AV42&lt;covid_recovery,NA(),SUMIFS(INDIRECT("Data_main"&amp;"["&amp;AV$8&amp;"]"),Data_main[Data],$A45, Data_main[Segment],$B45, Data_main[Scenario],$B$3)),SUMIFS(INDIRECT("Data_main"&amp;"["&amp;AV$8&amp;"]"),Data_main[Data],$A45, Data_main[Segment],$B45, Data_main[Scenario],$B$3)),SUMIFS(INDIRECT("Data_main"&amp;"["&amp;AV$8&amp;"]"),Data_main[Data],$A45, Data_main[Segment],$B45, Data_main[Scenario],$B$3))</f>
        <v>0</v>
      </c>
      <c r="AW45" s="390">
        <f ca="1">IF($B$6="ON", IF(AW42&gt;=covid_start, IF(AW42&lt;covid_recovery,NA(),SUMIFS(INDIRECT("Data_main"&amp;"["&amp;AW$8&amp;"]"),Data_main[Data],$A45, Data_main[Segment],$B45, Data_main[Scenario],$B$3)),SUMIFS(INDIRECT("Data_main"&amp;"["&amp;AW$8&amp;"]"),Data_main[Data],$A45, Data_main[Segment],$B45, Data_main[Scenario],$B$3)),SUMIFS(INDIRECT("Data_main"&amp;"["&amp;AW$8&amp;"]"),Data_main[Data],$A45, Data_main[Segment],$B45, Data_main[Scenario],$B$3))</f>
        <v>0</v>
      </c>
      <c r="AX45" s="390">
        <f ca="1">IF($B$6="ON", IF(AX42&gt;=covid_start, IF(AX42&lt;covid_recovery,NA(),SUMIFS(INDIRECT("Data_main"&amp;"["&amp;AX$8&amp;"]"),Data_main[Data],$A45, Data_main[Segment],$B45, Data_main[Scenario],$B$3)),SUMIFS(INDIRECT("Data_main"&amp;"["&amp;AX$8&amp;"]"),Data_main[Data],$A45, Data_main[Segment],$B45, Data_main[Scenario],$B$3)),SUMIFS(INDIRECT("Data_main"&amp;"["&amp;AX$8&amp;"]"),Data_main[Data],$A45, Data_main[Segment],$B45, Data_main[Scenario],$B$3))</f>
        <v>0</v>
      </c>
      <c r="AY45" s="390">
        <f ca="1">IF($B$6="ON", IF(AY42&gt;=covid_start, IF(AY42&lt;covid_recovery,NA(),SUMIFS(INDIRECT("Data_main"&amp;"["&amp;AY$8&amp;"]"),Data_main[Data],$A45, Data_main[Segment],$B45, Data_main[Scenario],$B$3)),SUMIFS(INDIRECT("Data_main"&amp;"["&amp;AY$8&amp;"]"),Data_main[Data],$A45, Data_main[Segment],$B45, Data_main[Scenario],$B$3)),SUMIFS(INDIRECT("Data_main"&amp;"["&amp;AY$8&amp;"]"),Data_main[Data],$A45, Data_main[Segment],$B45, Data_main[Scenario],$B$3))</f>
        <v>0</v>
      </c>
      <c r="AZ45" s="390">
        <f ca="1">IF($B$6="ON", IF(AZ42&gt;=covid_start, IF(AZ42&lt;covid_recovery,NA(),SUMIFS(INDIRECT("Data_main"&amp;"["&amp;AZ$8&amp;"]"),Data_main[Data],$A45, Data_main[Segment],$B45, Data_main[Scenario],$B$3)),SUMIFS(INDIRECT("Data_main"&amp;"["&amp;AZ$8&amp;"]"),Data_main[Data],$A45, Data_main[Segment],$B45, Data_main[Scenario],$B$3)),SUMIFS(INDIRECT("Data_main"&amp;"["&amp;AZ$8&amp;"]"),Data_main[Data],$A45, Data_main[Segment],$B45, Data_main[Scenario],$B$3))</f>
        <v>0</v>
      </c>
      <c r="BA45" s="390">
        <f ca="1">IF($B$6="ON", IF(BA42&gt;=covid_start, IF(BA42&lt;covid_recovery,NA(),SUMIFS(INDIRECT("Data_main"&amp;"["&amp;BA$8&amp;"]"),Data_main[Data],$A45, Data_main[Segment],$B45, Data_main[Scenario],$B$3)),SUMIFS(INDIRECT("Data_main"&amp;"["&amp;BA$8&amp;"]"),Data_main[Data],$A45, Data_main[Segment],$B45, Data_main[Scenario],$B$3)),SUMIFS(INDIRECT("Data_main"&amp;"["&amp;BA$8&amp;"]"),Data_main[Data],$A45, Data_main[Segment],$B45, Data_main[Scenario],$B$3))</f>
        <v>0</v>
      </c>
      <c r="BB45" s="390">
        <f ca="1">IF($B$6="ON", IF(BB42&gt;=covid_start, IF(BB42&lt;covid_recovery,NA(),SUMIFS(INDIRECT("Data_main"&amp;"["&amp;BB$8&amp;"]"),Data_main[Data],$A45, Data_main[Segment],$B45, Data_main[Scenario],$B$3)),SUMIFS(INDIRECT("Data_main"&amp;"["&amp;BB$8&amp;"]"),Data_main[Data],$A45, Data_main[Segment],$B45, Data_main[Scenario],$B$3)),SUMIFS(INDIRECT("Data_main"&amp;"["&amp;BB$8&amp;"]"),Data_main[Data],$A45, Data_main[Segment],$B45, Data_main[Scenario],$B$3))</f>
        <v>0</v>
      </c>
      <c r="BC45" s="390">
        <f ca="1">IF($B$6="ON", IF(BC42&gt;=covid_start, IF(BC42&lt;covid_recovery,NA(),SUMIFS(INDIRECT("Data_main"&amp;"["&amp;BC$8&amp;"]"),Data_main[Data],$A45, Data_main[Segment],$B45, Data_main[Scenario],$B$3)),SUMIFS(INDIRECT("Data_main"&amp;"["&amp;BC$8&amp;"]"),Data_main[Data],$A45, Data_main[Segment],$B45, Data_main[Scenario],$B$3)),SUMIFS(INDIRECT("Data_main"&amp;"["&amp;BC$8&amp;"]"),Data_main[Data],$A45, Data_main[Segment],$B45, Data_main[Scenario],$B$3))</f>
        <v>0</v>
      </c>
      <c r="BD45" s="390">
        <f ca="1">IF($B$6="ON", IF(BD42&gt;=covid_start, IF(BD42&lt;covid_recovery,NA(),SUMIFS(INDIRECT("Data_main"&amp;"["&amp;BD$8&amp;"]"),Data_main[Data],$A45, Data_main[Segment],$B45, Data_main[Scenario],$B$3)),SUMIFS(INDIRECT("Data_main"&amp;"["&amp;BD$8&amp;"]"),Data_main[Data],$A45, Data_main[Segment],$B45, Data_main[Scenario],$B$3)),SUMIFS(INDIRECT("Data_main"&amp;"["&amp;BD$8&amp;"]"),Data_main[Data],$A45, Data_main[Segment],$B45, Data_main[Scenario],$B$3))</f>
        <v>0</v>
      </c>
      <c r="BE45" s="390">
        <f ca="1">IF($B$6="ON", IF(BE42&gt;=covid_start, IF(BE42&lt;covid_recovery,NA(),SUMIFS(INDIRECT("Data_main"&amp;"["&amp;BE$8&amp;"]"),Data_main[Data],$A45, Data_main[Segment],$B45, Data_main[Scenario],$B$3)),SUMIFS(INDIRECT("Data_main"&amp;"["&amp;BE$8&amp;"]"),Data_main[Data],$A45, Data_main[Segment],$B45, Data_main[Scenario],$B$3)),SUMIFS(INDIRECT("Data_main"&amp;"["&amp;BE$8&amp;"]"),Data_main[Data],$A45, Data_main[Segment],$B45, Data_main[Scenario],$B$3))</f>
        <v>0</v>
      </c>
      <c r="BF45" s="390">
        <f ca="1">IF($B$6="ON", IF(BF42&gt;=covid_start, IF(BF42&lt;covid_recovery,NA(),SUMIFS(INDIRECT("Data_main"&amp;"["&amp;BF$8&amp;"]"),Data_main[Data],$A45, Data_main[Segment],$B45, Data_main[Scenario],$B$3)),SUMIFS(INDIRECT("Data_main"&amp;"["&amp;BF$8&amp;"]"),Data_main[Data],$A45, Data_main[Segment],$B45, Data_main[Scenario],$B$3)),SUMIFS(INDIRECT("Data_main"&amp;"["&amp;BF$8&amp;"]"),Data_main[Data],$A45, Data_main[Segment],$B45, Data_main[Scenario],$B$3))</f>
        <v>0</v>
      </c>
      <c r="BG45" s="390">
        <f ca="1">IF($B$6="ON", IF(BG42&gt;=covid_start, IF(BG42&lt;covid_recovery,NA(),SUMIFS(INDIRECT("Data_main"&amp;"["&amp;BG$8&amp;"]"),Data_main[Data],$A45, Data_main[Segment],$B45, Data_main[Scenario],$B$3)),SUMIFS(INDIRECT("Data_main"&amp;"["&amp;BG$8&amp;"]"),Data_main[Data],$A45, Data_main[Segment],$B45, Data_main[Scenario],$B$3)),SUMIFS(INDIRECT("Data_main"&amp;"["&amp;BG$8&amp;"]"),Data_main[Data],$A45, Data_main[Segment],$B45, Data_main[Scenario],$B$3))</f>
        <v>0</v>
      </c>
      <c r="BH45" s="390">
        <f ca="1">IF($B$6="ON", IF(BH42&gt;=covid_start, IF(BH42&lt;covid_recovery,NA(),SUMIFS(INDIRECT("Data_main"&amp;"["&amp;BH$8&amp;"]"),Data_main[Data],$A45, Data_main[Segment],$B45, Data_main[Scenario],$B$3)),SUMIFS(INDIRECT("Data_main"&amp;"["&amp;BH$8&amp;"]"),Data_main[Data],$A45, Data_main[Segment],$B45, Data_main[Scenario],$B$3)),SUMIFS(INDIRECT("Data_main"&amp;"["&amp;BH$8&amp;"]"),Data_main[Data],$A45, Data_main[Segment],$B45, Data_main[Scenario],$B$3))</f>
        <v>0</v>
      </c>
      <c r="BI45" s="390">
        <f ca="1">IF($B$6="ON", IF(BI42&gt;=covid_start, IF(BI42&lt;covid_recovery,NA(),SUMIFS(INDIRECT("Data_main"&amp;"["&amp;BI$8&amp;"]"),Data_main[Data],$A45, Data_main[Segment],$B45, Data_main[Scenario],$B$3)),SUMIFS(INDIRECT("Data_main"&amp;"["&amp;BI$8&amp;"]"),Data_main[Data],$A45, Data_main[Segment],$B45, Data_main[Scenario],$B$3)),SUMIFS(INDIRECT("Data_main"&amp;"["&amp;BI$8&amp;"]"),Data_main[Data],$A45, Data_main[Segment],$B45, Data_main[Scenario],$B$3))</f>
        <v>0</v>
      </c>
      <c r="BJ45" s="390">
        <f ca="1">IF($B$6="ON", IF(BJ42&gt;=covid_start, IF(BJ42&lt;covid_recovery,NA(),SUMIFS(INDIRECT("Data_main"&amp;"["&amp;BJ$8&amp;"]"),Data_main[Data],$A45, Data_main[Segment],$B45, Data_main[Scenario],$B$3)),SUMIFS(INDIRECT("Data_main"&amp;"["&amp;BJ$8&amp;"]"),Data_main[Data],$A45, Data_main[Segment],$B45, Data_main[Scenario],$B$3)),SUMIFS(INDIRECT("Data_main"&amp;"["&amp;BJ$8&amp;"]"),Data_main[Data],$A45, Data_main[Segment],$B45, Data_main[Scenario],$B$3))</f>
        <v>0</v>
      </c>
      <c r="BK45" s="390">
        <f ca="1">IF($B$6="ON", IF(BK42&gt;=covid_start, IF(BK42&lt;covid_recovery,NA(),SUMIFS(INDIRECT("Data_main"&amp;"["&amp;BK$8&amp;"]"),Data_main[Data],$A45, Data_main[Segment],$B45, Data_main[Scenario],$B$3)),SUMIFS(INDIRECT("Data_main"&amp;"["&amp;BK$8&amp;"]"),Data_main[Data],$A45, Data_main[Segment],$B45, Data_main[Scenario],$B$3)),SUMIFS(INDIRECT("Data_main"&amp;"["&amp;BK$8&amp;"]"),Data_main[Data],$A45, Data_main[Segment],$B45, Data_main[Scenario],$B$3))</f>
        <v>0</v>
      </c>
      <c r="BL45" s="390">
        <f ca="1">IF($B$6="ON", IF(BL42&gt;=covid_start, IF(BL42&lt;covid_recovery,NA(),SUMIFS(INDIRECT("Data_main"&amp;"["&amp;BL$8&amp;"]"),Data_main[Data],$A45, Data_main[Segment],$B45, Data_main[Scenario],$B$3)),SUMIFS(INDIRECT("Data_main"&amp;"["&amp;BL$8&amp;"]"),Data_main[Data],$A45, Data_main[Segment],$B45, Data_main[Scenario],$B$3)),SUMIFS(INDIRECT("Data_main"&amp;"["&amp;BL$8&amp;"]"),Data_main[Data],$A45, Data_main[Segment],$B45, Data_main[Scenario],$B$3))</f>
        <v>0</v>
      </c>
      <c r="BM45" s="390">
        <f ca="1">IF($B$6="ON", IF(BM42&gt;=covid_start, IF(BM42&lt;covid_recovery,NA(),SUMIFS(INDIRECT("Data_main"&amp;"["&amp;BM$8&amp;"]"),Data_main[Data],$A45, Data_main[Segment],$B45, Data_main[Scenario],$B$3)),SUMIFS(INDIRECT("Data_main"&amp;"["&amp;BM$8&amp;"]"),Data_main[Data],$A45, Data_main[Segment],$B45, Data_main[Scenario],$B$3)),SUMIFS(INDIRECT("Data_main"&amp;"["&amp;BM$8&amp;"]"),Data_main[Data],$A45, Data_main[Segment],$B45, Data_main[Scenario],$B$3))</f>
        <v>0</v>
      </c>
      <c r="BN45" s="390">
        <f ca="1">IF($B$6="ON", IF(BN42&gt;=covid_start, IF(BN42&lt;covid_recovery,NA(),SUMIFS(INDIRECT("Data_main"&amp;"["&amp;BN$8&amp;"]"),Data_main[Data],$A45, Data_main[Segment],$B45, Data_main[Scenario],$B$3)),SUMIFS(INDIRECT("Data_main"&amp;"["&amp;BN$8&amp;"]"),Data_main[Data],$A45, Data_main[Segment],$B45, Data_main[Scenario],$B$3)),SUMIFS(INDIRECT("Data_main"&amp;"["&amp;BN$8&amp;"]"),Data_main[Data],$A45, Data_main[Segment],$B45, Data_main[Scenario],$B$3))</f>
        <v>0</v>
      </c>
      <c r="BO45" s="390">
        <f ca="1">IF($B$6="ON", IF(BO42&gt;=covid_start, IF(BO42&lt;covid_recovery,NA(),SUMIFS(INDIRECT("Data_main"&amp;"["&amp;BO$8&amp;"]"),Data_main[Data],$A45, Data_main[Segment],$B45, Data_main[Scenario],$B$3)),SUMIFS(INDIRECT("Data_main"&amp;"["&amp;BO$8&amp;"]"),Data_main[Data],$A45, Data_main[Segment],$B45, Data_main[Scenario],$B$3)),SUMIFS(INDIRECT("Data_main"&amp;"["&amp;BO$8&amp;"]"),Data_main[Data],$A45, Data_main[Segment],$B45, Data_main[Scenario],$B$3))</f>
        <v>0</v>
      </c>
      <c r="BP45" s="390">
        <f ca="1">IF($B$6="ON", IF(BP42&gt;=covid_start, IF(BP42&lt;covid_recovery,NA(),SUMIFS(INDIRECT("Data_main"&amp;"["&amp;BP$8&amp;"]"),Data_main[Data],$A45, Data_main[Segment],$B45, Data_main[Scenario],$B$3)),SUMIFS(INDIRECT("Data_main"&amp;"["&amp;BP$8&amp;"]"),Data_main[Data],$A45, Data_main[Segment],$B45, Data_main[Scenario],$B$3)),SUMIFS(INDIRECT("Data_main"&amp;"["&amp;BP$8&amp;"]"),Data_main[Data],$A45, Data_main[Segment],$B45, Data_main[Scenario],$B$3))</f>
        <v>0</v>
      </c>
      <c r="BQ45" s="390">
        <f ca="1">IF($B$6="ON", IF(BQ42&gt;=covid_start, IF(BQ42&lt;covid_recovery,NA(),SUMIFS(INDIRECT("Data_main"&amp;"["&amp;BQ$8&amp;"]"),Data_main[Data],$A45, Data_main[Segment],$B45, Data_main[Scenario],$B$3)),SUMIFS(INDIRECT("Data_main"&amp;"["&amp;BQ$8&amp;"]"),Data_main[Data],$A45, Data_main[Segment],$B45, Data_main[Scenario],$B$3)),SUMIFS(INDIRECT("Data_main"&amp;"["&amp;BQ$8&amp;"]"),Data_main[Data],$A45, Data_main[Segment],$B45, Data_main[Scenario],$B$3))</f>
        <v>0</v>
      </c>
      <c r="BR45" s="390">
        <f ca="1">IF($B$6="ON", IF(BR42&gt;=covid_start, IF(BR42&lt;covid_recovery,NA(),SUMIFS(INDIRECT("Data_main"&amp;"["&amp;BR$8&amp;"]"),Data_main[Data],$A45, Data_main[Segment],$B45, Data_main[Scenario],$B$3)),SUMIFS(INDIRECT("Data_main"&amp;"["&amp;BR$8&amp;"]"),Data_main[Data],$A45, Data_main[Segment],$B45, Data_main[Scenario],$B$3)),SUMIFS(INDIRECT("Data_main"&amp;"["&amp;BR$8&amp;"]"),Data_main[Data],$A45, Data_main[Segment],$B45, Data_main[Scenario],$B$3))</f>
        <v>0</v>
      </c>
      <c r="BS45" s="390">
        <f ca="1">IF($B$6="ON", IF(BS42&gt;=covid_start, IF(BS42&lt;covid_recovery,NA(),SUMIFS(INDIRECT("Data_main"&amp;"["&amp;BS$8&amp;"]"),Data_main[Data],$A45, Data_main[Segment],$B45, Data_main[Scenario],$B$3)),SUMIFS(INDIRECT("Data_main"&amp;"["&amp;BS$8&amp;"]"),Data_main[Data],$A45, Data_main[Segment],$B45, Data_main[Scenario],$B$3)),SUMIFS(INDIRECT("Data_main"&amp;"["&amp;BS$8&amp;"]"),Data_main[Data],$A45, Data_main[Segment],$B45, Data_main[Scenario],$B$3))</f>
        <v>0</v>
      </c>
      <c r="BT45" s="390">
        <f ca="1">IF($B$6="ON", IF(BT42&gt;=covid_start, IF(BT42&lt;covid_recovery,NA(),SUMIFS(INDIRECT("Data_main"&amp;"["&amp;BT$8&amp;"]"),Data_main[Data],$A45, Data_main[Segment],$B45, Data_main[Scenario],$B$3)),SUMIFS(INDIRECT("Data_main"&amp;"["&amp;BT$8&amp;"]"),Data_main[Data],$A45, Data_main[Segment],$B45, Data_main[Scenario],$B$3)),SUMIFS(INDIRECT("Data_main"&amp;"["&amp;BT$8&amp;"]"),Data_main[Data],$A45, Data_main[Segment],$B45, Data_main[Scenario],$B$3))</f>
        <v>0</v>
      </c>
      <c r="BU45" s="390">
        <f ca="1">IF($B$6="ON", IF(BU42&gt;=covid_start, IF(BU42&lt;covid_recovery,NA(),SUMIFS(INDIRECT("Data_main"&amp;"["&amp;BU$8&amp;"]"),Data_main[Data],$A45, Data_main[Segment],$B45, Data_main[Scenario],$B$3)),SUMIFS(INDIRECT("Data_main"&amp;"["&amp;BU$8&amp;"]"),Data_main[Data],$A45, Data_main[Segment],$B45, Data_main[Scenario],$B$3)),SUMIFS(INDIRECT("Data_main"&amp;"["&amp;BU$8&amp;"]"),Data_main[Data],$A45, Data_main[Segment],$B45, Data_main[Scenario],$B$3))</f>
        <v>0</v>
      </c>
      <c r="BV45" s="390">
        <f ca="1">IF($B$6="ON", IF(BV42&gt;=covid_start, IF(BV42&lt;covid_recovery,NA(),SUMIFS(INDIRECT("Data_main"&amp;"["&amp;BV$8&amp;"]"),Data_main[Data],$A45, Data_main[Segment],$B45, Data_main[Scenario],$B$3)),SUMIFS(INDIRECT("Data_main"&amp;"["&amp;BV$8&amp;"]"),Data_main[Data],$A45, Data_main[Segment],$B45, Data_main[Scenario],$B$3)),SUMIFS(INDIRECT("Data_main"&amp;"["&amp;BV$8&amp;"]"),Data_main[Data],$A45, Data_main[Segment],$B45, Data_main[Scenario],$B$3))</f>
        <v>0</v>
      </c>
      <c r="BW45" s="390">
        <f ca="1">IF($B$6="ON", IF(BW42&gt;=covid_start, IF(BW42&lt;covid_recovery,NA(),SUMIFS(INDIRECT("Data_main"&amp;"["&amp;BW$8&amp;"]"),Data_main[Data],$A45, Data_main[Segment],$B45, Data_main[Scenario],$B$3)),SUMIFS(INDIRECT("Data_main"&amp;"["&amp;BW$8&amp;"]"),Data_main[Data],$A45, Data_main[Segment],$B45, Data_main[Scenario],$B$3)),SUMIFS(INDIRECT("Data_main"&amp;"["&amp;BW$8&amp;"]"),Data_main[Data],$A45, Data_main[Segment],$B45, Data_main[Scenario],$B$3))</f>
        <v>0</v>
      </c>
      <c r="BX45" s="390">
        <f ca="1">IF($B$6="ON", IF(BX42&gt;=covid_start, IF(BX42&lt;covid_recovery,NA(),SUMIFS(INDIRECT("Data_main"&amp;"["&amp;BX$8&amp;"]"),Data_main[Data],$A45, Data_main[Segment],$B45, Data_main[Scenario],$B$3)),SUMIFS(INDIRECT("Data_main"&amp;"["&amp;BX$8&amp;"]"),Data_main[Data],$A45, Data_main[Segment],$B45, Data_main[Scenario],$B$3)),SUMIFS(INDIRECT("Data_main"&amp;"["&amp;BX$8&amp;"]"),Data_main[Data],$A45, Data_main[Segment],$B45, Data_main[Scenario],$B$3))</f>
        <v>0</v>
      </c>
      <c r="BY45" s="390">
        <f ca="1">IF($B$6="ON", IF(BY42&gt;=covid_start, IF(BY42&lt;covid_recovery,NA(),SUMIFS(INDIRECT("Data_main"&amp;"["&amp;BY$8&amp;"]"),Data_main[Data],$A45, Data_main[Segment],$B45, Data_main[Scenario],$B$3)),SUMIFS(INDIRECT("Data_main"&amp;"["&amp;BY$8&amp;"]"),Data_main[Data],$A45, Data_main[Segment],$B45, Data_main[Scenario],$B$3)),SUMIFS(INDIRECT("Data_main"&amp;"["&amp;BY$8&amp;"]"),Data_main[Data],$A45, Data_main[Segment],$B45, Data_main[Scenario],$B$3))</f>
        <v>0</v>
      </c>
      <c r="BZ45" s="390">
        <f ca="1">IF($B$6="ON", IF(BZ42&gt;=covid_start, IF(BZ42&lt;covid_recovery,NA(),SUMIFS(INDIRECT("Data_main"&amp;"["&amp;BZ$8&amp;"]"),Data_main[Data],$A45, Data_main[Segment],$B45, Data_main[Scenario],$B$3)),SUMIFS(INDIRECT("Data_main"&amp;"["&amp;BZ$8&amp;"]"),Data_main[Data],$A45, Data_main[Segment],$B45, Data_main[Scenario],$B$3)),SUMIFS(INDIRECT("Data_main"&amp;"["&amp;BZ$8&amp;"]"),Data_main[Data],$A45, Data_main[Segment],$B45, Data_main[Scenario],$B$3))</f>
        <v>0</v>
      </c>
      <c r="CA45" s="390">
        <f ca="1">IF($B$6="ON", IF(CA42&gt;=covid_start, IF(CA42&lt;covid_recovery,NA(),SUMIFS(INDIRECT("Data_main"&amp;"["&amp;CA$8&amp;"]"),Data_main[Data],$A45, Data_main[Segment],$B45, Data_main[Scenario],$B$3)),SUMIFS(INDIRECT("Data_main"&amp;"["&amp;CA$8&amp;"]"),Data_main[Data],$A45, Data_main[Segment],$B45, Data_main[Scenario],$B$3)),SUMIFS(INDIRECT("Data_main"&amp;"["&amp;CA$8&amp;"]"),Data_main[Data],$A45, Data_main[Segment],$B45, Data_main[Scenario],$B$3))</f>
        <v>0</v>
      </c>
      <c r="CB45" s="390">
        <f ca="1">IF($B$6="ON", IF(CB42&gt;=covid_start, IF(CB42&lt;covid_recovery,NA(),SUMIFS(INDIRECT("Data_main"&amp;"["&amp;CB$8&amp;"]"),Data_main[Data],$A45, Data_main[Segment],$B45, Data_main[Scenario],$B$3)),SUMIFS(INDIRECT("Data_main"&amp;"["&amp;CB$8&amp;"]"),Data_main[Data],$A45, Data_main[Segment],$B45, Data_main[Scenario],$B$3)),SUMIFS(INDIRECT("Data_main"&amp;"["&amp;CB$8&amp;"]"),Data_main[Data],$A45, Data_main[Segment],$B45, Data_main[Scenario],$B$3))</f>
        <v>0</v>
      </c>
      <c r="CC45" s="390">
        <f ca="1">IF($B$6="ON", IF(CC42&gt;=covid_start, IF(CC42&lt;covid_recovery,NA(),SUMIFS(INDIRECT("Data_main"&amp;"["&amp;CC$8&amp;"]"),Data_main[Data],$A45, Data_main[Segment],$B45, Data_main[Scenario],$B$3)),SUMIFS(INDIRECT("Data_main"&amp;"["&amp;CC$8&amp;"]"),Data_main[Data],$A45, Data_main[Segment],$B45, Data_main[Scenario],$B$3)),SUMIFS(INDIRECT("Data_main"&amp;"["&amp;CC$8&amp;"]"),Data_main[Data],$A45, Data_main[Segment],$B45, Data_main[Scenario],$B$3))</f>
        <v>0</v>
      </c>
      <c r="CD45" s="390">
        <f ca="1">IF($B$6="ON", IF(CD42&gt;=covid_start, IF(CD42&lt;covid_recovery,NA(),SUMIFS(INDIRECT("Data_main"&amp;"["&amp;CD$8&amp;"]"),Data_main[Data],$A45, Data_main[Segment],$B45, Data_main[Scenario],$B$3)),SUMIFS(INDIRECT("Data_main"&amp;"["&amp;CD$8&amp;"]"),Data_main[Data],$A45, Data_main[Segment],$B45, Data_main[Scenario],$B$3)),SUMIFS(INDIRECT("Data_main"&amp;"["&amp;CD$8&amp;"]"),Data_main[Data],$A45, Data_main[Segment],$B45, Data_main[Scenario],$B$3))</f>
        <v>0</v>
      </c>
      <c r="CE45" s="390">
        <f ca="1">IF($B$6="ON", IF(CE42&gt;=covid_start, IF(CE42&lt;covid_recovery,NA(),SUMIFS(INDIRECT("Data_main"&amp;"["&amp;CE$8&amp;"]"),Data_main[Data],$A45, Data_main[Segment],$B45, Data_main[Scenario],$B$3)),SUMIFS(INDIRECT("Data_main"&amp;"["&amp;CE$8&amp;"]"),Data_main[Data],$A45, Data_main[Segment],$B45, Data_main[Scenario],$B$3)),SUMIFS(INDIRECT("Data_main"&amp;"["&amp;CE$8&amp;"]"),Data_main[Data],$A45, Data_main[Segment],$B45, Data_main[Scenario],$B$3))</f>
        <v>0</v>
      </c>
      <c r="CF45" s="390">
        <f ca="1">IF($B$6="ON", IF(CF42&gt;=covid_start, IF(CF42&lt;covid_recovery,NA(),SUMIFS(INDIRECT("Data_main"&amp;"["&amp;CF$8&amp;"]"),Data_main[Data],$A45, Data_main[Segment],$B45, Data_main[Scenario],$B$3)),SUMIFS(INDIRECT("Data_main"&amp;"["&amp;CF$8&amp;"]"),Data_main[Data],$A45, Data_main[Segment],$B45, Data_main[Scenario],$B$3)),SUMIFS(INDIRECT("Data_main"&amp;"["&amp;CF$8&amp;"]"),Data_main[Data],$A45, Data_main[Segment],$B45, Data_main[Scenario],$B$3))</f>
        <v>0</v>
      </c>
      <c r="CG45" s="390">
        <f ca="1">IF($B$6="ON", IF(CG42&gt;=covid_start, IF(CG42&lt;covid_recovery,NA(),SUMIFS(INDIRECT("Data_main"&amp;"["&amp;CG$8&amp;"]"),Data_main[Data],$A45, Data_main[Segment],$B45, Data_main[Scenario],$B$3)),SUMIFS(INDIRECT("Data_main"&amp;"["&amp;CG$8&amp;"]"),Data_main[Data],$A45, Data_main[Segment],$B45, Data_main[Scenario],$B$3)),SUMIFS(INDIRECT("Data_main"&amp;"["&amp;CG$8&amp;"]"),Data_main[Data],$A45, Data_main[Segment],$B45, Data_main[Scenario],$B$3))</f>
        <v>0</v>
      </c>
      <c r="CH45" s="390">
        <f ca="1">IF($B$6="ON", IF(CH42&gt;=covid_start, IF(CH42&lt;covid_recovery,NA(),SUMIFS(INDIRECT("Data_main"&amp;"["&amp;CH$8&amp;"]"),Data_main[Data],$A45, Data_main[Segment],$B45, Data_main[Scenario],$B$3)),SUMIFS(INDIRECT("Data_main"&amp;"["&amp;CH$8&amp;"]"),Data_main[Data],$A45, Data_main[Segment],$B45, Data_main[Scenario],$B$3)),SUMIFS(INDIRECT("Data_main"&amp;"["&amp;CH$8&amp;"]"),Data_main[Data],$A45, Data_main[Segment],$B45, Data_main[Scenario],$B$3))</f>
        <v>0</v>
      </c>
      <c r="CI45" s="390">
        <f ca="1">IF($B$6="ON", IF(CI42&gt;=covid_start, IF(CI42&lt;covid_recovery,NA(),SUMIFS(INDIRECT("Data_main"&amp;"["&amp;CI$8&amp;"]"),Data_main[Data],$A45, Data_main[Segment],$B45, Data_main[Scenario],$B$3)),SUMIFS(INDIRECT("Data_main"&amp;"["&amp;CI$8&amp;"]"),Data_main[Data],$A45, Data_main[Segment],$B45, Data_main[Scenario],$B$3)),SUMIFS(INDIRECT("Data_main"&amp;"["&amp;CI$8&amp;"]"),Data_main[Data],$A45, Data_main[Segment],$B45, Data_main[Scenario],$B$3))</f>
        <v>0</v>
      </c>
      <c r="CJ45" s="390">
        <f ca="1">IF($B$6="ON", IF(CJ42&gt;=covid_start, IF(CJ42&lt;covid_recovery,NA(),SUMIFS(INDIRECT("Data_main"&amp;"["&amp;CJ$8&amp;"]"),Data_main[Data],$A45, Data_main[Segment],$B45, Data_main[Scenario],$B$3)),SUMIFS(INDIRECT("Data_main"&amp;"["&amp;CJ$8&amp;"]"),Data_main[Data],$A45, Data_main[Segment],$B45, Data_main[Scenario],$B$3)),SUMIFS(INDIRECT("Data_main"&amp;"["&amp;CJ$8&amp;"]"),Data_main[Data],$A45, Data_main[Segment],$B45, Data_main[Scenario],$B$3))</f>
        <v>0</v>
      </c>
      <c r="CK45" s="390">
        <f ca="1">IF($B$6="ON", IF(CK42&gt;=covid_start, IF(CK42&lt;covid_recovery,NA(),SUMIFS(INDIRECT("Data_main"&amp;"["&amp;CK$8&amp;"]"),Data_main[Data],$A45, Data_main[Segment],$B45, Data_main[Scenario],$B$3)),SUMIFS(INDIRECT("Data_main"&amp;"["&amp;CK$8&amp;"]"),Data_main[Data],$A45, Data_main[Segment],$B45, Data_main[Scenario],$B$3)),SUMIFS(INDIRECT("Data_main"&amp;"["&amp;CK$8&amp;"]"),Data_main[Data],$A45, Data_main[Segment],$B45, Data_main[Scenario],$B$3))</f>
        <v>0</v>
      </c>
      <c r="CL45" s="390">
        <f ca="1">IF($B$6="ON", IF(CL42&gt;=covid_start, IF(CL42&lt;covid_recovery,NA(),SUMIFS(INDIRECT("Data_main"&amp;"["&amp;CL$8&amp;"]"),Data_main[Data],$A45, Data_main[Segment],$B45, Data_main[Scenario],$B$3)),SUMIFS(INDIRECT("Data_main"&amp;"["&amp;CL$8&amp;"]"),Data_main[Data],$A45, Data_main[Segment],$B45, Data_main[Scenario],$B$3)),SUMIFS(INDIRECT("Data_main"&amp;"["&amp;CL$8&amp;"]"),Data_main[Data],$A45, Data_main[Segment],$B45, Data_main[Scenario],$B$3))</f>
        <v>0</v>
      </c>
      <c r="CN45" s="391">
        <f ca="1">IFERROR((Y45/H45)^(1/17)-1,"")</f>
        <v>-4.1522668725140988E-2</v>
      </c>
      <c r="CO45" s="391">
        <f ca="1">IFERROR((AN45/Y45)^(1/15)-1,"")</f>
        <v>-0.17938574697366827</v>
      </c>
      <c r="CP45" s="391">
        <f ca="1">IFERROR((AN45/H45)^(1/32)-1,"")</f>
        <v>-0.10881465110367194</v>
      </c>
    </row>
    <row r="46" spans="1:94" hidden="1" outlineLevel="1">
      <c r="A46" s="394"/>
      <c r="B46" s="394" t="s">
        <v>26</v>
      </c>
      <c r="C46" s="394" t="s">
        <v>264</v>
      </c>
      <c r="D46" s="394" t="s">
        <v>280</v>
      </c>
      <c r="E46" s="396">
        <f t="shared" ref="E46:AJ46" ca="1" si="322">(E45-INDEX($E42:$CL45,4,MATCH($B$5,$E42:$CL42,0)))/(INDEX($E42:$CL45,4,MATCH($B$4,$E42:$CL42,0))-INDEX($E42:$CL45,4,MATCH($B$5,$E42:$CL42,0)))</f>
        <v>1.0771003620442106</v>
      </c>
      <c r="F46" s="397">
        <f t="shared" ca="1" si="322"/>
        <v>1.0561970262413904</v>
      </c>
      <c r="G46" s="397">
        <f t="shared" ca="1" si="322"/>
        <v>1.0379453728877164</v>
      </c>
      <c r="H46" s="397">
        <f t="shared" ca="1" si="322"/>
        <v>1.0218709296397617</v>
      </c>
      <c r="I46" s="397">
        <f t="shared" ca="1" si="322"/>
        <v>1</v>
      </c>
      <c r="J46" s="397" t="e">
        <f t="shared" ca="1" si="322"/>
        <v>#N/A</v>
      </c>
      <c r="K46" s="397" t="e">
        <f t="shared" ca="1" si="322"/>
        <v>#N/A</v>
      </c>
      <c r="L46" s="397" t="e">
        <f t="shared" ca="1" si="322"/>
        <v>#N/A</v>
      </c>
      <c r="M46" s="397">
        <f t="shared" ca="1" si="322"/>
        <v>0.86746505523752615</v>
      </c>
      <c r="N46" s="397">
        <f t="shared" ca="1" si="322"/>
        <v>0.83896278323335027</v>
      </c>
      <c r="O46" s="397">
        <f t="shared" ca="1" si="322"/>
        <v>0.81201080059518049</v>
      </c>
      <c r="P46" s="397">
        <f t="shared" ca="1" si="322"/>
        <v>0.78648597160663691</v>
      </c>
      <c r="Q46" s="397">
        <f t="shared" ca="1" si="322"/>
        <v>0.76227786469254932</v>
      </c>
      <c r="R46" s="397">
        <f t="shared" ca="1" si="322"/>
        <v>0.73928715522786392</v>
      </c>
      <c r="S46" s="397">
        <f t="shared" ca="1" si="322"/>
        <v>0.71742426339892162</v>
      </c>
      <c r="T46" s="397">
        <f t="shared" ca="1" si="322"/>
        <v>0.69660818772625199</v>
      </c>
      <c r="U46" s="397">
        <f t="shared" ca="1" si="322"/>
        <v>0.66793769318218243</v>
      </c>
      <c r="V46" s="397">
        <f t="shared" ca="1" si="322"/>
        <v>0.6234367826181304</v>
      </c>
      <c r="W46" s="397">
        <f t="shared" ca="1" si="322"/>
        <v>0.57901228529900362</v>
      </c>
      <c r="X46" s="397">
        <f t="shared" ca="1" si="322"/>
        <v>0.53607691724836526</v>
      </c>
      <c r="Y46" s="397">
        <f t="shared" ca="1" si="322"/>
        <v>0.48342782090763375</v>
      </c>
      <c r="Z46" s="397">
        <f t="shared" ca="1" si="322"/>
        <v>0.43227183837666444</v>
      </c>
      <c r="AA46" s="397">
        <f t="shared" ca="1" si="322"/>
        <v>0.38341975847748727</v>
      </c>
      <c r="AB46" s="397">
        <f t="shared" ca="1" si="322"/>
        <v>0.33695225808641488</v>
      </c>
      <c r="AC46" s="397">
        <f t="shared" ca="1" si="322"/>
        <v>0.29293128133348073</v>
      </c>
      <c r="AD46" s="397">
        <f t="shared" ca="1" si="322"/>
        <v>0.25135805425108371</v>
      </c>
      <c r="AE46" s="397">
        <f t="shared" ca="1" si="322"/>
        <v>0.21562040407098432</v>
      </c>
      <c r="AF46" s="397">
        <f t="shared" ca="1" si="322"/>
        <v>0.18197250488025227</v>
      </c>
      <c r="AG46" s="397">
        <f t="shared" ca="1" si="322"/>
        <v>0.15024752223773202</v>
      </c>
      <c r="AH46" s="397">
        <f t="shared" ca="1" si="322"/>
        <v>0.12025685921891646</v>
      </c>
      <c r="AI46" s="397">
        <f t="shared" ca="1" si="322"/>
        <v>9.1807931819671243E-2</v>
      </c>
      <c r="AJ46" s="397">
        <f t="shared" ca="1" si="322"/>
        <v>6.4462641620777472E-2</v>
      </c>
      <c r="AK46" s="397">
        <f t="shared" ref="AK46:BP46" ca="1" si="323">(AK45-INDEX($E42:$CL45,4,MATCH($B$5,$E42:$CL42,0)))/(INDEX($E42:$CL45,4,MATCH($B$4,$E42:$CL42,0))-INDEX($E42:$CL45,4,MATCH($B$5,$E42:$CL42,0)))</f>
        <v>3.8334362919232347E-2</v>
      </c>
      <c r="AL46" s="397">
        <f t="shared" ca="1" si="323"/>
        <v>1.3288715540412948E-2</v>
      </c>
      <c r="AM46" s="397">
        <f t="shared" ca="1" si="323"/>
        <v>4.4099895141810888E-3</v>
      </c>
      <c r="AN46" s="397">
        <f t="shared" ca="1" si="323"/>
        <v>0</v>
      </c>
      <c r="AO46" s="397">
        <f t="shared" ca="1" si="323"/>
        <v>-2.6266080744735614E-2</v>
      </c>
      <c r="AP46" s="397">
        <f t="shared" ca="1" si="323"/>
        <v>-2.6266080744735614E-2</v>
      </c>
      <c r="AQ46" s="397">
        <f t="shared" ca="1" si="323"/>
        <v>-2.6266080744735614E-2</v>
      </c>
      <c r="AR46" s="397">
        <f t="shared" ca="1" si="323"/>
        <v>-2.6266080744735614E-2</v>
      </c>
      <c r="AS46" s="397">
        <f t="shared" ca="1" si="323"/>
        <v>-2.6266080744735614E-2</v>
      </c>
      <c r="AT46" s="397">
        <f t="shared" ca="1" si="323"/>
        <v>-2.6266080744735614E-2</v>
      </c>
      <c r="AU46" s="397">
        <f t="shared" ca="1" si="323"/>
        <v>-2.6266080744735614E-2</v>
      </c>
      <c r="AV46" s="397">
        <f t="shared" ca="1" si="323"/>
        <v>-2.6266080744735614E-2</v>
      </c>
      <c r="AW46" s="397">
        <f t="shared" ca="1" si="323"/>
        <v>-2.6266080744735614E-2</v>
      </c>
      <c r="AX46" s="397">
        <f t="shared" ca="1" si="323"/>
        <v>-2.6266080744735614E-2</v>
      </c>
      <c r="AY46" s="397">
        <f t="shared" ca="1" si="323"/>
        <v>-2.6266080744735614E-2</v>
      </c>
      <c r="AZ46" s="397">
        <f t="shared" ca="1" si="323"/>
        <v>-2.6266080744735614E-2</v>
      </c>
      <c r="BA46" s="397">
        <f t="shared" ca="1" si="323"/>
        <v>-2.6266080744735614E-2</v>
      </c>
      <c r="BB46" s="397">
        <f t="shared" ca="1" si="323"/>
        <v>-2.6266080744735614E-2</v>
      </c>
      <c r="BC46" s="397">
        <f t="shared" ca="1" si="323"/>
        <v>-2.6266080744735614E-2</v>
      </c>
      <c r="BD46" s="397">
        <f t="shared" ca="1" si="323"/>
        <v>-2.6266080744735614E-2</v>
      </c>
      <c r="BE46" s="397">
        <f t="shared" ca="1" si="323"/>
        <v>-2.6266080744735614E-2</v>
      </c>
      <c r="BF46" s="397">
        <f t="shared" ca="1" si="323"/>
        <v>-2.6266080744735614E-2</v>
      </c>
      <c r="BG46" s="397">
        <f t="shared" ca="1" si="323"/>
        <v>-2.6266080744735614E-2</v>
      </c>
      <c r="BH46" s="397">
        <f t="shared" ca="1" si="323"/>
        <v>-2.6266080744735614E-2</v>
      </c>
      <c r="BI46" s="397">
        <f t="shared" ca="1" si="323"/>
        <v>-2.6266080744735614E-2</v>
      </c>
      <c r="BJ46" s="397">
        <f t="shared" ca="1" si="323"/>
        <v>-2.6266080744735614E-2</v>
      </c>
      <c r="BK46" s="397">
        <f t="shared" ca="1" si="323"/>
        <v>-2.6266080744735614E-2</v>
      </c>
      <c r="BL46" s="397">
        <f t="shared" ca="1" si="323"/>
        <v>-2.6266080744735614E-2</v>
      </c>
      <c r="BM46" s="397">
        <f t="shared" ca="1" si="323"/>
        <v>-2.6266080744735614E-2</v>
      </c>
      <c r="BN46" s="397">
        <f t="shared" ca="1" si="323"/>
        <v>-2.6266080744735614E-2</v>
      </c>
      <c r="BO46" s="397">
        <f t="shared" ca="1" si="323"/>
        <v>-2.6266080744735614E-2</v>
      </c>
      <c r="BP46" s="397">
        <f t="shared" ca="1" si="323"/>
        <v>-2.6266080744735614E-2</v>
      </c>
      <c r="BQ46" s="397">
        <f t="shared" ref="BQ46:CL46" ca="1" si="324">(BQ45-INDEX($E42:$CL45,4,MATCH($B$5,$E42:$CL42,0)))/(INDEX($E42:$CL45,4,MATCH($B$4,$E42:$CL42,0))-INDEX($E42:$CL45,4,MATCH($B$5,$E42:$CL42,0)))</f>
        <v>-2.6266080744735614E-2</v>
      </c>
      <c r="BR46" s="397">
        <f t="shared" ca="1" si="324"/>
        <v>-2.6266080744735614E-2</v>
      </c>
      <c r="BS46" s="397">
        <f t="shared" ca="1" si="324"/>
        <v>-2.6266080744735614E-2</v>
      </c>
      <c r="BT46" s="397">
        <f t="shared" ca="1" si="324"/>
        <v>-2.6266080744735614E-2</v>
      </c>
      <c r="BU46" s="397">
        <f t="shared" ca="1" si="324"/>
        <v>-2.6266080744735614E-2</v>
      </c>
      <c r="BV46" s="397">
        <f t="shared" ca="1" si="324"/>
        <v>-2.6266080744735614E-2</v>
      </c>
      <c r="BW46" s="397">
        <f t="shared" ca="1" si="324"/>
        <v>-2.6266080744735614E-2</v>
      </c>
      <c r="BX46" s="397">
        <f t="shared" ca="1" si="324"/>
        <v>-2.6266080744735614E-2</v>
      </c>
      <c r="BY46" s="397">
        <f t="shared" ca="1" si="324"/>
        <v>-2.6266080744735614E-2</v>
      </c>
      <c r="BZ46" s="397">
        <f t="shared" ca="1" si="324"/>
        <v>-2.6266080744735614E-2</v>
      </c>
      <c r="CA46" s="397">
        <f t="shared" ca="1" si="324"/>
        <v>-2.6266080744735614E-2</v>
      </c>
      <c r="CB46" s="397">
        <f t="shared" ca="1" si="324"/>
        <v>-2.6266080744735614E-2</v>
      </c>
      <c r="CC46" s="397">
        <f t="shared" ca="1" si="324"/>
        <v>-2.6266080744735614E-2</v>
      </c>
      <c r="CD46" s="397">
        <f t="shared" ca="1" si="324"/>
        <v>-2.6266080744735614E-2</v>
      </c>
      <c r="CE46" s="397">
        <f t="shared" ca="1" si="324"/>
        <v>-2.6266080744735614E-2</v>
      </c>
      <c r="CF46" s="397">
        <f t="shared" ca="1" si="324"/>
        <v>-2.6266080744735614E-2</v>
      </c>
      <c r="CG46" s="397">
        <f t="shared" ca="1" si="324"/>
        <v>-2.6266080744735614E-2</v>
      </c>
      <c r="CH46" s="397">
        <f t="shared" ca="1" si="324"/>
        <v>-2.6266080744735614E-2</v>
      </c>
      <c r="CI46" s="397">
        <f t="shared" ca="1" si="324"/>
        <v>-2.6266080744735614E-2</v>
      </c>
      <c r="CJ46" s="397">
        <f t="shared" ca="1" si="324"/>
        <v>-2.6266080744735614E-2</v>
      </c>
      <c r="CK46" s="397">
        <f t="shared" ca="1" si="324"/>
        <v>-2.6266080744735614E-2</v>
      </c>
      <c r="CL46" s="397">
        <f t="shared" ca="1" si="324"/>
        <v>-2.6266080744735614E-2</v>
      </c>
      <c r="CN46" s="398"/>
      <c r="CO46" s="398"/>
      <c r="CP46" s="398"/>
    </row>
    <row r="47" spans="1:94" hidden="1" outlineLevel="1">
      <c r="A47" s="399"/>
      <c r="B47" s="399" t="s">
        <v>28</v>
      </c>
      <c r="C47" s="399" t="s">
        <v>265</v>
      </c>
      <c r="D47" s="399" t="s">
        <v>277</v>
      </c>
      <c r="E47" s="401">
        <f t="shared" ref="E47:AJ47" ca="1" si="325">INDEX($E42:$CL45,4,MATCH($B$5,$E42:$CL42,0))</f>
        <v>16.266041128869425</v>
      </c>
      <c r="F47" s="402">
        <f t="shared" ca="1" si="325"/>
        <v>16.266041128869425</v>
      </c>
      <c r="G47" s="402">
        <f t="shared" ca="1" si="325"/>
        <v>16.266041128869425</v>
      </c>
      <c r="H47" s="402">
        <f t="shared" ca="1" si="325"/>
        <v>16.266041128869425</v>
      </c>
      <c r="I47" s="402">
        <f t="shared" ca="1" si="325"/>
        <v>16.266041128869425</v>
      </c>
      <c r="J47" s="402">
        <f t="shared" ca="1" si="325"/>
        <v>16.266041128869425</v>
      </c>
      <c r="K47" s="402">
        <f t="shared" ca="1" si="325"/>
        <v>16.266041128869425</v>
      </c>
      <c r="L47" s="402">
        <f t="shared" ca="1" si="325"/>
        <v>16.266041128869425</v>
      </c>
      <c r="M47" s="402">
        <f t="shared" ca="1" si="325"/>
        <v>16.266041128869425</v>
      </c>
      <c r="N47" s="402">
        <f t="shared" ca="1" si="325"/>
        <v>16.266041128869425</v>
      </c>
      <c r="O47" s="402">
        <f t="shared" ca="1" si="325"/>
        <v>16.266041128869425</v>
      </c>
      <c r="P47" s="402">
        <f t="shared" ca="1" si="325"/>
        <v>16.266041128869425</v>
      </c>
      <c r="Q47" s="402">
        <f t="shared" ca="1" si="325"/>
        <v>16.266041128869425</v>
      </c>
      <c r="R47" s="402">
        <f t="shared" ca="1" si="325"/>
        <v>16.266041128869425</v>
      </c>
      <c r="S47" s="402">
        <f t="shared" ca="1" si="325"/>
        <v>16.266041128869425</v>
      </c>
      <c r="T47" s="402">
        <f t="shared" ca="1" si="325"/>
        <v>16.266041128869425</v>
      </c>
      <c r="U47" s="402">
        <f t="shared" ca="1" si="325"/>
        <v>16.266041128869425</v>
      </c>
      <c r="V47" s="402">
        <f t="shared" ca="1" si="325"/>
        <v>16.266041128869425</v>
      </c>
      <c r="W47" s="402">
        <f t="shared" ca="1" si="325"/>
        <v>16.266041128869425</v>
      </c>
      <c r="X47" s="402">
        <f t="shared" ca="1" si="325"/>
        <v>16.266041128869425</v>
      </c>
      <c r="Y47" s="402">
        <f t="shared" ca="1" si="325"/>
        <v>16.266041128869425</v>
      </c>
      <c r="Z47" s="402">
        <f t="shared" ca="1" si="325"/>
        <v>16.266041128869425</v>
      </c>
      <c r="AA47" s="402">
        <f t="shared" ca="1" si="325"/>
        <v>16.266041128869425</v>
      </c>
      <c r="AB47" s="402">
        <f t="shared" ca="1" si="325"/>
        <v>16.266041128869425</v>
      </c>
      <c r="AC47" s="402">
        <f t="shared" ca="1" si="325"/>
        <v>16.266041128869425</v>
      </c>
      <c r="AD47" s="402">
        <f t="shared" ca="1" si="325"/>
        <v>16.266041128869425</v>
      </c>
      <c r="AE47" s="402">
        <f t="shared" ca="1" si="325"/>
        <v>16.266041128869425</v>
      </c>
      <c r="AF47" s="402">
        <f t="shared" ca="1" si="325"/>
        <v>16.266041128869425</v>
      </c>
      <c r="AG47" s="402">
        <f t="shared" ca="1" si="325"/>
        <v>16.266041128869425</v>
      </c>
      <c r="AH47" s="402">
        <f t="shared" ca="1" si="325"/>
        <v>16.266041128869425</v>
      </c>
      <c r="AI47" s="402">
        <f t="shared" ca="1" si="325"/>
        <v>16.266041128869425</v>
      </c>
      <c r="AJ47" s="402">
        <f t="shared" ca="1" si="325"/>
        <v>16.266041128869425</v>
      </c>
      <c r="AK47" s="402">
        <f t="shared" ref="AK47:BP47" ca="1" si="326">INDEX($E42:$CL45,4,MATCH($B$5,$E42:$CL42,0))</f>
        <v>16.266041128869425</v>
      </c>
      <c r="AL47" s="402">
        <f t="shared" ca="1" si="326"/>
        <v>16.266041128869425</v>
      </c>
      <c r="AM47" s="402">
        <f t="shared" ca="1" si="326"/>
        <v>16.266041128869425</v>
      </c>
      <c r="AN47" s="402">
        <f t="shared" ca="1" si="326"/>
        <v>16.266041128869425</v>
      </c>
      <c r="AO47" s="402">
        <f t="shared" ca="1" si="326"/>
        <v>16.266041128869425</v>
      </c>
      <c r="AP47" s="402">
        <f t="shared" ca="1" si="326"/>
        <v>16.266041128869425</v>
      </c>
      <c r="AQ47" s="402">
        <f t="shared" ca="1" si="326"/>
        <v>16.266041128869425</v>
      </c>
      <c r="AR47" s="402">
        <f t="shared" ca="1" si="326"/>
        <v>16.266041128869425</v>
      </c>
      <c r="AS47" s="402">
        <f t="shared" ca="1" si="326"/>
        <v>16.266041128869425</v>
      </c>
      <c r="AT47" s="402">
        <f t="shared" ca="1" si="326"/>
        <v>16.266041128869425</v>
      </c>
      <c r="AU47" s="402">
        <f t="shared" ca="1" si="326"/>
        <v>16.266041128869425</v>
      </c>
      <c r="AV47" s="402">
        <f t="shared" ca="1" si="326"/>
        <v>16.266041128869425</v>
      </c>
      <c r="AW47" s="402">
        <f t="shared" ca="1" si="326"/>
        <v>16.266041128869425</v>
      </c>
      <c r="AX47" s="402">
        <f t="shared" ca="1" si="326"/>
        <v>16.266041128869425</v>
      </c>
      <c r="AY47" s="402">
        <f t="shared" ca="1" si="326"/>
        <v>16.266041128869425</v>
      </c>
      <c r="AZ47" s="402">
        <f t="shared" ca="1" si="326"/>
        <v>16.266041128869425</v>
      </c>
      <c r="BA47" s="402">
        <f t="shared" ca="1" si="326"/>
        <v>16.266041128869425</v>
      </c>
      <c r="BB47" s="402">
        <f t="shared" ca="1" si="326"/>
        <v>16.266041128869425</v>
      </c>
      <c r="BC47" s="402">
        <f t="shared" ca="1" si="326"/>
        <v>16.266041128869425</v>
      </c>
      <c r="BD47" s="402">
        <f t="shared" ca="1" si="326"/>
        <v>16.266041128869425</v>
      </c>
      <c r="BE47" s="402">
        <f t="shared" ca="1" si="326"/>
        <v>16.266041128869425</v>
      </c>
      <c r="BF47" s="402">
        <f t="shared" ca="1" si="326"/>
        <v>16.266041128869425</v>
      </c>
      <c r="BG47" s="402">
        <f t="shared" ca="1" si="326"/>
        <v>16.266041128869425</v>
      </c>
      <c r="BH47" s="402">
        <f t="shared" ca="1" si="326"/>
        <v>16.266041128869425</v>
      </c>
      <c r="BI47" s="402">
        <f t="shared" ca="1" si="326"/>
        <v>16.266041128869425</v>
      </c>
      <c r="BJ47" s="402">
        <f t="shared" ca="1" si="326"/>
        <v>16.266041128869425</v>
      </c>
      <c r="BK47" s="402">
        <f t="shared" ca="1" si="326"/>
        <v>16.266041128869425</v>
      </c>
      <c r="BL47" s="402">
        <f t="shared" ca="1" si="326"/>
        <v>16.266041128869425</v>
      </c>
      <c r="BM47" s="402">
        <f t="shared" ca="1" si="326"/>
        <v>16.266041128869425</v>
      </c>
      <c r="BN47" s="402">
        <f t="shared" ca="1" si="326"/>
        <v>16.266041128869425</v>
      </c>
      <c r="BO47" s="402">
        <f t="shared" ca="1" si="326"/>
        <v>16.266041128869425</v>
      </c>
      <c r="BP47" s="402">
        <f t="shared" ca="1" si="326"/>
        <v>16.266041128869425</v>
      </c>
      <c r="BQ47" s="402">
        <f t="shared" ref="BQ47:CL47" ca="1" si="327">INDEX($E42:$CL45,4,MATCH($B$5,$E42:$CL42,0))</f>
        <v>16.266041128869425</v>
      </c>
      <c r="BR47" s="402">
        <f t="shared" ca="1" si="327"/>
        <v>16.266041128869425</v>
      </c>
      <c r="BS47" s="402">
        <f t="shared" ca="1" si="327"/>
        <v>16.266041128869425</v>
      </c>
      <c r="BT47" s="402">
        <f t="shared" ca="1" si="327"/>
        <v>16.266041128869425</v>
      </c>
      <c r="BU47" s="402">
        <f t="shared" ca="1" si="327"/>
        <v>16.266041128869425</v>
      </c>
      <c r="BV47" s="402">
        <f t="shared" ca="1" si="327"/>
        <v>16.266041128869425</v>
      </c>
      <c r="BW47" s="402">
        <f t="shared" ca="1" si="327"/>
        <v>16.266041128869425</v>
      </c>
      <c r="BX47" s="402">
        <f t="shared" ca="1" si="327"/>
        <v>16.266041128869425</v>
      </c>
      <c r="BY47" s="402">
        <f t="shared" ca="1" si="327"/>
        <v>16.266041128869425</v>
      </c>
      <c r="BZ47" s="402">
        <f t="shared" ca="1" si="327"/>
        <v>16.266041128869425</v>
      </c>
      <c r="CA47" s="402">
        <f t="shared" ca="1" si="327"/>
        <v>16.266041128869425</v>
      </c>
      <c r="CB47" s="402">
        <f t="shared" ca="1" si="327"/>
        <v>16.266041128869425</v>
      </c>
      <c r="CC47" s="402">
        <f t="shared" ca="1" si="327"/>
        <v>16.266041128869425</v>
      </c>
      <c r="CD47" s="402">
        <f t="shared" ca="1" si="327"/>
        <v>16.266041128869425</v>
      </c>
      <c r="CE47" s="402">
        <f t="shared" ca="1" si="327"/>
        <v>16.266041128869425</v>
      </c>
      <c r="CF47" s="402">
        <f t="shared" ca="1" si="327"/>
        <v>16.266041128869425</v>
      </c>
      <c r="CG47" s="402">
        <f t="shared" ca="1" si="327"/>
        <v>16.266041128869425</v>
      </c>
      <c r="CH47" s="402">
        <f t="shared" ca="1" si="327"/>
        <v>16.266041128869425</v>
      </c>
      <c r="CI47" s="402">
        <f t="shared" ca="1" si="327"/>
        <v>16.266041128869425</v>
      </c>
      <c r="CJ47" s="402">
        <f t="shared" ca="1" si="327"/>
        <v>16.266041128869425</v>
      </c>
      <c r="CK47" s="402">
        <f t="shared" ca="1" si="327"/>
        <v>16.266041128869425</v>
      </c>
      <c r="CL47" s="402">
        <f t="shared" ca="1" si="327"/>
        <v>16.266041128869425</v>
      </c>
      <c r="CN47" s="398"/>
      <c r="CO47" s="398"/>
      <c r="CP47" s="398"/>
    </row>
    <row r="48" spans="1:94" hidden="1" outlineLevel="1">
      <c r="A48" s="403" t="s">
        <v>255</v>
      </c>
      <c r="B48" s="403" t="s">
        <v>260</v>
      </c>
      <c r="C48" s="403" t="s">
        <v>266</v>
      </c>
      <c r="D48" s="403"/>
      <c r="E48" s="404" t="str">
        <f t="shared" ref="E48:AJ48" si="328">IF(E42=base,be,"")</f>
        <v/>
      </c>
      <c r="F48" s="405" t="str">
        <f t="shared" si="328"/>
        <v/>
      </c>
      <c r="G48" s="405" t="str">
        <f t="shared" si="328"/>
        <v/>
      </c>
      <c r="H48" s="405" t="str">
        <f t="shared" si="328"/>
        <v/>
      </c>
      <c r="I48" s="405" t="e">
        <f t="shared" si="328"/>
        <v>#DIV/0!</v>
      </c>
      <c r="J48" s="405" t="str">
        <f t="shared" si="328"/>
        <v/>
      </c>
      <c r="K48" s="405" t="str">
        <f t="shared" si="328"/>
        <v/>
      </c>
      <c r="L48" s="405" t="str">
        <f t="shared" si="328"/>
        <v/>
      </c>
      <c r="M48" s="405" t="str">
        <f t="shared" si="328"/>
        <v/>
      </c>
      <c r="N48" s="405" t="str">
        <f t="shared" si="328"/>
        <v/>
      </c>
      <c r="O48" s="405" t="str">
        <f t="shared" si="328"/>
        <v/>
      </c>
      <c r="P48" s="405" t="str">
        <f t="shared" si="328"/>
        <v/>
      </c>
      <c r="Q48" s="405" t="str">
        <f t="shared" si="328"/>
        <v/>
      </c>
      <c r="R48" s="405" t="str">
        <f t="shared" si="328"/>
        <v/>
      </c>
      <c r="S48" s="405" t="str">
        <f t="shared" si="328"/>
        <v/>
      </c>
      <c r="T48" s="405" t="str">
        <f t="shared" si="328"/>
        <v/>
      </c>
      <c r="U48" s="405" t="str">
        <f t="shared" si="328"/>
        <v/>
      </c>
      <c r="V48" s="405" t="str">
        <f t="shared" si="328"/>
        <v/>
      </c>
      <c r="W48" s="405" t="str">
        <f t="shared" si="328"/>
        <v/>
      </c>
      <c r="X48" s="405" t="str">
        <f t="shared" si="328"/>
        <v/>
      </c>
      <c r="Y48" s="405" t="str">
        <f t="shared" si="328"/>
        <v/>
      </c>
      <c r="Z48" s="405" t="str">
        <f t="shared" si="328"/>
        <v/>
      </c>
      <c r="AA48" s="405" t="str">
        <f t="shared" si="328"/>
        <v/>
      </c>
      <c r="AB48" s="405" t="str">
        <f t="shared" si="328"/>
        <v/>
      </c>
      <c r="AC48" s="405" t="str">
        <f t="shared" si="328"/>
        <v/>
      </c>
      <c r="AD48" s="405" t="str">
        <f t="shared" si="328"/>
        <v/>
      </c>
      <c r="AE48" s="405" t="str">
        <f t="shared" si="328"/>
        <v/>
      </c>
      <c r="AF48" s="405" t="str">
        <f t="shared" si="328"/>
        <v/>
      </c>
      <c r="AG48" s="405" t="str">
        <f t="shared" si="328"/>
        <v/>
      </c>
      <c r="AH48" s="405" t="str">
        <f t="shared" si="328"/>
        <v/>
      </c>
      <c r="AI48" s="405" t="str">
        <f t="shared" si="328"/>
        <v/>
      </c>
      <c r="AJ48" s="405" t="str">
        <f t="shared" si="328"/>
        <v/>
      </c>
      <c r="AK48" s="405" t="str">
        <f t="shared" ref="AK48:BP48" si="329">IF(AK42=base,be,"")</f>
        <v/>
      </c>
      <c r="AL48" s="405" t="str">
        <f t="shared" si="329"/>
        <v/>
      </c>
      <c r="AM48" s="405" t="str">
        <f t="shared" si="329"/>
        <v/>
      </c>
      <c r="AN48" s="405" t="str">
        <f t="shared" si="329"/>
        <v/>
      </c>
      <c r="AO48" s="405" t="str">
        <f t="shared" si="329"/>
        <v/>
      </c>
      <c r="AP48" s="405" t="str">
        <f t="shared" si="329"/>
        <v/>
      </c>
      <c r="AQ48" s="405" t="str">
        <f t="shared" si="329"/>
        <v/>
      </c>
      <c r="AR48" s="405" t="str">
        <f t="shared" si="329"/>
        <v/>
      </c>
      <c r="AS48" s="405" t="str">
        <f t="shared" si="329"/>
        <v/>
      </c>
      <c r="AT48" s="405" t="str">
        <f t="shared" si="329"/>
        <v/>
      </c>
      <c r="AU48" s="405" t="str">
        <f t="shared" si="329"/>
        <v/>
      </c>
      <c r="AV48" s="405" t="str">
        <f t="shared" si="329"/>
        <v/>
      </c>
      <c r="AW48" s="405" t="str">
        <f t="shared" si="329"/>
        <v/>
      </c>
      <c r="AX48" s="405" t="str">
        <f t="shared" si="329"/>
        <v/>
      </c>
      <c r="AY48" s="405" t="str">
        <f t="shared" si="329"/>
        <v/>
      </c>
      <c r="AZ48" s="405" t="str">
        <f t="shared" si="329"/>
        <v/>
      </c>
      <c r="BA48" s="405" t="str">
        <f t="shared" si="329"/>
        <v/>
      </c>
      <c r="BB48" s="405" t="str">
        <f t="shared" si="329"/>
        <v/>
      </c>
      <c r="BC48" s="405" t="str">
        <f t="shared" si="329"/>
        <v/>
      </c>
      <c r="BD48" s="405" t="str">
        <f t="shared" si="329"/>
        <v/>
      </c>
      <c r="BE48" s="405" t="str">
        <f t="shared" si="329"/>
        <v/>
      </c>
      <c r="BF48" s="405" t="str">
        <f t="shared" si="329"/>
        <v/>
      </c>
      <c r="BG48" s="405" t="str">
        <f t="shared" si="329"/>
        <v/>
      </c>
      <c r="BH48" s="405" t="str">
        <f t="shared" si="329"/>
        <v/>
      </c>
      <c r="BI48" s="405" t="str">
        <f t="shared" si="329"/>
        <v/>
      </c>
      <c r="BJ48" s="405" t="str">
        <f t="shared" si="329"/>
        <v/>
      </c>
      <c r="BK48" s="405" t="str">
        <f t="shared" si="329"/>
        <v/>
      </c>
      <c r="BL48" s="405" t="str">
        <f t="shared" si="329"/>
        <v/>
      </c>
      <c r="BM48" s="405" t="str">
        <f t="shared" si="329"/>
        <v/>
      </c>
      <c r="BN48" s="405" t="str">
        <f t="shared" si="329"/>
        <v/>
      </c>
      <c r="BO48" s="405" t="str">
        <f t="shared" si="329"/>
        <v/>
      </c>
      <c r="BP48" s="405" t="str">
        <f t="shared" si="329"/>
        <v/>
      </c>
      <c r="BQ48" s="405" t="str">
        <f t="shared" ref="BQ48:CL48" si="330">IF(BQ42=base,be,"")</f>
        <v/>
      </c>
      <c r="BR48" s="405" t="str">
        <f t="shared" si="330"/>
        <v/>
      </c>
      <c r="BS48" s="405" t="str">
        <f t="shared" si="330"/>
        <v/>
      </c>
      <c r="BT48" s="405" t="str">
        <f t="shared" si="330"/>
        <v/>
      </c>
      <c r="BU48" s="405" t="str">
        <f t="shared" si="330"/>
        <v/>
      </c>
      <c r="BV48" s="405" t="str">
        <f t="shared" si="330"/>
        <v/>
      </c>
      <c r="BW48" s="405" t="str">
        <f t="shared" si="330"/>
        <v/>
      </c>
      <c r="BX48" s="405" t="str">
        <f t="shared" si="330"/>
        <v/>
      </c>
      <c r="BY48" s="405" t="str">
        <f t="shared" si="330"/>
        <v/>
      </c>
      <c r="BZ48" s="405" t="str">
        <f t="shared" si="330"/>
        <v/>
      </c>
      <c r="CA48" s="405" t="str">
        <f t="shared" si="330"/>
        <v/>
      </c>
      <c r="CB48" s="405" t="str">
        <f t="shared" si="330"/>
        <v/>
      </c>
      <c r="CC48" s="405" t="str">
        <f t="shared" si="330"/>
        <v/>
      </c>
      <c r="CD48" s="405" t="str">
        <f t="shared" si="330"/>
        <v/>
      </c>
      <c r="CE48" s="405" t="str">
        <f t="shared" si="330"/>
        <v/>
      </c>
      <c r="CF48" s="405" t="str">
        <f t="shared" si="330"/>
        <v/>
      </c>
      <c r="CG48" s="405" t="str">
        <f t="shared" si="330"/>
        <v/>
      </c>
      <c r="CH48" s="405" t="str">
        <f t="shared" si="330"/>
        <v/>
      </c>
      <c r="CI48" s="405" t="str">
        <f t="shared" si="330"/>
        <v/>
      </c>
      <c r="CJ48" s="405" t="str">
        <f t="shared" si="330"/>
        <v/>
      </c>
      <c r="CK48" s="405" t="str">
        <f t="shared" si="330"/>
        <v/>
      </c>
      <c r="CL48" s="405" t="str">
        <f t="shared" si="330"/>
        <v/>
      </c>
      <c r="CN48" s="406" t="str">
        <f t="shared" ref="CN48:CN57" si="331">IFERROR((Y48/H48)^(1/17)-1,"")</f>
        <v/>
      </c>
      <c r="CO48" s="406" t="str">
        <f t="shared" ref="CO48:CO57" si="332">IFERROR((AN48/Y48)^(1/15)-1,"")</f>
        <v/>
      </c>
      <c r="CP48" s="406" t="str">
        <f t="shared" ref="CP48:CP57" si="333">IFERROR((AN48/H48)^(1/32)-1,"")</f>
        <v/>
      </c>
    </row>
    <row r="49" spans="1:94" hidden="1" outlineLevel="1">
      <c r="A49" s="400" t="s">
        <v>255</v>
      </c>
      <c r="B49" s="400" t="s">
        <v>259</v>
      </c>
      <c r="C49" s="400" t="s">
        <v>267</v>
      </c>
      <c r="D49" s="400"/>
      <c r="E49" s="407" t="e">
        <f t="shared" ref="E49:AJ49" si="334">IF(E8&lt;sector_base,NA(),IFERROR(IF(activity_approach="Input Activity Data Manually",IF(E8=base,ba,IF(E8=target,bf,D49+((bf-ba)/(target-base)))),ba*(1+f_CAGR)^(E8-base)),""))</f>
        <v>#N/A</v>
      </c>
      <c r="F49" s="407" t="e">
        <f t="shared" si="334"/>
        <v>#N/A</v>
      </c>
      <c r="G49" s="407" t="e">
        <f t="shared" si="334"/>
        <v>#N/A</v>
      </c>
      <c r="H49" s="407" t="e">
        <f t="shared" si="334"/>
        <v>#N/A</v>
      </c>
      <c r="I49" s="407">
        <f t="shared" si="334"/>
        <v>0</v>
      </c>
      <c r="J49" s="407">
        <f t="shared" si="334"/>
        <v>0</v>
      </c>
      <c r="K49" s="407">
        <f t="shared" si="334"/>
        <v>0</v>
      </c>
      <c r="L49" s="407">
        <f t="shared" si="334"/>
        <v>0</v>
      </c>
      <c r="M49" s="407">
        <f t="shared" si="334"/>
        <v>0</v>
      </c>
      <c r="N49" s="407">
        <f t="shared" si="334"/>
        <v>0</v>
      </c>
      <c r="O49" s="407">
        <f t="shared" si="334"/>
        <v>0</v>
      </c>
      <c r="P49" s="407">
        <f t="shared" si="334"/>
        <v>0</v>
      </c>
      <c r="Q49" s="407">
        <f t="shared" si="334"/>
        <v>0</v>
      </c>
      <c r="R49" s="407">
        <f t="shared" si="334"/>
        <v>0</v>
      </c>
      <c r="S49" s="407">
        <f t="shared" si="334"/>
        <v>0</v>
      </c>
      <c r="T49" s="407">
        <f t="shared" si="334"/>
        <v>0</v>
      </c>
      <c r="U49" s="407">
        <f t="shared" si="334"/>
        <v>0</v>
      </c>
      <c r="V49" s="407">
        <f t="shared" si="334"/>
        <v>0</v>
      </c>
      <c r="W49" s="407">
        <f t="shared" si="334"/>
        <v>0</v>
      </c>
      <c r="X49" s="407">
        <f t="shared" si="334"/>
        <v>0</v>
      </c>
      <c r="Y49" s="407">
        <f t="shared" si="334"/>
        <v>0</v>
      </c>
      <c r="Z49" s="407">
        <f t="shared" si="334"/>
        <v>0</v>
      </c>
      <c r="AA49" s="407">
        <f t="shared" si="334"/>
        <v>0</v>
      </c>
      <c r="AB49" s="407">
        <f t="shared" si="334"/>
        <v>0</v>
      </c>
      <c r="AC49" s="407">
        <f t="shared" si="334"/>
        <v>0</v>
      </c>
      <c r="AD49" s="407">
        <f t="shared" si="334"/>
        <v>0</v>
      </c>
      <c r="AE49" s="407">
        <f t="shared" si="334"/>
        <v>0</v>
      </c>
      <c r="AF49" s="407">
        <f t="shared" si="334"/>
        <v>0</v>
      </c>
      <c r="AG49" s="407">
        <f t="shared" si="334"/>
        <v>0</v>
      </c>
      <c r="AH49" s="407">
        <f t="shared" si="334"/>
        <v>0</v>
      </c>
      <c r="AI49" s="407">
        <f t="shared" si="334"/>
        <v>0</v>
      </c>
      <c r="AJ49" s="407">
        <f t="shared" si="334"/>
        <v>0</v>
      </c>
      <c r="AK49" s="407">
        <f t="shared" ref="AK49:BP49" si="335">IF(AK8&lt;sector_base,NA(),IFERROR(IF(activity_approach="Input Activity Data Manually",IF(AK8=base,ba,IF(AK8=target,bf,AJ49+((bf-ba)/(target-base)))),ba*(1+f_CAGR)^(AK8-base)),""))</f>
        <v>0</v>
      </c>
      <c r="AL49" s="407">
        <f t="shared" si="335"/>
        <v>0</v>
      </c>
      <c r="AM49" s="407">
        <f t="shared" si="335"/>
        <v>0</v>
      </c>
      <c r="AN49" s="407">
        <f t="shared" si="335"/>
        <v>0</v>
      </c>
      <c r="AO49" s="407">
        <f t="shared" si="335"/>
        <v>0</v>
      </c>
      <c r="AP49" s="407">
        <f t="shared" si="335"/>
        <v>0</v>
      </c>
      <c r="AQ49" s="407">
        <f t="shared" si="335"/>
        <v>0</v>
      </c>
      <c r="AR49" s="407">
        <f t="shared" si="335"/>
        <v>0</v>
      </c>
      <c r="AS49" s="407">
        <f t="shared" si="335"/>
        <v>0</v>
      </c>
      <c r="AT49" s="407">
        <f t="shared" si="335"/>
        <v>0</v>
      </c>
      <c r="AU49" s="407">
        <f t="shared" si="335"/>
        <v>0</v>
      </c>
      <c r="AV49" s="407">
        <f t="shared" si="335"/>
        <v>0</v>
      </c>
      <c r="AW49" s="407">
        <f t="shared" si="335"/>
        <v>0</v>
      </c>
      <c r="AX49" s="407">
        <f t="shared" si="335"/>
        <v>0</v>
      </c>
      <c r="AY49" s="407">
        <f t="shared" si="335"/>
        <v>0</v>
      </c>
      <c r="AZ49" s="407">
        <f t="shared" si="335"/>
        <v>0</v>
      </c>
      <c r="BA49" s="407">
        <f t="shared" si="335"/>
        <v>0</v>
      </c>
      <c r="BB49" s="407">
        <f t="shared" si="335"/>
        <v>0</v>
      </c>
      <c r="BC49" s="407">
        <f t="shared" si="335"/>
        <v>0</v>
      </c>
      <c r="BD49" s="407">
        <f t="shared" si="335"/>
        <v>0</v>
      </c>
      <c r="BE49" s="407">
        <f t="shared" si="335"/>
        <v>0</v>
      </c>
      <c r="BF49" s="407">
        <f t="shared" si="335"/>
        <v>0</v>
      </c>
      <c r="BG49" s="407">
        <f t="shared" si="335"/>
        <v>0</v>
      </c>
      <c r="BH49" s="407">
        <f t="shared" si="335"/>
        <v>0</v>
      </c>
      <c r="BI49" s="407">
        <f t="shared" si="335"/>
        <v>0</v>
      </c>
      <c r="BJ49" s="407">
        <f t="shared" si="335"/>
        <v>0</v>
      </c>
      <c r="BK49" s="407">
        <f t="shared" si="335"/>
        <v>0</v>
      </c>
      <c r="BL49" s="407">
        <f t="shared" si="335"/>
        <v>0</v>
      </c>
      <c r="BM49" s="407">
        <f t="shared" si="335"/>
        <v>0</v>
      </c>
      <c r="BN49" s="407">
        <f t="shared" si="335"/>
        <v>0</v>
      </c>
      <c r="BO49" s="407">
        <f t="shared" si="335"/>
        <v>0</v>
      </c>
      <c r="BP49" s="407">
        <f t="shared" si="335"/>
        <v>0</v>
      </c>
      <c r="BQ49" s="407">
        <f t="shared" ref="BQ49:CL49" si="336">IF(BQ8&lt;sector_base,NA(),IFERROR(IF(activity_approach="Input Activity Data Manually",IF(BQ8=base,ba,IF(BQ8=target,bf,BP49+((bf-ba)/(target-base)))),ba*(1+f_CAGR)^(BQ8-base)),""))</f>
        <v>0</v>
      </c>
      <c r="BR49" s="407">
        <f t="shared" si="336"/>
        <v>0</v>
      </c>
      <c r="BS49" s="407">
        <f t="shared" si="336"/>
        <v>0</v>
      </c>
      <c r="BT49" s="407">
        <f t="shared" si="336"/>
        <v>0</v>
      </c>
      <c r="BU49" s="407">
        <f t="shared" si="336"/>
        <v>0</v>
      </c>
      <c r="BV49" s="407">
        <f t="shared" si="336"/>
        <v>0</v>
      </c>
      <c r="BW49" s="407">
        <f t="shared" si="336"/>
        <v>0</v>
      </c>
      <c r="BX49" s="407">
        <f t="shared" si="336"/>
        <v>0</v>
      </c>
      <c r="BY49" s="407">
        <f t="shared" si="336"/>
        <v>0</v>
      </c>
      <c r="BZ49" s="407">
        <f t="shared" si="336"/>
        <v>0</v>
      </c>
      <c r="CA49" s="407">
        <f t="shared" si="336"/>
        <v>0</v>
      </c>
      <c r="CB49" s="407">
        <f t="shared" si="336"/>
        <v>0</v>
      </c>
      <c r="CC49" s="407">
        <f t="shared" si="336"/>
        <v>0</v>
      </c>
      <c r="CD49" s="407">
        <f t="shared" si="336"/>
        <v>0</v>
      </c>
      <c r="CE49" s="407">
        <f t="shared" si="336"/>
        <v>0</v>
      </c>
      <c r="CF49" s="407">
        <f t="shared" si="336"/>
        <v>0</v>
      </c>
      <c r="CG49" s="407">
        <f t="shared" si="336"/>
        <v>0</v>
      </c>
      <c r="CH49" s="407">
        <f t="shared" si="336"/>
        <v>0</v>
      </c>
      <c r="CI49" s="407">
        <f t="shared" si="336"/>
        <v>0</v>
      </c>
      <c r="CJ49" s="407">
        <f t="shared" si="336"/>
        <v>0</v>
      </c>
      <c r="CK49" s="407">
        <f t="shared" si="336"/>
        <v>0</v>
      </c>
      <c r="CL49" s="407">
        <f t="shared" si="336"/>
        <v>0</v>
      </c>
      <c r="CN49" s="408" t="str">
        <f t="shared" si="331"/>
        <v/>
      </c>
      <c r="CO49" s="408" t="str">
        <f t="shared" si="332"/>
        <v/>
      </c>
      <c r="CP49" s="408" t="str">
        <f t="shared" si="333"/>
        <v/>
      </c>
    </row>
    <row r="50" spans="1:94" hidden="1" outlineLevel="1">
      <c r="A50" s="400" t="s">
        <v>255</v>
      </c>
      <c r="B50" s="400" t="s">
        <v>258</v>
      </c>
      <c r="C50" s="400" t="s">
        <v>268</v>
      </c>
      <c r="D50" s="400" t="s">
        <v>281</v>
      </c>
      <c r="E50" s="409" t="str">
        <f>IFERROR((E48/E49)*1000,"")</f>
        <v/>
      </c>
      <c r="F50" s="390" t="str">
        <f t="shared" ref="F50" si="337">IFERROR((F48/F49)*1000,"")</f>
        <v/>
      </c>
      <c r="G50" s="390" t="str">
        <f t="shared" ref="G50" si="338">IFERROR((G48/G49)*1000,"")</f>
        <v/>
      </c>
      <c r="H50" s="390" t="str">
        <f t="shared" ref="H50" si="339">IFERROR((H48/H49)*1000,"")</f>
        <v/>
      </c>
      <c r="I50" s="390" t="str">
        <f t="shared" ref="I50" si="340">IFERROR((I48/I49)*1000,"")</f>
        <v/>
      </c>
      <c r="J50" s="390" t="str">
        <f t="shared" ref="J50" si="341">IFERROR((J48/J49)*1000,"")</f>
        <v/>
      </c>
      <c r="K50" s="390" t="str">
        <f t="shared" ref="K50" si="342">IFERROR((K48/K49)*1000,"")</f>
        <v/>
      </c>
      <c r="L50" s="390" t="str">
        <f t="shared" ref="L50" si="343">IFERROR((L48/L49)*1000,"")</f>
        <v/>
      </c>
      <c r="M50" s="390" t="str">
        <f t="shared" ref="M50" si="344">IFERROR((M48/M49)*1000,"")</f>
        <v/>
      </c>
      <c r="N50" s="390" t="str">
        <f t="shared" ref="N50" si="345">IFERROR((N48/N49)*1000,"")</f>
        <v/>
      </c>
      <c r="O50" s="390" t="str">
        <f t="shared" ref="O50" si="346">IFERROR((O48/O49)*1000,"")</f>
        <v/>
      </c>
      <c r="P50" s="390" t="str">
        <f t="shared" ref="P50" si="347">IFERROR((P48/P49)*1000,"")</f>
        <v/>
      </c>
      <c r="Q50" s="390" t="str">
        <f t="shared" ref="Q50" si="348">IFERROR((Q48/Q49)*1000,"")</f>
        <v/>
      </c>
      <c r="R50" s="390" t="str">
        <f t="shared" ref="R50" si="349">IFERROR((R48/R49)*1000,"")</f>
        <v/>
      </c>
      <c r="S50" s="390" t="str">
        <f t="shared" ref="S50" si="350">IFERROR((S48/S49)*1000,"")</f>
        <v/>
      </c>
      <c r="T50" s="390" t="str">
        <f t="shared" ref="T50" si="351">IFERROR((T48/T49)*1000,"")</f>
        <v/>
      </c>
      <c r="U50" s="390" t="str">
        <f t="shared" ref="U50" si="352">IFERROR((U48/U49)*1000,"")</f>
        <v/>
      </c>
      <c r="V50" s="390" t="str">
        <f t="shared" ref="V50" si="353">IFERROR((V48/V49)*1000,"")</f>
        <v/>
      </c>
      <c r="W50" s="390" t="str">
        <f t="shared" ref="W50" si="354">IFERROR((W48/W49)*1000,"")</f>
        <v/>
      </c>
      <c r="X50" s="390" t="str">
        <f t="shared" ref="X50" si="355">IFERROR((X48/X49)*1000,"")</f>
        <v/>
      </c>
      <c r="Y50" s="390" t="str">
        <f t="shared" ref="Y50" si="356">IFERROR((Y48/Y49)*1000,"")</f>
        <v/>
      </c>
      <c r="Z50" s="390" t="str">
        <f t="shared" ref="Z50" si="357">IFERROR((Z48/Z49)*1000,"")</f>
        <v/>
      </c>
      <c r="AA50" s="390" t="str">
        <f t="shared" ref="AA50" si="358">IFERROR((AA48/AA49)*1000,"")</f>
        <v/>
      </c>
      <c r="AB50" s="390" t="str">
        <f t="shared" ref="AB50" si="359">IFERROR((AB48/AB49)*1000,"")</f>
        <v/>
      </c>
      <c r="AC50" s="390" t="str">
        <f t="shared" ref="AC50" si="360">IFERROR((AC48/AC49)*1000,"")</f>
        <v/>
      </c>
      <c r="AD50" s="390" t="str">
        <f t="shared" ref="AD50" si="361">IFERROR((AD48/AD49)*1000,"")</f>
        <v/>
      </c>
      <c r="AE50" s="390" t="str">
        <f t="shared" ref="AE50" si="362">IFERROR((AE48/AE49)*1000,"")</f>
        <v/>
      </c>
      <c r="AF50" s="390" t="str">
        <f t="shared" ref="AF50" si="363">IFERROR((AF48/AF49)*1000,"")</f>
        <v/>
      </c>
      <c r="AG50" s="390" t="str">
        <f t="shared" ref="AG50" si="364">IFERROR((AG48/AG49)*1000,"")</f>
        <v/>
      </c>
      <c r="AH50" s="390" t="str">
        <f t="shared" ref="AH50" si="365">IFERROR((AH48/AH49)*1000,"")</f>
        <v/>
      </c>
      <c r="AI50" s="390" t="str">
        <f t="shared" ref="AI50" si="366">IFERROR((AI48/AI49)*1000,"")</f>
        <v/>
      </c>
      <c r="AJ50" s="390" t="str">
        <f t="shared" ref="AJ50" si="367">IFERROR((AJ48/AJ49)*1000,"")</f>
        <v/>
      </c>
      <c r="AK50" s="390" t="str">
        <f t="shared" ref="AK50" si="368">IFERROR((AK48/AK49)*1000,"")</f>
        <v/>
      </c>
      <c r="AL50" s="390" t="str">
        <f t="shared" ref="AL50" si="369">IFERROR((AL48/AL49)*1000,"")</f>
        <v/>
      </c>
      <c r="AM50" s="390" t="str">
        <f t="shared" ref="AM50" si="370">IFERROR((AM48/AM49)*1000,"")</f>
        <v/>
      </c>
      <c r="AN50" s="390" t="str">
        <f t="shared" ref="AN50" si="371">IFERROR((AN48/AN49)*1000,"")</f>
        <v/>
      </c>
      <c r="AO50" s="390" t="str">
        <f t="shared" ref="AO50" si="372">IFERROR((AO48/AO49)*1000,"")</f>
        <v/>
      </c>
      <c r="AP50" s="390" t="str">
        <f t="shared" ref="AP50" si="373">IFERROR((AP48/AP49)*1000,"")</f>
        <v/>
      </c>
      <c r="AQ50" s="390" t="str">
        <f t="shared" ref="AQ50" si="374">IFERROR((AQ48/AQ49)*1000,"")</f>
        <v/>
      </c>
      <c r="AR50" s="390" t="str">
        <f t="shared" ref="AR50" si="375">IFERROR((AR48/AR49)*1000,"")</f>
        <v/>
      </c>
      <c r="AS50" s="390" t="str">
        <f t="shared" ref="AS50" si="376">IFERROR((AS48/AS49)*1000,"")</f>
        <v/>
      </c>
      <c r="AT50" s="390" t="str">
        <f t="shared" ref="AT50" si="377">IFERROR((AT48/AT49)*1000,"")</f>
        <v/>
      </c>
      <c r="AU50" s="390" t="str">
        <f t="shared" ref="AU50" si="378">IFERROR((AU48/AU49)*1000,"")</f>
        <v/>
      </c>
      <c r="AV50" s="390" t="str">
        <f t="shared" ref="AV50" si="379">IFERROR((AV48/AV49)*1000,"")</f>
        <v/>
      </c>
      <c r="AW50" s="390" t="str">
        <f t="shared" ref="AW50" si="380">IFERROR((AW48/AW49)*1000,"")</f>
        <v/>
      </c>
      <c r="AX50" s="390" t="str">
        <f t="shared" ref="AX50" si="381">IFERROR((AX48/AX49)*1000,"")</f>
        <v/>
      </c>
      <c r="AY50" s="390" t="str">
        <f t="shared" ref="AY50" si="382">IFERROR((AY48/AY49)*1000,"")</f>
        <v/>
      </c>
      <c r="AZ50" s="390" t="str">
        <f t="shared" ref="AZ50" si="383">IFERROR((AZ48/AZ49)*1000,"")</f>
        <v/>
      </c>
      <c r="BA50" s="390" t="str">
        <f t="shared" ref="BA50" si="384">IFERROR((BA48/BA49)*1000,"")</f>
        <v/>
      </c>
      <c r="BB50" s="390" t="str">
        <f t="shared" ref="BB50" si="385">IFERROR((BB48/BB49)*1000,"")</f>
        <v/>
      </c>
      <c r="BC50" s="390" t="str">
        <f t="shared" ref="BC50" si="386">IFERROR((BC48/BC49)*1000,"")</f>
        <v/>
      </c>
      <c r="BD50" s="390" t="str">
        <f t="shared" ref="BD50" si="387">IFERROR((BD48/BD49)*1000,"")</f>
        <v/>
      </c>
      <c r="BE50" s="390" t="str">
        <f t="shared" ref="BE50" si="388">IFERROR((BE48/BE49)*1000,"")</f>
        <v/>
      </c>
      <c r="BF50" s="390" t="str">
        <f t="shared" ref="BF50" si="389">IFERROR((BF48/BF49)*1000,"")</f>
        <v/>
      </c>
      <c r="BG50" s="390" t="str">
        <f t="shared" ref="BG50" si="390">IFERROR((BG48/BG49)*1000,"")</f>
        <v/>
      </c>
      <c r="BH50" s="390" t="str">
        <f t="shared" ref="BH50" si="391">IFERROR((BH48/BH49)*1000,"")</f>
        <v/>
      </c>
      <c r="BI50" s="390" t="str">
        <f t="shared" ref="BI50" si="392">IFERROR((BI48/BI49)*1000,"")</f>
        <v/>
      </c>
      <c r="BJ50" s="390" t="str">
        <f t="shared" ref="BJ50" si="393">IFERROR((BJ48/BJ49)*1000,"")</f>
        <v/>
      </c>
      <c r="BK50" s="390" t="str">
        <f t="shared" ref="BK50" si="394">IFERROR((BK48/BK49)*1000,"")</f>
        <v/>
      </c>
      <c r="BL50" s="390" t="str">
        <f t="shared" ref="BL50" si="395">IFERROR((BL48/BL49)*1000,"")</f>
        <v/>
      </c>
      <c r="BM50" s="390" t="str">
        <f t="shared" ref="BM50" si="396">IFERROR((BM48/BM49)*1000,"")</f>
        <v/>
      </c>
      <c r="BN50" s="390" t="str">
        <f t="shared" ref="BN50" si="397">IFERROR((BN48/BN49)*1000,"")</f>
        <v/>
      </c>
      <c r="BO50" s="390" t="str">
        <f t="shared" ref="BO50" si="398">IFERROR((BO48/BO49)*1000,"")</f>
        <v/>
      </c>
      <c r="BP50" s="390" t="str">
        <f t="shared" ref="BP50" si="399">IFERROR((BP48/BP49)*1000,"")</f>
        <v/>
      </c>
      <c r="BQ50" s="390" t="str">
        <f t="shared" ref="BQ50" si="400">IFERROR((BQ48/BQ49)*1000,"")</f>
        <v/>
      </c>
      <c r="BR50" s="390" t="str">
        <f t="shared" ref="BR50" si="401">IFERROR((BR48/BR49)*1000,"")</f>
        <v/>
      </c>
      <c r="BS50" s="390" t="str">
        <f t="shared" ref="BS50" si="402">IFERROR((BS48/BS49)*1000,"")</f>
        <v/>
      </c>
      <c r="BT50" s="390" t="str">
        <f t="shared" ref="BT50" si="403">IFERROR((BT48/BT49)*1000,"")</f>
        <v/>
      </c>
      <c r="BU50" s="390" t="str">
        <f t="shared" ref="BU50" si="404">IFERROR((BU48/BU49)*1000,"")</f>
        <v/>
      </c>
      <c r="BV50" s="390" t="str">
        <f t="shared" ref="BV50" si="405">IFERROR((BV48/BV49)*1000,"")</f>
        <v/>
      </c>
      <c r="BW50" s="390" t="str">
        <f t="shared" ref="BW50" si="406">IFERROR((BW48/BW49)*1000,"")</f>
        <v/>
      </c>
      <c r="BX50" s="390" t="str">
        <f t="shared" ref="BX50" si="407">IFERROR((BX48/BX49)*1000,"")</f>
        <v/>
      </c>
      <c r="BY50" s="390" t="str">
        <f t="shared" ref="BY50" si="408">IFERROR((BY48/BY49)*1000,"")</f>
        <v/>
      </c>
      <c r="BZ50" s="390" t="str">
        <f t="shared" ref="BZ50" si="409">IFERROR((BZ48/BZ49)*1000,"")</f>
        <v/>
      </c>
      <c r="CA50" s="390" t="str">
        <f t="shared" ref="CA50" si="410">IFERROR((CA48/CA49)*1000,"")</f>
        <v/>
      </c>
      <c r="CB50" s="390" t="str">
        <f t="shared" ref="CB50" si="411">IFERROR((CB48/CB49)*1000,"")</f>
        <v/>
      </c>
      <c r="CC50" s="390" t="str">
        <f t="shared" ref="CC50" si="412">IFERROR((CC48/CC49)*1000,"")</f>
        <v/>
      </c>
      <c r="CD50" s="390" t="str">
        <f t="shared" ref="CD50" si="413">IFERROR((CD48/CD49)*1000,"")</f>
        <v/>
      </c>
      <c r="CE50" s="390" t="str">
        <f t="shared" ref="CE50" si="414">IFERROR((CE48/CE49)*1000,"")</f>
        <v/>
      </c>
      <c r="CF50" s="390" t="str">
        <f t="shared" ref="CF50" si="415">IFERROR((CF48/CF49)*1000,"")</f>
        <v/>
      </c>
      <c r="CG50" s="390" t="str">
        <f t="shared" ref="CG50" si="416">IFERROR((CG48/CG49)*1000,"")</f>
        <v/>
      </c>
      <c r="CH50" s="390" t="str">
        <f t="shared" ref="CH50" si="417">IFERROR((CH48/CH49)*1000,"")</f>
        <v/>
      </c>
      <c r="CI50" s="390" t="str">
        <f t="shared" ref="CI50" si="418">IFERROR((CI48/CI49)*1000,"")</f>
        <v/>
      </c>
      <c r="CJ50" s="390" t="str">
        <f t="shared" ref="CJ50" si="419">IFERROR((CJ48/CJ49)*1000,"")</f>
        <v/>
      </c>
      <c r="CK50" s="390" t="str">
        <f t="shared" ref="CK50" si="420">IFERROR((CK48/CK49)*1000,"")</f>
        <v/>
      </c>
      <c r="CL50" s="390" t="str">
        <f t="shared" ref="CL50" si="421">IFERROR((CL48/CL49)*1000,"")</f>
        <v/>
      </c>
      <c r="CN50" s="391" t="str">
        <f t="shared" si="331"/>
        <v/>
      </c>
      <c r="CO50" s="391" t="str">
        <f t="shared" si="332"/>
        <v/>
      </c>
      <c r="CP50" s="391" t="str">
        <f t="shared" si="333"/>
        <v/>
      </c>
    </row>
    <row r="51" spans="1:94" hidden="1" outlineLevel="1">
      <c r="A51" s="417"/>
      <c r="B51" s="417" t="s">
        <v>124</v>
      </c>
      <c r="C51" s="410" t="s">
        <v>269</v>
      </c>
      <c r="D51" s="410" t="s">
        <v>282</v>
      </c>
      <c r="E51" s="411" t="str">
        <f t="shared" ref="E51:AJ51" ca="1" si="422">IFERROR(IF((INDEX($E42:$CL49,8,MATCH(base,$E42:$CL42,0))/INDEX($E42:$CL49,3,MATCH(sector_base,$E42:$CL42,0))/(E49/E44))&gt;=1,1,(INDEX($E42:$CL49,8,MATCH(base,$E42:$CL42,0))/INDEX($E42:$CL49,3,MATCH(base,$E42:$CL42,0))/(E49/E44))),"")</f>
        <v/>
      </c>
      <c r="F51" s="412" t="str">
        <f t="shared" ca="1" si="422"/>
        <v/>
      </c>
      <c r="G51" s="412" t="str">
        <f t="shared" ca="1" si="422"/>
        <v/>
      </c>
      <c r="H51" s="412" t="str">
        <f t="shared" ca="1" si="422"/>
        <v/>
      </c>
      <c r="I51" s="412" t="str">
        <f t="shared" ca="1" si="422"/>
        <v/>
      </c>
      <c r="J51" s="412" t="str">
        <f t="shared" ca="1" si="422"/>
        <v/>
      </c>
      <c r="K51" s="412" t="str">
        <f t="shared" ca="1" si="422"/>
        <v/>
      </c>
      <c r="L51" s="412" t="str">
        <f t="shared" ca="1" si="422"/>
        <v/>
      </c>
      <c r="M51" s="412" t="str">
        <f t="shared" ca="1" si="422"/>
        <v/>
      </c>
      <c r="N51" s="412" t="str">
        <f t="shared" ca="1" si="422"/>
        <v/>
      </c>
      <c r="O51" s="412" t="str">
        <f t="shared" ca="1" si="422"/>
        <v/>
      </c>
      <c r="P51" s="412" t="str">
        <f t="shared" ca="1" si="422"/>
        <v/>
      </c>
      <c r="Q51" s="412" t="str">
        <f t="shared" ca="1" si="422"/>
        <v/>
      </c>
      <c r="R51" s="412" t="str">
        <f t="shared" ca="1" si="422"/>
        <v/>
      </c>
      <c r="S51" s="412" t="str">
        <f t="shared" ca="1" si="422"/>
        <v/>
      </c>
      <c r="T51" s="412" t="str">
        <f t="shared" ca="1" si="422"/>
        <v/>
      </c>
      <c r="U51" s="412" t="str">
        <f t="shared" ca="1" si="422"/>
        <v/>
      </c>
      <c r="V51" s="412" t="str">
        <f t="shared" ca="1" si="422"/>
        <v/>
      </c>
      <c r="W51" s="412" t="str">
        <f t="shared" ca="1" si="422"/>
        <v/>
      </c>
      <c r="X51" s="412" t="str">
        <f t="shared" ca="1" si="422"/>
        <v/>
      </c>
      <c r="Y51" s="412" t="str">
        <f t="shared" ca="1" si="422"/>
        <v/>
      </c>
      <c r="Z51" s="412" t="str">
        <f t="shared" ca="1" si="422"/>
        <v/>
      </c>
      <c r="AA51" s="412" t="str">
        <f t="shared" ca="1" si="422"/>
        <v/>
      </c>
      <c r="AB51" s="412" t="str">
        <f t="shared" ca="1" si="422"/>
        <v/>
      </c>
      <c r="AC51" s="412" t="str">
        <f t="shared" ca="1" si="422"/>
        <v/>
      </c>
      <c r="AD51" s="412" t="str">
        <f t="shared" ca="1" si="422"/>
        <v/>
      </c>
      <c r="AE51" s="412" t="str">
        <f t="shared" ca="1" si="422"/>
        <v/>
      </c>
      <c r="AF51" s="412" t="str">
        <f t="shared" ca="1" si="422"/>
        <v/>
      </c>
      <c r="AG51" s="412" t="str">
        <f t="shared" ca="1" si="422"/>
        <v/>
      </c>
      <c r="AH51" s="412" t="str">
        <f t="shared" ca="1" si="422"/>
        <v/>
      </c>
      <c r="AI51" s="412" t="str">
        <f t="shared" ca="1" si="422"/>
        <v/>
      </c>
      <c r="AJ51" s="412" t="str">
        <f t="shared" ca="1" si="422"/>
        <v/>
      </c>
      <c r="AK51" s="412" t="str">
        <f t="shared" ref="AK51:BP51" ca="1" si="423">IFERROR(IF((INDEX($E42:$CL49,8,MATCH(base,$E42:$CL42,0))/INDEX($E42:$CL49,3,MATCH(sector_base,$E42:$CL42,0))/(AK49/AK44))&gt;=1,1,(INDEX($E42:$CL49,8,MATCH(base,$E42:$CL42,0))/INDEX($E42:$CL49,3,MATCH(base,$E42:$CL42,0))/(AK49/AK44))),"")</f>
        <v/>
      </c>
      <c r="AL51" s="412" t="str">
        <f t="shared" ca="1" si="423"/>
        <v/>
      </c>
      <c r="AM51" s="412" t="str">
        <f t="shared" ca="1" si="423"/>
        <v/>
      </c>
      <c r="AN51" s="412" t="str">
        <f t="shared" ca="1" si="423"/>
        <v/>
      </c>
      <c r="AO51" s="412" t="str">
        <f t="shared" ca="1" si="423"/>
        <v/>
      </c>
      <c r="AP51" s="412" t="str">
        <f t="shared" ca="1" si="423"/>
        <v/>
      </c>
      <c r="AQ51" s="412" t="str">
        <f t="shared" ca="1" si="423"/>
        <v/>
      </c>
      <c r="AR51" s="412" t="str">
        <f t="shared" ca="1" si="423"/>
        <v/>
      </c>
      <c r="AS51" s="412" t="str">
        <f t="shared" ca="1" si="423"/>
        <v/>
      </c>
      <c r="AT51" s="412" t="str">
        <f t="shared" ca="1" si="423"/>
        <v/>
      </c>
      <c r="AU51" s="412" t="str">
        <f t="shared" ca="1" si="423"/>
        <v/>
      </c>
      <c r="AV51" s="412" t="str">
        <f t="shared" ca="1" si="423"/>
        <v/>
      </c>
      <c r="AW51" s="412" t="str">
        <f t="shared" ca="1" si="423"/>
        <v/>
      </c>
      <c r="AX51" s="412" t="str">
        <f t="shared" ca="1" si="423"/>
        <v/>
      </c>
      <c r="AY51" s="412" t="str">
        <f t="shared" ca="1" si="423"/>
        <v/>
      </c>
      <c r="AZ51" s="412" t="str">
        <f t="shared" ca="1" si="423"/>
        <v/>
      </c>
      <c r="BA51" s="412" t="str">
        <f t="shared" ca="1" si="423"/>
        <v/>
      </c>
      <c r="BB51" s="412" t="str">
        <f t="shared" ca="1" si="423"/>
        <v/>
      </c>
      <c r="BC51" s="412" t="str">
        <f t="shared" ca="1" si="423"/>
        <v/>
      </c>
      <c r="BD51" s="412" t="str">
        <f t="shared" ca="1" si="423"/>
        <v/>
      </c>
      <c r="BE51" s="412" t="str">
        <f t="shared" ca="1" si="423"/>
        <v/>
      </c>
      <c r="BF51" s="412" t="str">
        <f t="shared" ca="1" si="423"/>
        <v/>
      </c>
      <c r="BG51" s="412" t="str">
        <f t="shared" ca="1" si="423"/>
        <v/>
      </c>
      <c r="BH51" s="412" t="str">
        <f t="shared" ca="1" si="423"/>
        <v/>
      </c>
      <c r="BI51" s="412" t="str">
        <f t="shared" ca="1" si="423"/>
        <v/>
      </c>
      <c r="BJ51" s="412" t="str">
        <f t="shared" ca="1" si="423"/>
        <v/>
      </c>
      <c r="BK51" s="412" t="str">
        <f t="shared" ca="1" si="423"/>
        <v/>
      </c>
      <c r="BL51" s="412" t="str">
        <f t="shared" ca="1" si="423"/>
        <v/>
      </c>
      <c r="BM51" s="412" t="str">
        <f t="shared" ca="1" si="423"/>
        <v/>
      </c>
      <c r="BN51" s="412" t="str">
        <f t="shared" ca="1" si="423"/>
        <v/>
      </c>
      <c r="BO51" s="412" t="str">
        <f t="shared" ca="1" si="423"/>
        <v/>
      </c>
      <c r="BP51" s="412" t="str">
        <f t="shared" ca="1" si="423"/>
        <v/>
      </c>
      <c r="BQ51" s="412" t="str">
        <f t="shared" ref="BQ51:CL51" ca="1" si="424">IFERROR(IF((INDEX($E42:$CL49,8,MATCH(base,$E42:$CL42,0))/INDEX($E42:$CL49,3,MATCH(sector_base,$E42:$CL42,0))/(BQ49/BQ44))&gt;=1,1,(INDEX($E42:$CL49,8,MATCH(base,$E42:$CL42,0))/INDEX($E42:$CL49,3,MATCH(base,$E42:$CL42,0))/(BQ49/BQ44))),"")</f>
        <v/>
      </c>
      <c r="BR51" s="412" t="str">
        <f t="shared" ca="1" si="424"/>
        <v/>
      </c>
      <c r="BS51" s="412" t="str">
        <f t="shared" ca="1" si="424"/>
        <v/>
      </c>
      <c r="BT51" s="412" t="str">
        <f t="shared" ca="1" si="424"/>
        <v/>
      </c>
      <c r="BU51" s="412" t="str">
        <f t="shared" ca="1" si="424"/>
        <v/>
      </c>
      <c r="BV51" s="412" t="str">
        <f t="shared" ca="1" si="424"/>
        <v/>
      </c>
      <c r="BW51" s="412" t="str">
        <f t="shared" ca="1" si="424"/>
        <v/>
      </c>
      <c r="BX51" s="412" t="str">
        <f t="shared" ca="1" si="424"/>
        <v/>
      </c>
      <c r="BY51" s="412" t="str">
        <f t="shared" ca="1" si="424"/>
        <v/>
      </c>
      <c r="BZ51" s="412" t="str">
        <f t="shared" ca="1" si="424"/>
        <v/>
      </c>
      <c r="CA51" s="412" t="str">
        <f t="shared" ca="1" si="424"/>
        <v/>
      </c>
      <c r="CB51" s="412" t="str">
        <f t="shared" ca="1" si="424"/>
        <v/>
      </c>
      <c r="CC51" s="412" t="str">
        <f t="shared" ca="1" si="424"/>
        <v/>
      </c>
      <c r="CD51" s="412" t="str">
        <f t="shared" ca="1" si="424"/>
        <v/>
      </c>
      <c r="CE51" s="412" t="str">
        <f t="shared" ca="1" si="424"/>
        <v/>
      </c>
      <c r="CF51" s="412" t="str">
        <f t="shared" ca="1" si="424"/>
        <v/>
      </c>
      <c r="CG51" s="412" t="str">
        <f t="shared" ca="1" si="424"/>
        <v/>
      </c>
      <c r="CH51" s="412" t="str">
        <f t="shared" ca="1" si="424"/>
        <v/>
      </c>
      <c r="CI51" s="412" t="str">
        <f t="shared" ca="1" si="424"/>
        <v/>
      </c>
      <c r="CJ51" s="412" t="str">
        <f t="shared" ca="1" si="424"/>
        <v/>
      </c>
      <c r="CK51" s="412" t="str">
        <f t="shared" ca="1" si="424"/>
        <v/>
      </c>
      <c r="CL51" s="412" t="str">
        <f t="shared" ca="1" si="424"/>
        <v/>
      </c>
      <c r="CN51" s="406" t="str">
        <f ca="1">IFERROR((Y51/H51)^(1/17)-1,"")</f>
        <v/>
      </c>
      <c r="CO51" s="406" t="str">
        <f ca="1">IFERROR((AN51/Y51)^(1/15)-1,"")</f>
        <v/>
      </c>
      <c r="CP51" s="406" t="str">
        <f ca="1">IFERROR((AN51/H51)^(1/32)-1,"")</f>
        <v/>
      </c>
    </row>
    <row r="52" spans="1:94" hidden="1" outlineLevel="1">
      <c r="A52" s="399"/>
      <c r="B52" s="399" t="s">
        <v>27</v>
      </c>
      <c r="C52" s="399" t="s">
        <v>270</v>
      </c>
      <c r="D52" s="399" t="s">
        <v>274</v>
      </c>
      <c r="E52" s="401" t="str">
        <f t="shared" ref="E52:AJ52" ca="1" si="425">IFERROR(IF(INDEX($E42:$CL51,9,MATCH(base,$E42:$CL42,0))-E47&lt;0,"N/A",INDEX($E42:$CL51,9,MATCH(base,$E42:$CL42,0))-E47),"")</f>
        <v/>
      </c>
      <c r="F52" s="402" t="str">
        <f t="shared" ca="1" si="425"/>
        <v/>
      </c>
      <c r="G52" s="402" t="str">
        <f t="shared" ca="1" si="425"/>
        <v/>
      </c>
      <c r="H52" s="402" t="str">
        <f t="shared" ca="1" si="425"/>
        <v/>
      </c>
      <c r="I52" s="402" t="str">
        <f t="shared" ca="1" si="425"/>
        <v/>
      </c>
      <c r="J52" s="402" t="str">
        <f t="shared" ca="1" si="425"/>
        <v/>
      </c>
      <c r="K52" s="402" t="str">
        <f t="shared" ca="1" si="425"/>
        <v/>
      </c>
      <c r="L52" s="402" t="str">
        <f t="shared" ca="1" si="425"/>
        <v/>
      </c>
      <c r="M52" s="402" t="str">
        <f t="shared" ca="1" si="425"/>
        <v/>
      </c>
      <c r="N52" s="402" t="str">
        <f t="shared" ca="1" si="425"/>
        <v/>
      </c>
      <c r="O52" s="402" t="str">
        <f t="shared" ca="1" si="425"/>
        <v/>
      </c>
      <c r="P52" s="402" t="str">
        <f t="shared" ca="1" si="425"/>
        <v/>
      </c>
      <c r="Q52" s="402" t="str">
        <f t="shared" ca="1" si="425"/>
        <v/>
      </c>
      <c r="R52" s="402" t="str">
        <f t="shared" ca="1" si="425"/>
        <v/>
      </c>
      <c r="S52" s="402" t="str">
        <f t="shared" ca="1" si="425"/>
        <v/>
      </c>
      <c r="T52" s="402" t="str">
        <f t="shared" ca="1" si="425"/>
        <v/>
      </c>
      <c r="U52" s="402" t="str">
        <f t="shared" ca="1" si="425"/>
        <v/>
      </c>
      <c r="V52" s="402" t="str">
        <f t="shared" ca="1" si="425"/>
        <v/>
      </c>
      <c r="W52" s="402" t="str">
        <f t="shared" ca="1" si="425"/>
        <v/>
      </c>
      <c r="X52" s="402" t="str">
        <f t="shared" ca="1" si="425"/>
        <v/>
      </c>
      <c r="Y52" s="402" t="str">
        <f t="shared" ca="1" si="425"/>
        <v/>
      </c>
      <c r="Z52" s="402" t="str">
        <f t="shared" ca="1" si="425"/>
        <v/>
      </c>
      <c r="AA52" s="402" t="str">
        <f t="shared" ca="1" si="425"/>
        <v/>
      </c>
      <c r="AB52" s="402" t="str">
        <f t="shared" ca="1" si="425"/>
        <v/>
      </c>
      <c r="AC52" s="402" t="str">
        <f t="shared" ca="1" si="425"/>
        <v/>
      </c>
      <c r="AD52" s="402" t="str">
        <f t="shared" ca="1" si="425"/>
        <v/>
      </c>
      <c r="AE52" s="402" t="str">
        <f t="shared" ca="1" si="425"/>
        <v/>
      </c>
      <c r="AF52" s="402" t="str">
        <f t="shared" ca="1" si="425"/>
        <v/>
      </c>
      <c r="AG52" s="402" t="str">
        <f t="shared" ca="1" si="425"/>
        <v/>
      </c>
      <c r="AH52" s="402" t="str">
        <f t="shared" ca="1" si="425"/>
        <v/>
      </c>
      <c r="AI52" s="402" t="str">
        <f t="shared" ca="1" si="425"/>
        <v/>
      </c>
      <c r="AJ52" s="402" t="str">
        <f t="shared" ca="1" si="425"/>
        <v/>
      </c>
      <c r="AK52" s="402" t="str">
        <f t="shared" ref="AK52:BP52" ca="1" si="426">IFERROR(IF(INDEX($E42:$CL51,9,MATCH(base,$E42:$CL42,0))-AK47&lt;0,"N/A",INDEX($E42:$CL51,9,MATCH(base,$E42:$CL42,0))-AK47),"")</f>
        <v/>
      </c>
      <c r="AL52" s="402" t="str">
        <f t="shared" ca="1" si="426"/>
        <v/>
      </c>
      <c r="AM52" s="402" t="str">
        <f t="shared" ca="1" si="426"/>
        <v/>
      </c>
      <c r="AN52" s="402" t="str">
        <f t="shared" ca="1" si="426"/>
        <v/>
      </c>
      <c r="AO52" s="402" t="str">
        <f t="shared" ca="1" si="426"/>
        <v/>
      </c>
      <c r="AP52" s="402" t="str">
        <f t="shared" ca="1" si="426"/>
        <v/>
      </c>
      <c r="AQ52" s="402" t="str">
        <f t="shared" ca="1" si="426"/>
        <v/>
      </c>
      <c r="AR52" s="402" t="str">
        <f t="shared" ca="1" si="426"/>
        <v/>
      </c>
      <c r="AS52" s="402" t="str">
        <f t="shared" ca="1" si="426"/>
        <v/>
      </c>
      <c r="AT52" s="402" t="str">
        <f t="shared" ca="1" si="426"/>
        <v/>
      </c>
      <c r="AU52" s="402" t="str">
        <f t="shared" ca="1" si="426"/>
        <v/>
      </c>
      <c r="AV52" s="402" t="str">
        <f t="shared" ca="1" si="426"/>
        <v/>
      </c>
      <c r="AW52" s="402" t="str">
        <f t="shared" ca="1" si="426"/>
        <v/>
      </c>
      <c r="AX52" s="402" t="str">
        <f t="shared" ca="1" si="426"/>
        <v/>
      </c>
      <c r="AY52" s="402" t="str">
        <f t="shared" ca="1" si="426"/>
        <v/>
      </c>
      <c r="AZ52" s="402" t="str">
        <f t="shared" ca="1" si="426"/>
        <v/>
      </c>
      <c r="BA52" s="402" t="str">
        <f t="shared" ca="1" si="426"/>
        <v/>
      </c>
      <c r="BB52" s="402" t="str">
        <f t="shared" ca="1" si="426"/>
        <v/>
      </c>
      <c r="BC52" s="402" t="str">
        <f t="shared" ca="1" si="426"/>
        <v/>
      </c>
      <c r="BD52" s="402" t="str">
        <f t="shared" ca="1" si="426"/>
        <v/>
      </c>
      <c r="BE52" s="402" t="str">
        <f t="shared" ca="1" si="426"/>
        <v/>
      </c>
      <c r="BF52" s="402" t="str">
        <f t="shared" ca="1" si="426"/>
        <v/>
      </c>
      <c r="BG52" s="402" t="str">
        <f t="shared" ca="1" si="426"/>
        <v/>
      </c>
      <c r="BH52" s="402" t="str">
        <f t="shared" ca="1" si="426"/>
        <v/>
      </c>
      <c r="BI52" s="402" t="str">
        <f t="shared" ca="1" si="426"/>
        <v/>
      </c>
      <c r="BJ52" s="402" t="str">
        <f t="shared" ca="1" si="426"/>
        <v/>
      </c>
      <c r="BK52" s="402" t="str">
        <f t="shared" ca="1" si="426"/>
        <v/>
      </c>
      <c r="BL52" s="402" t="str">
        <f t="shared" ca="1" si="426"/>
        <v/>
      </c>
      <c r="BM52" s="402" t="str">
        <f t="shared" ca="1" si="426"/>
        <v/>
      </c>
      <c r="BN52" s="402" t="str">
        <f t="shared" ca="1" si="426"/>
        <v/>
      </c>
      <c r="BO52" s="402" t="str">
        <f t="shared" ca="1" si="426"/>
        <v/>
      </c>
      <c r="BP52" s="402" t="str">
        <f t="shared" ca="1" si="426"/>
        <v/>
      </c>
      <c r="BQ52" s="402" t="str">
        <f t="shared" ref="BQ52:CL52" ca="1" si="427">IFERROR(IF(INDEX($E42:$CL51,9,MATCH(base,$E42:$CL42,0))-BQ47&lt;0,"N/A",INDEX($E42:$CL51,9,MATCH(base,$E42:$CL42,0))-BQ47),"")</f>
        <v/>
      </c>
      <c r="BR52" s="402" t="str">
        <f t="shared" ca="1" si="427"/>
        <v/>
      </c>
      <c r="BS52" s="402" t="str">
        <f t="shared" ca="1" si="427"/>
        <v/>
      </c>
      <c r="BT52" s="402" t="str">
        <f t="shared" ca="1" si="427"/>
        <v/>
      </c>
      <c r="BU52" s="402" t="str">
        <f t="shared" ca="1" si="427"/>
        <v/>
      </c>
      <c r="BV52" s="402" t="str">
        <f t="shared" ca="1" si="427"/>
        <v/>
      </c>
      <c r="BW52" s="402" t="str">
        <f t="shared" ca="1" si="427"/>
        <v/>
      </c>
      <c r="BX52" s="402" t="str">
        <f t="shared" ca="1" si="427"/>
        <v/>
      </c>
      <c r="BY52" s="402" t="str">
        <f t="shared" ca="1" si="427"/>
        <v/>
      </c>
      <c r="BZ52" s="402" t="str">
        <f t="shared" ca="1" si="427"/>
        <v/>
      </c>
      <c r="CA52" s="402" t="str">
        <f t="shared" ca="1" si="427"/>
        <v/>
      </c>
      <c r="CB52" s="402" t="str">
        <f t="shared" ca="1" si="427"/>
        <v/>
      </c>
      <c r="CC52" s="402" t="str">
        <f t="shared" ca="1" si="427"/>
        <v/>
      </c>
      <c r="CD52" s="402" t="str">
        <f t="shared" ca="1" si="427"/>
        <v/>
      </c>
      <c r="CE52" s="402" t="str">
        <f t="shared" ca="1" si="427"/>
        <v/>
      </c>
      <c r="CF52" s="402" t="str">
        <f t="shared" ca="1" si="427"/>
        <v/>
      </c>
      <c r="CG52" s="402" t="str">
        <f t="shared" ca="1" si="427"/>
        <v/>
      </c>
      <c r="CH52" s="402" t="str">
        <f t="shared" ca="1" si="427"/>
        <v/>
      </c>
      <c r="CI52" s="402" t="str">
        <f t="shared" ca="1" si="427"/>
        <v/>
      </c>
      <c r="CJ52" s="402" t="str">
        <f t="shared" ca="1" si="427"/>
        <v/>
      </c>
      <c r="CK52" s="402" t="str">
        <f t="shared" ca="1" si="427"/>
        <v/>
      </c>
      <c r="CL52" s="402" t="str">
        <f t="shared" ca="1" si="427"/>
        <v/>
      </c>
      <c r="CN52" s="398" t="str">
        <f ca="1">IFERROR((Y52/H52)^(1/17)-1,"")</f>
        <v/>
      </c>
      <c r="CO52" s="398" t="str">
        <f ca="1">IFERROR((AN52/Y52)^(1/15)-1,"")</f>
        <v/>
      </c>
      <c r="CP52" s="398" t="str">
        <f ca="1">IFERROR((AN52/H52)^(1/32)-1,"")</f>
        <v/>
      </c>
    </row>
    <row r="53" spans="1:94" hidden="1" outlineLevel="1">
      <c r="A53" s="403" t="s">
        <v>255</v>
      </c>
      <c r="B53" s="403" t="s">
        <v>256</v>
      </c>
      <c r="C53" s="403" t="s">
        <v>271</v>
      </c>
      <c r="D53" s="403" t="s">
        <v>283</v>
      </c>
      <c r="E53" s="405" t="e">
        <f t="shared" ref="E53:N53" si="428">IF(E8&lt;sector_base,NA(),IF($B$6="ON", IF(E8&gt;=covid_start, IF(E8&lt;covid_recovery,NA(),IFERROR(E47+(E46*E52*E51),0)),IFERROR(E47+(E46*E52*E51),0)),IFERROR(E47+(E46*E52*E51),0)))</f>
        <v>#N/A</v>
      </c>
      <c r="F53" s="405" t="e">
        <f t="shared" si="428"/>
        <v>#N/A</v>
      </c>
      <c r="G53" s="405" t="e">
        <f t="shared" si="428"/>
        <v>#N/A</v>
      </c>
      <c r="H53" s="405" t="e">
        <f>IF(H8&lt;sector_base,NA(),IF($B$6="ON", IF(H8&gt;=covid_start, IF(H8&lt;covid_recovery,NA(),IFERROR(H47+(H46*H52*H51),0)),IFERROR(H47+(H46*H52*H51),0)),IFERROR(H47+(H46*H52*H51),0)))</f>
        <v>#N/A</v>
      </c>
      <c r="I53" s="405">
        <f ca="1">IF(I8&lt;sector_base,NA(),IF($B$6="ON", IF(I8&gt;=covid_start, IF(I8&lt;covid_recovery,NA(),IFERROR(I47+(I46*I52*I51),0)),IFERROR(I47+(I46*I52*I51),0)),IFERROR(I47+(I46*I52*I51),0)))</f>
        <v>0</v>
      </c>
      <c r="J53" s="405" t="e">
        <f t="shared" si="428"/>
        <v>#N/A</v>
      </c>
      <c r="K53" s="405" t="e">
        <f t="shared" si="428"/>
        <v>#N/A</v>
      </c>
      <c r="L53" s="405" t="e">
        <f t="shared" si="428"/>
        <v>#N/A</v>
      </c>
      <c r="M53" s="405">
        <f t="shared" ca="1" si="428"/>
        <v>0</v>
      </c>
      <c r="N53" s="405">
        <f t="shared" ca="1" si="428"/>
        <v>0</v>
      </c>
      <c r="O53" s="405">
        <f t="shared" ref="O53:AT53" ca="1" si="429">IF(O8&lt;sector_base,NA(),IF($B$6="ON", IF(O8&gt;=covid_start, IF(O8&lt;covid_recovery,NA(),IFERROR(O47+(O46*O52*O51),0)),IFERROR(O47+(O46*O52*O51),0)),IFERROR(O47+(O46*O52*O51),0)))</f>
        <v>0</v>
      </c>
      <c r="P53" s="405">
        <f t="shared" ca="1" si="429"/>
        <v>0</v>
      </c>
      <c r="Q53" s="405">
        <f t="shared" ca="1" si="429"/>
        <v>0</v>
      </c>
      <c r="R53" s="405">
        <f t="shared" ca="1" si="429"/>
        <v>0</v>
      </c>
      <c r="S53" s="405">
        <f t="shared" ca="1" si="429"/>
        <v>0</v>
      </c>
      <c r="T53" s="405">
        <f t="shared" ca="1" si="429"/>
        <v>0</v>
      </c>
      <c r="U53" s="405">
        <f t="shared" ca="1" si="429"/>
        <v>0</v>
      </c>
      <c r="V53" s="405">
        <f t="shared" ca="1" si="429"/>
        <v>0</v>
      </c>
      <c r="W53" s="405">
        <f t="shared" ca="1" si="429"/>
        <v>0</v>
      </c>
      <c r="X53" s="405">
        <f t="shared" ca="1" si="429"/>
        <v>0</v>
      </c>
      <c r="Y53" s="405">
        <f t="shared" ca="1" si="429"/>
        <v>0</v>
      </c>
      <c r="Z53" s="405">
        <f t="shared" ca="1" si="429"/>
        <v>0</v>
      </c>
      <c r="AA53" s="405">
        <f t="shared" ca="1" si="429"/>
        <v>0</v>
      </c>
      <c r="AB53" s="405">
        <f t="shared" ca="1" si="429"/>
        <v>0</v>
      </c>
      <c r="AC53" s="405">
        <f t="shared" ca="1" si="429"/>
        <v>0</v>
      </c>
      <c r="AD53" s="405">
        <f t="shared" ca="1" si="429"/>
        <v>0</v>
      </c>
      <c r="AE53" s="405">
        <f t="shared" ca="1" si="429"/>
        <v>0</v>
      </c>
      <c r="AF53" s="405">
        <f t="shared" ca="1" si="429"/>
        <v>0</v>
      </c>
      <c r="AG53" s="405">
        <f t="shared" ca="1" si="429"/>
        <v>0</v>
      </c>
      <c r="AH53" s="405">
        <f t="shared" ca="1" si="429"/>
        <v>0</v>
      </c>
      <c r="AI53" s="405">
        <f t="shared" ca="1" si="429"/>
        <v>0</v>
      </c>
      <c r="AJ53" s="405">
        <f t="shared" ca="1" si="429"/>
        <v>0</v>
      </c>
      <c r="AK53" s="405">
        <f t="shared" ca="1" si="429"/>
        <v>0</v>
      </c>
      <c r="AL53" s="405">
        <f t="shared" ca="1" si="429"/>
        <v>0</v>
      </c>
      <c r="AM53" s="405">
        <f t="shared" ca="1" si="429"/>
        <v>0</v>
      </c>
      <c r="AN53" s="405">
        <f t="shared" ca="1" si="429"/>
        <v>0</v>
      </c>
      <c r="AO53" s="405">
        <f t="shared" ca="1" si="429"/>
        <v>0</v>
      </c>
      <c r="AP53" s="405">
        <f t="shared" ca="1" si="429"/>
        <v>0</v>
      </c>
      <c r="AQ53" s="405">
        <f t="shared" ca="1" si="429"/>
        <v>0</v>
      </c>
      <c r="AR53" s="405">
        <f t="shared" ca="1" si="429"/>
        <v>0</v>
      </c>
      <c r="AS53" s="405">
        <f t="shared" ca="1" si="429"/>
        <v>0</v>
      </c>
      <c r="AT53" s="405">
        <f t="shared" ca="1" si="429"/>
        <v>0</v>
      </c>
      <c r="AU53" s="405">
        <f t="shared" ref="AU53:BZ53" ca="1" si="430">IF(AU8&lt;sector_base,NA(),IF($B$6="ON", IF(AU8&gt;=covid_start, IF(AU8&lt;covid_recovery,NA(),IFERROR(AU47+(AU46*AU52*AU51),0)),IFERROR(AU47+(AU46*AU52*AU51),0)),IFERROR(AU47+(AU46*AU52*AU51),0)))</f>
        <v>0</v>
      </c>
      <c r="AV53" s="405">
        <f t="shared" ca="1" si="430"/>
        <v>0</v>
      </c>
      <c r="AW53" s="405">
        <f t="shared" ca="1" si="430"/>
        <v>0</v>
      </c>
      <c r="AX53" s="405">
        <f t="shared" ca="1" si="430"/>
        <v>0</v>
      </c>
      <c r="AY53" s="405">
        <f t="shared" ca="1" si="430"/>
        <v>0</v>
      </c>
      <c r="AZ53" s="405">
        <f t="shared" ca="1" si="430"/>
        <v>0</v>
      </c>
      <c r="BA53" s="405">
        <f t="shared" ca="1" si="430"/>
        <v>0</v>
      </c>
      <c r="BB53" s="405">
        <f t="shared" ca="1" si="430"/>
        <v>0</v>
      </c>
      <c r="BC53" s="405">
        <f t="shared" ca="1" si="430"/>
        <v>0</v>
      </c>
      <c r="BD53" s="405">
        <f t="shared" ca="1" si="430"/>
        <v>0</v>
      </c>
      <c r="BE53" s="405">
        <f t="shared" ca="1" si="430"/>
        <v>0</v>
      </c>
      <c r="BF53" s="405">
        <f t="shared" ca="1" si="430"/>
        <v>0</v>
      </c>
      <c r="BG53" s="405">
        <f t="shared" ca="1" si="430"/>
        <v>0</v>
      </c>
      <c r="BH53" s="405">
        <f t="shared" ca="1" si="430"/>
        <v>0</v>
      </c>
      <c r="BI53" s="405">
        <f t="shared" ca="1" si="430"/>
        <v>0</v>
      </c>
      <c r="BJ53" s="405">
        <f t="shared" ca="1" si="430"/>
        <v>0</v>
      </c>
      <c r="BK53" s="405">
        <f t="shared" ca="1" si="430"/>
        <v>0</v>
      </c>
      <c r="BL53" s="405">
        <f t="shared" ca="1" si="430"/>
        <v>0</v>
      </c>
      <c r="BM53" s="405">
        <f t="shared" ca="1" si="430"/>
        <v>0</v>
      </c>
      <c r="BN53" s="405">
        <f t="shared" ca="1" si="430"/>
        <v>0</v>
      </c>
      <c r="BO53" s="405">
        <f t="shared" ca="1" si="430"/>
        <v>0</v>
      </c>
      <c r="BP53" s="405">
        <f t="shared" ca="1" si="430"/>
        <v>0</v>
      </c>
      <c r="BQ53" s="405">
        <f t="shared" ca="1" si="430"/>
        <v>0</v>
      </c>
      <c r="BR53" s="405">
        <f t="shared" ca="1" si="430"/>
        <v>0</v>
      </c>
      <c r="BS53" s="405">
        <f t="shared" ca="1" si="430"/>
        <v>0</v>
      </c>
      <c r="BT53" s="405">
        <f t="shared" ca="1" si="430"/>
        <v>0</v>
      </c>
      <c r="BU53" s="405">
        <f t="shared" ca="1" si="430"/>
        <v>0</v>
      </c>
      <c r="BV53" s="405">
        <f t="shared" ca="1" si="430"/>
        <v>0</v>
      </c>
      <c r="BW53" s="405">
        <f t="shared" ca="1" si="430"/>
        <v>0</v>
      </c>
      <c r="BX53" s="405">
        <f t="shared" ca="1" si="430"/>
        <v>0</v>
      </c>
      <c r="BY53" s="405">
        <f t="shared" ca="1" si="430"/>
        <v>0</v>
      </c>
      <c r="BZ53" s="405">
        <f t="shared" ca="1" si="430"/>
        <v>0</v>
      </c>
      <c r="CA53" s="405">
        <f t="shared" ref="CA53:CL53" ca="1" si="431">IF(CA8&lt;sector_base,NA(),IF($B$6="ON", IF(CA8&gt;=covid_start, IF(CA8&lt;covid_recovery,NA(),IFERROR(CA47+(CA46*CA52*CA51),0)),IFERROR(CA47+(CA46*CA52*CA51),0)),IFERROR(CA47+(CA46*CA52*CA51),0)))</f>
        <v>0</v>
      </c>
      <c r="CB53" s="405">
        <f t="shared" ca="1" si="431"/>
        <v>0</v>
      </c>
      <c r="CC53" s="405">
        <f t="shared" ca="1" si="431"/>
        <v>0</v>
      </c>
      <c r="CD53" s="405">
        <f t="shared" ca="1" si="431"/>
        <v>0</v>
      </c>
      <c r="CE53" s="405">
        <f t="shared" ca="1" si="431"/>
        <v>0</v>
      </c>
      <c r="CF53" s="405">
        <f t="shared" ca="1" si="431"/>
        <v>0</v>
      </c>
      <c r="CG53" s="405">
        <f t="shared" ca="1" si="431"/>
        <v>0</v>
      </c>
      <c r="CH53" s="405">
        <f t="shared" ca="1" si="431"/>
        <v>0</v>
      </c>
      <c r="CI53" s="405">
        <f t="shared" ca="1" si="431"/>
        <v>0</v>
      </c>
      <c r="CJ53" s="405">
        <f t="shared" ca="1" si="431"/>
        <v>0</v>
      </c>
      <c r="CK53" s="405">
        <f t="shared" ca="1" si="431"/>
        <v>0</v>
      </c>
      <c r="CL53" s="405">
        <f t="shared" ca="1" si="431"/>
        <v>0</v>
      </c>
      <c r="CN53" s="406" t="str">
        <f ca="1">IFERROR((Y53/H53)^(1/17)-1,"")</f>
        <v/>
      </c>
      <c r="CO53" s="406" t="str">
        <f ca="1">IFERROR((AN53/Y53)^(1/15)-1,"")</f>
        <v/>
      </c>
      <c r="CP53" s="406" t="str">
        <f ca="1">IFERROR((AN53/H53)^(1/32)-1,"")</f>
        <v/>
      </c>
    </row>
    <row r="54" spans="1:94" hidden="1" outlineLevel="1">
      <c r="A54" s="400" t="s">
        <v>255</v>
      </c>
      <c r="B54" s="400" t="s">
        <v>129</v>
      </c>
      <c r="C54" s="400" t="s">
        <v>272</v>
      </c>
      <c r="D54" s="400"/>
      <c r="E54" s="413" t="e">
        <f>IF(E42=base,E53, IF(E42=target,E53,#N/A))</f>
        <v>#N/A</v>
      </c>
      <c r="F54" s="407" t="e">
        <f t="shared" ref="F54" si="432">IF(F50=base,F53, IF(F50=target,F53,#N/A))</f>
        <v>#N/A</v>
      </c>
      <c r="G54" s="407" t="e">
        <f t="shared" ref="G54" si="433">IF(G50=base,G53, IF(G50=target,G53,#N/A))</f>
        <v>#N/A</v>
      </c>
      <c r="H54" s="407" t="e">
        <f>IF(H42=base,H53, IF(H42=target,H53,#N/A))</f>
        <v>#N/A</v>
      </c>
      <c r="I54" s="407">
        <f t="shared" ref="I54:AN54" ca="1" si="434">IF(I42=base,I53, IF(I42=target,I53,#N/A))</f>
        <v>0</v>
      </c>
      <c r="J54" s="407" t="e">
        <f t="shared" si="434"/>
        <v>#N/A</v>
      </c>
      <c r="K54" s="407" t="e">
        <f t="shared" si="434"/>
        <v>#N/A</v>
      </c>
      <c r="L54" s="407" t="e">
        <f t="shared" si="434"/>
        <v>#N/A</v>
      </c>
      <c r="M54" s="407" t="e">
        <f t="shared" si="434"/>
        <v>#N/A</v>
      </c>
      <c r="N54" s="407" t="e">
        <f t="shared" si="434"/>
        <v>#N/A</v>
      </c>
      <c r="O54" s="407" t="e">
        <f t="shared" si="434"/>
        <v>#N/A</v>
      </c>
      <c r="P54" s="407" t="e">
        <f t="shared" si="434"/>
        <v>#N/A</v>
      </c>
      <c r="Q54" s="407" t="e">
        <f t="shared" si="434"/>
        <v>#N/A</v>
      </c>
      <c r="R54" s="407" t="e">
        <f t="shared" si="434"/>
        <v>#N/A</v>
      </c>
      <c r="S54" s="407" t="e">
        <f t="shared" si="434"/>
        <v>#N/A</v>
      </c>
      <c r="T54" s="407" t="e">
        <f t="shared" si="434"/>
        <v>#N/A</v>
      </c>
      <c r="U54" s="407" t="e">
        <f t="shared" si="434"/>
        <v>#N/A</v>
      </c>
      <c r="V54" s="407" t="e">
        <f t="shared" si="434"/>
        <v>#N/A</v>
      </c>
      <c r="W54" s="407" t="e">
        <f t="shared" si="434"/>
        <v>#N/A</v>
      </c>
      <c r="X54" s="407" t="e">
        <f t="shared" si="434"/>
        <v>#N/A</v>
      </c>
      <c r="Y54" s="407" t="e">
        <f>IF(Y42=base,Y53, IF(Y42=target,Y53,#N/A))</f>
        <v>#N/A</v>
      </c>
      <c r="Z54" s="407" t="e">
        <f t="shared" si="434"/>
        <v>#N/A</v>
      </c>
      <c r="AA54" s="407" t="e">
        <f t="shared" si="434"/>
        <v>#N/A</v>
      </c>
      <c r="AB54" s="407" t="e">
        <f t="shared" si="434"/>
        <v>#N/A</v>
      </c>
      <c r="AC54" s="407" t="e">
        <f t="shared" si="434"/>
        <v>#N/A</v>
      </c>
      <c r="AD54" s="407" t="e">
        <f t="shared" si="434"/>
        <v>#N/A</v>
      </c>
      <c r="AE54" s="407" t="e">
        <f t="shared" si="434"/>
        <v>#N/A</v>
      </c>
      <c r="AF54" s="407" t="e">
        <f t="shared" si="434"/>
        <v>#N/A</v>
      </c>
      <c r="AG54" s="407" t="e">
        <f t="shared" si="434"/>
        <v>#N/A</v>
      </c>
      <c r="AH54" s="407" t="e">
        <f t="shared" si="434"/>
        <v>#N/A</v>
      </c>
      <c r="AI54" s="407" t="e">
        <f t="shared" si="434"/>
        <v>#N/A</v>
      </c>
      <c r="AJ54" s="407" t="e">
        <f t="shared" si="434"/>
        <v>#N/A</v>
      </c>
      <c r="AK54" s="407" t="e">
        <f t="shared" si="434"/>
        <v>#N/A</v>
      </c>
      <c r="AL54" s="407" t="e">
        <f t="shared" si="434"/>
        <v>#N/A</v>
      </c>
      <c r="AM54" s="407" t="e">
        <f t="shared" si="434"/>
        <v>#N/A</v>
      </c>
      <c r="AN54" s="407" t="e">
        <f t="shared" si="434"/>
        <v>#N/A</v>
      </c>
      <c r="AO54" s="407">
        <f t="shared" ref="AO54" ca="1" si="435">IF(AO50=base,AO53, IF(AO50=target,AO53,#N/A))</f>
        <v>0</v>
      </c>
      <c r="AP54" s="407">
        <f t="shared" ref="AP54" ca="1" si="436">IF(AP50=base,AP53, IF(AP50=target,AP53,#N/A))</f>
        <v>0</v>
      </c>
      <c r="AQ54" s="407">
        <f t="shared" ref="AQ54" ca="1" si="437">IF(AQ50=base,AQ53, IF(AQ50=target,AQ53,#N/A))</f>
        <v>0</v>
      </c>
      <c r="AR54" s="407">
        <f t="shared" ref="AR54" ca="1" si="438">IF(AR50=base,AR53, IF(AR50=target,AR53,#N/A))</f>
        <v>0</v>
      </c>
      <c r="AS54" s="407">
        <f t="shared" ref="AS54" ca="1" si="439">IF(AS50=base,AS53, IF(AS50=target,AS53,#N/A))</f>
        <v>0</v>
      </c>
      <c r="AT54" s="407">
        <f t="shared" ref="AT54" ca="1" si="440">IF(AT50=base,AT53, IF(AT50=target,AT53,#N/A))</f>
        <v>0</v>
      </c>
      <c r="AU54" s="407">
        <f t="shared" ref="AU54" ca="1" si="441">IF(AU50=base,AU53, IF(AU50=target,AU53,#N/A))</f>
        <v>0</v>
      </c>
      <c r="AV54" s="407">
        <f t="shared" ref="AV54" ca="1" si="442">IF(AV50=base,AV53, IF(AV50=target,AV53,#N/A))</f>
        <v>0</v>
      </c>
      <c r="AW54" s="407">
        <f t="shared" ref="AW54" ca="1" si="443">IF(AW50=base,AW53, IF(AW50=target,AW53,#N/A))</f>
        <v>0</v>
      </c>
      <c r="AX54" s="407">
        <f t="shared" ref="AX54" ca="1" si="444">IF(AX50=base,AX53, IF(AX50=target,AX53,#N/A))</f>
        <v>0</v>
      </c>
      <c r="AY54" s="407">
        <f t="shared" ref="AY54" ca="1" si="445">IF(AY50=base,AY53, IF(AY50=target,AY53,#N/A))</f>
        <v>0</v>
      </c>
      <c r="AZ54" s="407">
        <f t="shared" ref="AZ54" ca="1" si="446">IF(AZ50=base,AZ53, IF(AZ50=target,AZ53,#N/A))</f>
        <v>0</v>
      </c>
      <c r="BA54" s="407">
        <f t="shared" ref="BA54" ca="1" si="447">IF(BA50=base,BA53, IF(BA50=target,BA53,#N/A))</f>
        <v>0</v>
      </c>
      <c r="BB54" s="407">
        <f t="shared" ref="BB54" ca="1" si="448">IF(BB50=base,BB53, IF(BB50=target,BB53,#N/A))</f>
        <v>0</v>
      </c>
      <c r="BC54" s="407">
        <f t="shared" ref="BC54" ca="1" si="449">IF(BC50=base,BC53, IF(BC50=target,BC53,#N/A))</f>
        <v>0</v>
      </c>
      <c r="BD54" s="407">
        <f t="shared" ref="BD54" ca="1" si="450">IF(BD50=base,BD53, IF(BD50=target,BD53,#N/A))</f>
        <v>0</v>
      </c>
      <c r="BE54" s="407">
        <f t="shared" ref="BE54" ca="1" si="451">IF(BE50=base,BE53, IF(BE50=target,BE53,#N/A))</f>
        <v>0</v>
      </c>
      <c r="BF54" s="407">
        <f t="shared" ref="BF54" ca="1" si="452">IF(BF50=base,BF53, IF(BF50=target,BF53,#N/A))</f>
        <v>0</v>
      </c>
      <c r="BG54" s="407">
        <f t="shared" ref="BG54" ca="1" si="453">IF(BG50=base,BG53, IF(BG50=target,BG53,#N/A))</f>
        <v>0</v>
      </c>
      <c r="BH54" s="407">
        <f t="shared" ref="BH54" ca="1" si="454">IF(BH50=base,BH53, IF(BH50=target,BH53,#N/A))</f>
        <v>0</v>
      </c>
      <c r="BI54" s="407">
        <f t="shared" ref="BI54" ca="1" si="455">IF(BI50=base,BI53, IF(BI50=target,BI53,#N/A))</f>
        <v>0</v>
      </c>
      <c r="BJ54" s="407">
        <f t="shared" ref="BJ54" ca="1" si="456">IF(BJ50=base,BJ53, IF(BJ50=target,BJ53,#N/A))</f>
        <v>0</v>
      </c>
      <c r="BK54" s="407">
        <f t="shared" ref="BK54" ca="1" si="457">IF(BK50=base,BK53, IF(BK50=target,BK53,#N/A))</f>
        <v>0</v>
      </c>
      <c r="BL54" s="407">
        <f t="shared" ref="BL54" ca="1" si="458">IF(BL50=base,BL53, IF(BL50=target,BL53,#N/A))</f>
        <v>0</v>
      </c>
      <c r="BM54" s="407">
        <f t="shared" ref="BM54" ca="1" si="459">IF(BM50=base,BM53, IF(BM50=target,BM53,#N/A))</f>
        <v>0</v>
      </c>
      <c r="BN54" s="407">
        <f t="shared" ref="BN54" ca="1" si="460">IF(BN50=base,BN53, IF(BN50=target,BN53,#N/A))</f>
        <v>0</v>
      </c>
      <c r="BO54" s="407">
        <f t="shared" ref="BO54" ca="1" si="461">IF(BO50=base,BO53, IF(BO50=target,BO53,#N/A))</f>
        <v>0</v>
      </c>
      <c r="BP54" s="407">
        <f t="shared" ref="BP54" ca="1" si="462">IF(BP50=base,BP53, IF(BP50=target,BP53,#N/A))</f>
        <v>0</v>
      </c>
      <c r="BQ54" s="407">
        <f t="shared" ref="BQ54" ca="1" si="463">IF(BQ50=base,BQ53, IF(BQ50=target,BQ53,#N/A))</f>
        <v>0</v>
      </c>
      <c r="BR54" s="407">
        <f t="shared" ref="BR54" ca="1" si="464">IF(BR50=base,BR53, IF(BR50=target,BR53,#N/A))</f>
        <v>0</v>
      </c>
      <c r="BS54" s="407">
        <f t="shared" ref="BS54" ca="1" si="465">IF(BS50=base,BS53, IF(BS50=target,BS53,#N/A))</f>
        <v>0</v>
      </c>
      <c r="BT54" s="407">
        <f t="shared" ref="BT54" ca="1" si="466">IF(BT50=base,BT53, IF(BT50=target,BT53,#N/A))</f>
        <v>0</v>
      </c>
      <c r="BU54" s="407">
        <f t="shared" ref="BU54" ca="1" si="467">IF(BU50=base,BU53, IF(BU50=target,BU53,#N/A))</f>
        <v>0</v>
      </c>
      <c r="BV54" s="407">
        <f t="shared" ref="BV54" ca="1" si="468">IF(BV50=base,BV53, IF(BV50=target,BV53,#N/A))</f>
        <v>0</v>
      </c>
      <c r="BW54" s="407">
        <f t="shared" ref="BW54" ca="1" si="469">IF(BW50=base,BW53, IF(BW50=target,BW53,#N/A))</f>
        <v>0</v>
      </c>
      <c r="BX54" s="407">
        <f t="shared" ref="BX54" ca="1" si="470">IF(BX50=base,BX53, IF(BX50=target,BX53,#N/A))</f>
        <v>0</v>
      </c>
      <c r="BY54" s="407">
        <f t="shared" ref="BY54" ca="1" si="471">IF(BY50=base,BY53, IF(BY50=target,BY53,#N/A))</f>
        <v>0</v>
      </c>
      <c r="BZ54" s="407">
        <f t="shared" ref="BZ54" ca="1" si="472">IF(BZ50=base,BZ53, IF(BZ50=target,BZ53,#N/A))</f>
        <v>0</v>
      </c>
      <c r="CA54" s="407">
        <f t="shared" ref="CA54" ca="1" si="473">IF(CA50=base,CA53, IF(CA50=target,CA53,#N/A))</f>
        <v>0</v>
      </c>
      <c r="CB54" s="407">
        <f t="shared" ref="CB54" ca="1" si="474">IF(CB50=base,CB53, IF(CB50=target,CB53,#N/A))</f>
        <v>0</v>
      </c>
      <c r="CC54" s="407">
        <f t="shared" ref="CC54" ca="1" si="475">IF(CC50=base,CC53, IF(CC50=target,CC53,#N/A))</f>
        <v>0</v>
      </c>
      <c r="CD54" s="407">
        <f t="shared" ref="CD54" ca="1" si="476">IF(CD50=base,CD53, IF(CD50=target,CD53,#N/A))</f>
        <v>0</v>
      </c>
      <c r="CE54" s="407">
        <f t="shared" ref="CE54" ca="1" si="477">IF(CE50=base,CE53, IF(CE50=target,CE53,#N/A))</f>
        <v>0</v>
      </c>
      <c r="CF54" s="407">
        <f t="shared" ref="CF54" ca="1" si="478">IF(CF50=base,CF53, IF(CF50=target,CF53,#N/A))</f>
        <v>0</v>
      </c>
      <c r="CG54" s="407">
        <f t="shared" ref="CG54" ca="1" si="479">IF(CG50=base,CG53, IF(CG50=target,CG53,#N/A))</f>
        <v>0</v>
      </c>
      <c r="CH54" s="407">
        <f t="shared" ref="CH54" ca="1" si="480">IF(CH50=base,CH53, IF(CH50=target,CH53,#N/A))</f>
        <v>0</v>
      </c>
      <c r="CI54" s="407">
        <f t="shared" ref="CI54" ca="1" si="481">IF(CI50=base,CI53, IF(CI50=target,CI53,#N/A))</f>
        <v>0</v>
      </c>
      <c r="CJ54" s="407">
        <f t="shared" ref="CJ54" ca="1" si="482">IF(CJ50=base,CJ53, IF(CJ50=target,CJ53,#N/A))</f>
        <v>0</v>
      </c>
      <c r="CK54" s="407">
        <f t="shared" ref="CK54" ca="1" si="483">IF(CK50=base,CK53, IF(CK50=target,CK53,#N/A))</f>
        <v>0</v>
      </c>
      <c r="CL54" s="407">
        <f t="shared" ref="CL54" ca="1" si="484">IF(CL50=base,CL53, IF(CL50=target,CL53,#N/A))</f>
        <v>0</v>
      </c>
      <c r="CN54" s="408" t="str">
        <f>IFERROR((Y54/H54)^(1/17)-1,"")</f>
        <v/>
      </c>
      <c r="CO54" s="408" t="str">
        <f>IFERROR((AN54/Y54)^(1/15)-1,"")</f>
        <v/>
      </c>
      <c r="CP54" s="408" t="str">
        <f>IFERROR((AN54/H54)^(1/32)-1,"")</f>
        <v/>
      </c>
    </row>
    <row r="55" spans="1:94" hidden="1" outlineLevel="1">
      <c r="A55" s="403" t="s">
        <v>255</v>
      </c>
      <c r="B55" s="403" t="s">
        <v>257</v>
      </c>
      <c r="C55" s="403" t="s">
        <v>273</v>
      </c>
      <c r="D55" s="403" t="s">
        <v>284</v>
      </c>
      <c r="E55" s="404">
        <f>IFERROR((E53*E49)/1000,0)</f>
        <v>0</v>
      </c>
      <c r="F55" s="405">
        <f t="shared" ref="F55:N55" si="485">IFERROR((F53*F49)/1000,0)</f>
        <v>0</v>
      </c>
      <c r="G55" s="405">
        <f t="shared" si="485"/>
        <v>0</v>
      </c>
      <c r="H55" s="405">
        <f>IFERROR((H53*H49)/1000,0)</f>
        <v>0</v>
      </c>
      <c r="I55" s="405">
        <f ca="1">IFERROR((I53*I49)/1000,0)</f>
        <v>0</v>
      </c>
      <c r="J55" s="405">
        <f t="shared" si="485"/>
        <v>0</v>
      </c>
      <c r="K55" s="405">
        <f t="shared" si="485"/>
        <v>0</v>
      </c>
      <c r="L55" s="405">
        <f t="shared" si="485"/>
        <v>0</v>
      </c>
      <c r="M55" s="405">
        <f t="shared" ca="1" si="485"/>
        <v>0</v>
      </c>
      <c r="N55" s="405">
        <f t="shared" ca="1" si="485"/>
        <v>0</v>
      </c>
      <c r="O55" s="405">
        <f t="shared" ref="O55:AT55" ca="1" si="486">IFERROR((O53*O49)/1000,0)</f>
        <v>0</v>
      </c>
      <c r="P55" s="405">
        <f t="shared" ca="1" si="486"/>
        <v>0</v>
      </c>
      <c r="Q55" s="405">
        <f t="shared" ca="1" si="486"/>
        <v>0</v>
      </c>
      <c r="R55" s="405">
        <f t="shared" ca="1" si="486"/>
        <v>0</v>
      </c>
      <c r="S55" s="418">
        <f t="shared" ca="1" si="486"/>
        <v>0</v>
      </c>
      <c r="T55" s="418">
        <f t="shared" ca="1" si="486"/>
        <v>0</v>
      </c>
      <c r="U55" s="418">
        <f t="shared" ca="1" si="486"/>
        <v>0</v>
      </c>
      <c r="V55" s="405">
        <f t="shared" ca="1" si="486"/>
        <v>0</v>
      </c>
      <c r="W55" s="405">
        <f t="shared" ca="1" si="486"/>
        <v>0</v>
      </c>
      <c r="X55" s="405">
        <f t="shared" ca="1" si="486"/>
        <v>0</v>
      </c>
      <c r="Y55" s="405">
        <f t="shared" ca="1" si="486"/>
        <v>0</v>
      </c>
      <c r="Z55" s="405">
        <f t="shared" ca="1" si="486"/>
        <v>0</v>
      </c>
      <c r="AA55" s="405">
        <f t="shared" ca="1" si="486"/>
        <v>0</v>
      </c>
      <c r="AB55" s="405">
        <f t="shared" ca="1" si="486"/>
        <v>0</v>
      </c>
      <c r="AC55" s="405">
        <f t="shared" ca="1" si="486"/>
        <v>0</v>
      </c>
      <c r="AD55" s="405">
        <f t="shared" ca="1" si="486"/>
        <v>0</v>
      </c>
      <c r="AE55" s="405">
        <f t="shared" ca="1" si="486"/>
        <v>0</v>
      </c>
      <c r="AF55" s="405">
        <f t="shared" ca="1" si="486"/>
        <v>0</v>
      </c>
      <c r="AG55" s="405">
        <f t="shared" ca="1" si="486"/>
        <v>0</v>
      </c>
      <c r="AH55" s="405">
        <f t="shared" ca="1" si="486"/>
        <v>0</v>
      </c>
      <c r="AI55" s="405">
        <f t="shared" ca="1" si="486"/>
        <v>0</v>
      </c>
      <c r="AJ55" s="405">
        <f t="shared" ca="1" si="486"/>
        <v>0</v>
      </c>
      <c r="AK55" s="405">
        <f t="shared" ca="1" si="486"/>
        <v>0</v>
      </c>
      <c r="AL55" s="405">
        <f t="shared" ca="1" si="486"/>
        <v>0</v>
      </c>
      <c r="AM55" s="405">
        <f t="shared" ca="1" si="486"/>
        <v>0</v>
      </c>
      <c r="AN55" s="405">
        <f t="shared" ca="1" si="486"/>
        <v>0</v>
      </c>
      <c r="AO55" s="405">
        <f t="shared" ca="1" si="486"/>
        <v>0</v>
      </c>
      <c r="AP55" s="405">
        <f t="shared" ca="1" si="486"/>
        <v>0</v>
      </c>
      <c r="AQ55" s="405">
        <f t="shared" ca="1" si="486"/>
        <v>0</v>
      </c>
      <c r="AR55" s="405">
        <f t="shared" ca="1" si="486"/>
        <v>0</v>
      </c>
      <c r="AS55" s="405">
        <f t="shared" ca="1" si="486"/>
        <v>0</v>
      </c>
      <c r="AT55" s="405">
        <f t="shared" ca="1" si="486"/>
        <v>0</v>
      </c>
      <c r="AU55" s="405">
        <f t="shared" ref="AU55:BZ55" ca="1" si="487">IFERROR((AU53*AU49)/1000,0)</f>
        <v>0</v>
      </c>
      <c r="AV55" s="405">
        <f t="shared" ca="1" si="487"/>
        <v>0</v>
      </c>
      <c r="AW55" s="405">
        <f t="shared" ca="1" si="487"/>
        <v>0</v>
      </c>
      <c r="AX55" s="405">
        <f t="shared" ca="1" si="487"/>
        <v>0</v>
      </c>
      <c r="AY55" s="405">
        <f t="shared" ca="1" si="487"/>
        <v>0</v>
      </c>
      <c r="AZ55" s="405">
        <f t="shared" ca="1" si="487"/>
        <v>0</v>
      </c>
      <c r="BA55" s="405">
        <f t="shared" ca="1" si="487"/>
        <v>0</v>
      </c>
      <c r="BB55" s="405">
        <f t="shared" ca="1" si="487"/>
        <v>0</v>
      </c>
      <c r="BC55" s="405">
        <f t="shared" ca="1" si="487"/>
        <v>0</v>
      </c>
      <c r="BD55" s="405">
        <f t="shared" ca="1" si="487"/>
        <v>0</v>
      </c>
      <c r="BE55" s="405">
        <f t="shared" ca="1" si="487"/>
        <v>0</v>
      </c>
      <c r="BF55" s="405">
        <f t="shared" ca="1" si="487"/>
        <v>0</v>
      </c>
      <c r="BG55" s="405">
        <f t="shared" ca="1" si="487"/>
        <v>0</v>
      </c>
      <c r="BH55" s="405">
        <f t="shared" ca="1" si="487"/>
        <v>0</v>
      </c>
      <c r="BI55" s="405">
        <f t="shared" ca="1" si="487"/>
        <v>0</v>
      </c>
      <c r="BJ55" s="405">
        <f t="shared" ca="1" si="487"/>
        <v>0</v>
      </c>
      <c r="BK55" s="405">
        <f t="shared" ca="1" si="487"/>
        <v>0</v>
      </c>
      <c r="BL55" s="405">
        <f t="shared" ca="1" si="487"/>
        <v>0</v>
      </c>
      <c r="BM55" s="405">
        <f t="shared" ca="1" si="487"/>
        <v>0</v>
      </c>
      <c r="BN55" s="405">
        <f t="shared" ca="1" si="487"/>
        <v>0</v>
      </c>
      <c r="BO55" s="405">
        <f t="shared" ca="1" si="487"/>
        <v>0</v>
      </c>
      <c r="BP55" s="405">
        <f t="shared" ca="1" si="487"/>
        <v>0</v>
      </c>
      <c r="BQ55" s="405">
        <f t="shared" ca="1" si="487"/>
        <v>0</v>
      </c>
      <c r="BR55" s="405">
        <f t="shared" ca="1" si="487"/>
        <v>0</v>
      </c>
      <c r="BS55" s="405">
        <f t="shared" ca="1" si="487"/>
        <v>0</v>
      </c>
      <c r="BT55" s="405">
        <f t="shared" ca="1" si="487"/>
        <v>0</v>
      </c>
      <c r="BU55" s="405">
        <f t="shared" ca="1" si="487"/>
        <v>0</v>
      </c>
      <c r="BV55" s="405">
        <f t="shared" ca="1" si="487"/>
        <v>0</v>
      </c>
      <c r="BW55" s="405">
        <f t="shared" ca="1" si="487"/>
        <v>0</v>
      </c>
      <c r="BX55" s="405">
        <f t="shared" ca="1" si="487"/>
        <v>0</v>
      </c>
      <c r="BY55" s="405">
        <f t="shared" ca="1" si="487"/>
        <v>0</v>
      </c>
      <c r="BZ55" s="405">
        <f t="shared" ca="1" si="487"/>
        <v>0</v>
      </c>
      <c r="CA55" s="405">
        <f t="shared" ref="CA55:CL55" ca="1" si="488">IFERROR((CA53*CA49)/1000,0)</f>
        <v>0</v>
      </c>
      <c r="CB55" s="405">
        <f t="shared" ca="1" si="488"/>
        <v>0</v>
      </c>
      <c r="CC55" s="405">
        <f t="shared" ca="1" si="488"/>
        <v>0</v>
      </c>
      <c r="CD55" s="405">
        <f t="shared" ca="1" si="488"/>
        <v>0</v>
      </c>
      <c r="CE55" s="405">
        <f t="shared" ca="1" si="488"/>
        <v>0</v>
      </c>
      <c r="CF55" s="405">
        <f t="shared" ca="1" si="488"/>
        <v>0</v>
      </c>
      <c r="CG55" s="405">
        <f t="shared" ca="1" si="488"/>
        <v>0</v>
      </c>
      <c r="CH55" s="405">
        <f t="shared" ca="1" si="488"/>
        <v>0</v>
      </c>
      <c r="CI55" s="405">
        <f t="shared" ca="1" si="488"/>
        <v>0</v>
      </c>
      <c r="CJ55" s="405">
        <f t="shared" ca="1" si="488"/>
        <v>0</v>
      </c>
      <c r="CK55" s="405">
        <f t="shared" ca="1" si="488"/>
        <v>0</v>
      </c>
      <c r="CL55" s="405">
        <f t="shared" ca="1" si="488"/>
        <v>0</v>
      </c>
      <c r="CN55" s="406" t="str">
        <f ca="1">IFERROR((Y55/H55)^(1/17)-1,"")</f>
        <v/>
      </c>
      <c r="CO55" s="406" t="str">
        <f ca="1">IFERROR((AN55/Y55)^(1/15)-1,"")</f>
        <v/>
      </c>
      <c r="CP55" s="406" t="str">
        <f ca="1">IFERROR((AN55/H55)^(1/32)-1,"")</f>
        <v/>
      </c>
    </row>
    <row r="56" spans="1:94" hidden="1" outlineLevel="1">
      <c r="A56" s="414" t="s">
        <v>382</v>
      </c>
      <c r="B56" s="414" t="s">
        <v>384</v>
      </c>
      <c r="C56" s="414"/>
      <c r="D56" s="414"/>
      <c r="E56" s="415" t="e">
        <f t="shared" ref="E56:AN56" si="489">IF($B$6="ON",IF(E42=covid_start-1,E45,IF(E42=covid_recovery,E45,IF(E42&gt;=covid_start,IF(E42&lt;covid_recovery,D56-(INDEX($E42:$CH55,4,MATCH(covid_start-1,$E42:$CL42,0))-INDEX($E42:$CL55,4,MATCH(covid_recovery,$E42:$CL42,0)))/(covid_recovery-covid_start+1),NA()),NA()))),NA())</f>
        <v>#N/A</v>
      </c>
      <c r="F56" s="415" t="e">
        <f t="shared" si="489"/>
        <v>#N/A</v>
      </c>
      <c r="G56" s="415" t="e">
        <f t="shared" si="489"/>
        <v>#N/A</v>
      </c>
      <c r="H56" s="415" t="e">
        <f t="shared" si="489"/>
        <v>#N/A</v>
      </c>
      <c r="I56" s="415">
        <f t="shared" ref="I56:O56" ca="1" si="490">IF($B$6="ON",IF(I42=covid_start-1,I45,IF(I42=covid_recovery,I45,IF(I42&gt;=covid_start,IF(I42&lt;covid_recovery,H56-(INDEX($E42:$CH55,4,MATCH(covid_start-1,$E42:$CL42,0))-INDEX($E42:$CL55,4,MATCH(covid_recovery,$E42:$CL42,0)))/(covid_recovery-covid_start+1),NA()),NA()))),NA())</f>
        <v>635.54538040104273</v>
      </c>
      <c r="J56" s="415">
        <f t="shared" ca="1" si="490"/>
        <v>615.02634214529803</v>
      </c>
      <c r="K56" s="415">
        <f t="shared" ca="1" si="490"/>
        <v>594.50730388955333</v>
      </c>
      <c r="L56" s="415">
        <f t="shared" ca="1" si="490"/>
        <v>573.98826563380862</v>
      </c>
      <c r="M56" s="415">
        <f t="shared" ca="1" si="490"/>
        <v>553.46922737806392</v>
      </c>
      <c r="N56" s="415" t="e">
        <f t="shared" si="490"/>
        <v>#N/A</v>
      </c>
      <c r="O56" s="415" t="e">
        <f t="shared" si="490"/>
        <v>#N/A</v>
      </c>
      <c r="P56" s="415" t="e">
        <f t="shared" si="489"/>
        <v>#N/A</v>
      </c>
      <c r="Q56" s="415" t="e">
        <f t="shared" si="489"/>
        <v>#N/A</v>
      </c>
      <c r="R56" s="415" t="e">
        <f t="shared" si="489"/>
        <v>#N/A</v>
      </c>
      <c r="S56" s="415" t="e">
        <f t="shared" si="489"/>
        <v>#N/A</v>
      </c>
      <c r="T56" s="415" t="e">
        <f t="shared" si="489"/>
        <v>#N/A</v>
      </c>
      <c r="U56" s="415" t="e">
        <f t="shared" si="489"/>
        <v>#N/A</v>
      </c>
      <c r="V56" s="415" t="e">
        <f t="shared" si="489"/>
        <v>#N/A</v>
      </c>
      <c r="W56" s="415" t="e">
        <f t="shared" si="489"/>
        <v>#N/A</v>
      </c>
      <c r="X56" s="415" t="e">
        <f t="shared" si="489"/>
        <v>#N/A</v>
      </c>
      <c r="Y56" s="415" t="e">
        <f t="shared" si="489"/>
        <v>#N/A</v>
      </c>
      <c r="Z56" s="415" t="e">
        <f t="shared" si="489"/>
        <v>#N/A</v>
      </c>
      <c r="AA56" s="415" t="e">
        <f t="shared" si="489"/>
        <v>#N/A</v>
      </c>
      <c r="AB56" s="415" t="e">
        <f t="shared" si="489"/>
        <v>#N/A</v>
      </c>
      <c r="AC56" s="415" t="e">
        <f t="shared" si="489"/>
        <v>#N/A</v>
      </c>
      <c r="AD56" s="415" t="e">
        <f t="shared" si="489"/>
        <v>#N/A</v>
      </c>
      <c r="AE56" s="415" t="e">
        <f t="shared" si="489"/>
        <v>#N/A</v>
      </c>
      <c r="AF56" s="415" t="e">
        <f t="shared" si="489"/>
        <v>#N/A</v>
      </c>
      <c r="AG56" s="415" t="e">
        <f t="shared" si="489"/>
        <v>#N/A</v>
      </c>
      <c r="AH56" s="415" t="e">
        <f t="shared" si="489"/>
        <v>#N/A</v>
      </c>
      <c r="AI56" s="415" t="e">
        <f t="shared" si="489"/>
        <v>#N/A</v>
      </c>
      <c r="AJ56" s="415" t="e">
        <f t="shared" si="489"/>
        <v>#N/A</v>
      </c>
      <c r="AK56" s="415" t="e">
        <f t="shared" si="489"/>
        <v>#N/A</v>
      </c>
      <c r="AL56" s="415" t="e">
        <f t="shared" si="489"/>
        <v>#N/A</v>
      </c>
      <c r="AM56" s="415" t="e">
        <f t="shared" si="489"/>
        <v>#N/A</v>
      </c>
      <c r="AN56" s="415" t="e">
        <f t="shared" si="489"/>
        <v>#N/A</v>
      </c>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N56" s="416" t="str">
        <f t="shared" si="331"/>
        <v/>
      </c>
      <c r="CO56" s="416" t="str">
        <f t="shared" si="332"/>
        <v/>
      </c>
      <c r="CP56" s="416" t="str">
        <f t="shared" si="333"/>
        <v/>
      </c>
    </row>
    <row r="57" spans="1:94" hidden="1" outlineLevel="1">
      <c r="A57" s="400" t="s">
        <v>383</v>
      </c>
      <c r="B57" s="400" t="s">
        <v>384</v>
      </c>
      <c r="C57" s="400"/>
      <c r="D57" s="400"/>
      <c r="E57" s="407" t="e">
        <f t="shared" ref="E57:AN57" si="491">IF($B$6="ON",IF(E42=covid_start-1,E53,IF(E42=covid_recovery,E53,IF(E42&gt;=covid_start,IF(E42&lt;covid_recovery,D57-(INDEX($E42:$CH55,12,MATCH(covid_start-1,$E42:$CL42,0))-INDEX($E42:$CL55,12,MATCH(covid_recovery,$E42:$CL42,0)))/(covid_recovery-covid_start+1),NA()),NA()))),NA())</f>
        <v>#N/A</v>
      </c>
      <c r="F57" s="407" t="e">
        <f t="shared" si="491"/>
        <v>#N/A</v>
      </c>
      <c r="G57" s="407" t="e">
        <f t="shared" si="491"/>
        <v>#N/A</v>
      </c>
      <c r="H57" s="407" t="e">
        <f t="shared" si="491"/>
        <v>#N/A</v>
      </c>
      <c r="I57" s="407">
        <f t="shared" ref="I57:O57" ca="1" si="492">IF($B$6="ON",IF(I42=covid_start-1,I53,IF(I42=covid_recovery,I53,IF(I42&gt;=covid_start,IF(I42&lt;covid_recovery,H57-(INDEX($E42:$CH55,12,MATCH(covid_start-1,$E42:$CL42,0))-INDEX($E42:$CL55,12,MATCH(covid_recovery,$E42:$CL42,0)))/(covid_recovery-covid_start+1),NA()),NA()))),NA())</f>
        <v>0</v>
      </c>
      <c r="J57" s="407">
        <f t="shared" ca="1" si="492"/>
        <v>0</v>
      </c>
      <c r="K57" s="407">
        <f t="shared" ca="1" si="492"/>
        <v>0</v>
      </c>
      <c r="L57" s="407">
        <f t="shared" ca="1" si="492"/>
        <v>0</v>
      </c>
      <c r="M57" s="407">
        <f t="shared" ca="1" si="492"/>
        <v>0</v>
      </c>
      <c r="N57" s="407" t="e">
        <f t="shared" si="492"/>
        <v>#N/A</v>
      </c>
      <c r="O57" s="407" t="e">
        <f t="shared" si="492"/>
        <v>#N/A</v>
      </c>
      <c r="P57" s="407" t="e">
        <f t="shared" si="491"/>
        <v>#N/A</v>
      </c>
      <c r="Q57" s="407" t="e">
        <f t="shared" si="491"/>
        <v>#N/A</v>
      </c>
      <c r="R57" s="407" t="e">
        <f t="shared" si="491"/>
        <v>#N/A</v>
      </c>
      <c r="S57" s="407" t="e">
        <f t="shared" si="491"/>
        <v>#N/A</v>
      </c>
      <c r="T57" s="407" t="e">
        <f t="shared" si="491"/>
        <v>#N/A</v>
      </c>
      <c r="U57" s="407" t="e">
        <f t="shared" si="491"/>
        <v>#N/A</v>
      </c>
      <c r="V57" s="407" t="e">
        <f t="shared" si="491"/>
        <v>#N/A</v>
      </c>
      <c r="W57" s="407" t="e">
        <f t="shared" si="491"/>
        <v>#N/A</v>
      </c>
      <c r="X57" s="407" t="e">
        <f t="shared" si="491"/>
        <v>#N/A</v>
      </c>
      <c r="Y57" s="407" t="e">
        <f t="shared" si="491"/>
        <v>#N/A</v>
      </c>
      <c r="Z57" s="407" t="e">
        <f t="shared" si="491"/>
        <v>#N/A</v>
      </c>
      <c r="AA57" s="407" t="e">
        <f t="shared" si="491"/>
        <v>#N/A</v>
      </c>
      <c r="AB57" s="407" t="e">
        <f t="shared" si="491"/>
        <v>#N/A</v>
      </c>
      <c r="AC57" s="407" t="e">
        <f t="shared" si="491"/>
        <v>#N/A</v>
      </c>
      <c r="AD57" s="407" t="e">
        <f t="shared" si="491"/>
        <v>#N/A</v>
      </c>
      <c r="AE57" s="407" t="e">
        <f t="shared" si="491"/>
        <v>#N/A</v>
      </c>
      <c r="AF57" s="407" t="e">
        <f t="shared" si="491"/>
        <v>#N/A</v>
      </c>
      <c r="AG57" s="407" t="e">
        <f t="shared" si="491"/>
        <v>#N/A</v>
      </c>
      <c r="AH57" s="407" t="e">
        <f t="shared" si="491"/>
        <v>#N/A</v>
      </c>
      <c r="AI57" s="407" t="e">
        <f t="shared" si="491"/>
        <v>#N/A</v>
      </c>
      <c r="AJ57" s="407" t="e">
        <f t="shared" si="491"/>
        <v>#N/A</v>
      </c>
      <c r="AK57" s="407" t="e">
        <f t="shared" si="491"/>
        <v>#N/A</v>
      </c>
      <c r="AL57" s="407" t="e">
        <f t="shared" si="491"/>
        <v>#N/A</v>
      </c>
      <c r="AM57" s="407" t="e">
        <f t="shared" si="491"/>
        <v>#N/A</v>
      </c>
      <c r="AN57" s="407" t="e">
        <f t="shared" si="491"/>
        <v>#N/A</v>
      </c>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N57" s="408" t="str">
        <f t="shared" si="331"/>
        <v/>
      </c>
      <c r="CO57" s="408" t="str">
        <f t="shared" si="332"/>
        <v/>
      </c>
      <c r="CP57" s="408" t="str">
        <f t="shared" si="333"/>
        <v/>
      </c>
    </row>
    <row r="58" spans="1:94" ht="17.25" collapsed="1" thickTop="1" thickBot="1">
      <c r="A58" s="383" t="s">
        <v>155</v>
      </c>
      <c r="B58" s="383"/>
      <c r="C58" s="383"/>
      <c r="D58" s="383"/>
      <c r="E58" s="385">
        <v>2015</v>
      </c>
      <c r="F58" s="386">
        <f>E58+1</f>
        <v>2016</v>
      </c>
      <c r="G58" s="386">
        <f t="shared" ref="G58:I58" si="493">F58+1</f>
        <v>2017</v>
      </c>
      <c r="H58" s="386">
        <f t="shared" si="493"/>
        <v>2018</v>
      </c>
      <c r="I58" s="386">
        <f t="shared" si="493"/>
        <v>2019</v>
      </c>
      <c r="J58" s="386">
        <f>E58+5</f>
        <v>2020</v>
      </c>
      <c r="K58" s="386">
        <f>J58+1</f>
        <v>2021</v>
      </c>
      <c r="L58" s="386">
        <f t="shared" ref="L58:N58" si="494">K58+1</f>
        <v>2022</v>
      </c>
      <c r="M58" s="386">
        <f t="shared" si="494"/>
        <v>2023</v>
      </c>
      <c r="N58" s="386">
        <f t="shared" si="494"/>
        <v>2024</v>
      </c>
      <c r="O58" s="386">
        <f>J58+5</f>
        <v>2025</v>
      </c>
      <c r="P58" s="386">
        <f>O58+1</f>
        <v>2026</v>
      </c>
      <c r="Q58" s="386">
        <f t="shared" ref="Q58:S58" si="495">P58+1</f>
        <v>2027</v>
      </c>
      <c r="R58" s="386">
        <f t="shared" si="495"/>
        <v>2028</v>
      </c>
      <c r="S58" s="386">
        <f t="shared" si="495"/>
        <v>2029</v>
      </c>
      <c r="T58" s="386">
        <f>O58+5</f>
        <v>2030</v>
      </c>
      <c r="U58" s="386">
        <f>T58+1</f>
        <v>2031</v>
      </c>
      <c r="V58" s="386">
        <f t="shared" ref="V58:X58" si="496">U58+1</f>
        <v>2032</v>
      </c>
      <c r="W58" s="386">
        <f t="shared" si="496"/>
        <v>2033</v>
      </c>
      <c r="X58" s="386">
        <f t="shared" si="496"/>
        <v>2034</v>
      </c>
      <c r="Y58" s="386">
        <f>T58+5</f>
        <v>2035</v>
      </c>
      <c r="Z58" s="386">
        <f>Y58+1</f>
        <v>2036</v>
      </c>
      <c r="AA58" s="386">
        <f t="shared" ref="AA58:AC58" si="497">Z58+1</f>
        <v>2037</v>
      </c>
      <c r="AB58" s="386">
        <f t="shared" si="497"/>
        <v>2038</v>
      </c>
      <c r="AC58" s="386">
        <f t="shared" si="497"/>
        <v>2039</v>
      </c>
      <c r="AD58" s="386">
        <f>Y58+5</f>
        <v>2040</v>
      </c>
      <c r="AE58" s="386">
        <f>AD58+1</f>
        <v>2041</v>
      </c>
      <c r="AF58" s="386">
        <f t="shared" ref="AF58:AH58" si="498">AE58+1</f>
        <v>2042</v>
      </c>
      <c r="AG58" s="386">
        <f t="shared" si="498"/>
        <v>2043</v>
      </c>
      <c r="AH58" s="386">
        <f t="shared" si="498"/>
        <v>2044</v>
      </c>
      <c r="AI58" s="386">
        <f>AD58+5</f>
        <v>2045</v>
      </c>
      <c r="AJ58" s="386">
        <f>AI58+1</f>
        <v>2046</v>
      </c>
      <c r="AK58" s="386">
        <f t="shared" ref="AK58:AM58" si="499">AJ58+1</f>
        <v>2047</v>
      </c>
      <c r="AL58" s="386">
        <f t="shared" si="499"/>
        <v>2048</v>
      </c>
      <c r="AM58" s="386">
        <f t="shared" si="499"/>
        <v>2049</v>
      </c>
      <c r="AN58" s="386">
        <f>AI58+5</f>
        <v>2050</v>
      </c>
      <c r="AO58" s="386">
        <f>AN58+1</f>
        <v>2051</v>
      </c>
      <c r="AP58" s="386">
        <f t="shared" ref="AP58:AR58" si="500">AO58+1</f>
        <v>2052</v>
      </c>
      <c r="AQ58" s="386">
        <f t="shared" si="500"/>
        <v>2053</v>
      </c>
      <c r="AR58" s="386">
        <f t="shared" si="500"/>
        <v>2054</v>
      </c>
      <c r="AS58" s="386">
        <f>AN58+5</f>
        <v>2055</v>
      </c>
      <c r="AT58" s="386">
        <f>AS58+1</f>
        <v>2056</v>
      </c>
      <c r="AU58" s="386">
        <f t="shared" ref="AU58:AW58" si="501">AT58+1</f>
        <v>2057</v>
      </c>
      <c r="AV58" s="386">
        <f t="shared" si="501"/>
        <v>2058</v>
      </c>
      <c r="AW58" s="386">
        <f t="shared" si="501"/>
        <v>2059</v>
      </c>
      <c r="AX58" s="386">
        <f>AS58+5</f>
        <v>2060</v>
      </c>
      <c r="AY58" s="386">
        <f>AX58+1</f>
        <v>2061</v>
      </c>
      <c r="AZ58" s="386">
        <f t="shared" ref="AZ58:BB58" si="502">AY58+1</f>
        <v>2062</v>
      </c>
      <c r="BA58" s="386">
        <f t="shared" si="502"/>
        <v>2063</v>
      </c>
      <c r="BB58" s="386">
        <f t="shared" si="502"/>
        <v>2064</v>
      </c>
      <c r="BC58" s="386">
        <f>AX58+5</f>
        <v>2065</v>
      </c>
      <c r="BD58" s="386">
        <f>BC58+1</f>
        <v>2066</v>
      </c>
      <c r="BE58" s="386">
        <f t="shared" ref="BE58:BG58" si="503">BD58+1</f>
        <v>2067</v>
      </c>
      <c r="BF58" s="386">
        <f t="shared" si="503"/>
        <v>2068</v>
      </c>
      <c r="BG58" s="386">
        <f t="shared" si="503"/>
        <v>2069</v>
      </c>
      <c r="BH58" s="386">
        <f>BC58+5</f>
        <v>2070</v>
      </c>
      <c r="BI58" s="386">
        <f>BH58+1</f>
        <v>2071</v>
      </c>
      <c r="BJ58" s="386">
        <f t="shared" ref="BJ58:BL58" si="504">BI58+1</f>
        <v>2072</v>
      </c>
      <c r="BK58" s="386">
        <f t="shared" si="504"/>
        <v>2073</v>
      </c>
      <c r="BL58" s="386">
        <f t="shared" si="504"/>
        <v>2074</v>
      </c>
      <c r="BM58" s="386">
        <f>BH58+5</f>
        <v>2075</v>
      </c>
      <c r="BN58" s="386">
        <f>BM58+1</f>
        <v>2076</v>
      </c>
      <c r="BO58" s="386">
        <f t="shared" ref="BO58:BQ58" si="505">BN58+1</f>
        <v>2077</v>
      </c>
      <c r="BP58" s="386">
        <f t="shared" si="505"/>
        <v>2078</v>
      </c>
      <c r="BQ58" s="386">
        <f t="shared" si="505"/>
        <v>2079</v>
      </c>
      <c r="BR58" s="386">
        <f>BM58+5</f>
        <v>2080</v>
      </c>
      <c r="BS58" s="386">
        <f>BR58+1</f>
        <v>2081</v>
      </c>
      <c r="BT58" s="386">
        <f t="shared" ref="BT58:BV58" si="506">BS58+1</f>
        <v>2082</v>
      </c>
      <c r="BU58" s="386">
        <f t="shared" si="506"/>
        <v>2083</v>
      </c>
      <c r="BV58" s="386">
        <f t="shared" si="506"/>
        <v>2084</v>
      </c>
      <c r="BW58" s="386">
        <f>BR58+5</f>
        <v>2085</v>
      </c>
      <c r="BX58" s="386">
        <f>BW58+1</f>
        <v>2086</v>
      </c>
      <c r="BY58" s="386">
        <f t="shared" ref="BY58:CA58" si="507">BX58+1</f>
        <v>2087</v>
      </c>
      <c r="BZ58" s="386">
        <f t="shared" si="507"/>
        <v>2088</v>
      </c>
      <c r="CA58" s="386">
        <f t="shared" si="507"/>
        <v>2089</v>
      </c>
      <c r="CB58" s="386">
        <f>BW58+5</f>
        <v>2090</v>
      </c>
      <c r="CC58" s="386">
        <f>CB58+1</f>
        <v>2091</v>
      </c>
      <c r="CD58" s="386">
        <f t="shared" ref="CD58:CF58" si="508">CC58+1</f>
        <v>2092</v>
      </c>
      <c r="CE58" s="386">
        <f t="shared" si="508"/>
        <v>2093</v>
      </c>
      <c r="CF58" s="386">
        <f t="shared" si="508"/>
        <v>2094</v>
      </c>
      <c r="CG58" s="386">
        <f>CB58+5</f>
        <v>2095</v>
      </c>
      <c r="CH58" s="386">
        <f>CG58+1</f>
        <v>2096</v>
      </c>
      <c r="CI58" s="386">
        <f t="shared" ref="CI58:CK58" si="509">CH58+1</f>
        <v>2097</v>
      </c>
      <c r="CJ58" s="386">
        <f t="shared" si="509"/>
        <v>2098</v>
      </c>
      <c r="CK58" s="386">
        <f t="shared" si="509"/>
        <v>2099</v>
      </c>
      <c r="CL58" s="386">
        <f>CG58+5</f>
        <v>2100</v>
      </c>
      <c r="CN58" s="387" t="s">
        <v>409</v>
      </c>
      <c r="CO58" s="387" t="s">
        <v>411</v>
      </c>
      <c r="CP58" s="387" t="s">
        <v>410</v>
      </c>
    </row>
    <row r="59" spans="1:94" ht="16.5" hidden="1" outlineLevel="1" thickTop="1">
      <c r="A59" s="388" t="s">
        <v>152</v>
      </c>
      <c r="B59" s="388" t="str">
        <f>$A$58</f>
        <v>Pax-short</v>
      </c>
      <c r="C59" s="389" t="s">
        <v>331</v>
      </c>
      <c r="D59" s="389"/>
      <c r="E59" s="390">
        <f ca="1">'SDS Calc'!E59</f>
        <v>258.63471489916907</v>
      </c>
      <c r="F59" s="531">
        <f ca="1">'SDS Calc'!F59</f>
        <v>272.16673892516815</v>
      </c>
      <c r="G59" s="531">
        <f ca="1">'SDS Calc'!G59</f>
        <v>285.69876295116723</v>
      </c>
      <c r="H59" s="531">
        <f ca="1">'SDS Calc'!H59</f>
        <v>299.2307869771663</v>
      </c>
      <c r="I59" s="531">
        <f ca="1">'SDS Calc'!I59</f>
        <v>306.49737759014187</v>
      </c>
      <c r="J59" s="531" t="e">
        <f ca="1">'SDS Calc'!J59</f>
        <v>#N/A</v>
      </c>
      <c r="K59" s="531" t="e">
        <f ca="1">'SDS Calc'!K59</f>
        <v>#N/A</v>
      </c>
      <c r="L59" s="531" t="e">
        <f ca="1">'SDS Calc'!L59</f>
        <v>#N/A</v>
      </c>
      <c r="M59" s="531">
        <f ca="1">'SDS Calc'!M59</f>
        <v>301.61327150077216</v>
      </c>
      <c r="N59" s="531">
        <f ca="1">'SDS Calc'!N59</f>
        <v>300.39224497842986</v>
      </c>
      <c r="O59" s="531">
        <f ca="1">'SDS Calc'!O59</f>
        <v>299.17121845608744</v>
      </c>
      <c r="P59" s="531">
        <f ca="1">'SDS Calc'!P59</f>
        <v>297.95019193374503</v>
      </c>
      <c r="Q59" s="531">
        <f ca="1">'SDS Calc'!Q59</f>
        <v>296.72916541140256</v>
      </c>
      <c r="R59" s="531">
        <f ca="1">'SDS Calc'!R59</f>
        <v>295.50813888906015</v>
      </c>
      <c r="S59" s="531">
        <f ca="1">'SDS Calc'!S59</f>
        <v>294.28711236671768</v>
      </c>
      <c r="T59" s="531">
        <f ca="1">'SDS Calc'!T59</f>
        <v>293.0660858443751</v>
      </c>
      <c r="U59" s="531">
        <f ca="1">'SDS Calc'!U59</f>
        <v>289.98665038153342</v>
      </c>
      <c r="V59" s="531">
        <f ca="1">IF($B$6="ON", IF(V58&gt;=covid_start, IF(V58&lt;covid_recovery,NA(),SUMIFS(INDIRECT("Data_main"&amp;"["&amp;V$8&amp;"]"),Data_main[Data],$A59, Data_main[Segment],$B59, Data_main[Scenario],$B$3)),SUMIFS(INDIRECT("Data_main"&amp;"["&amp;V$8&amp;"]"),Data_main[Data],$A59, Data_main[Segment],$B59, Data_main[Scenario],$B$3)),SUMIFS(INDIRECT("Data_main"&amp;"["&amp;V$8&amp;"]"),Data_main[Data],$A59, Data_main[Segment],$B59, Data_main[Scenario],$B$3))</f>
        <v>275.1491719695872</v>
      </c>
      <c r="W59" s="390">
        <f ca="1">IF($B$6="ON", IF(W58&gt;=covid_start, IF(W58&lt;covid_recovery,NA(),SUMIFS(INDIRECT("Data_main"&amp;"["&amp;W$8&amp;"]"),Data_main[Data],$A59, Data_main[Segment],$B59, Data_main[Scenario],$B$3)),SUMIFS(INDIRECT("Data_main"&amp;"["&amp;W$8&amp;"]"),Data_main[Data],$A59, Data_main[Segment],$B59, Data_main[Scenario],$B$3)),SUMIFS(INDIRECT("Data_main"&amp;"["&amp;W$8&amp;"]"),Data_main[Data],$A59, Data_main[Segment],$B59, Data_main[Scenario],$B$3))</f>
        <v>263.16328830920156</v>
      </c>
      <c r="X59" s="390">
        <f ca="1">IF($B$6="ON", IF(X58&gt;=covid_start, IF(X58&lt;covid_recovery,NA(),SUMIFS(INDIRECT("Data_main"&amp;"["&amp;X$8&amp;"]"),Data_main[Data],$A59, Data_main[Segment],$B59, Data_main[Scenario],$B$3)),SUMIFS(INDIRECT("Data_main"&amp;"["&amp;X$8&amp;"]"),Data_main[Data],$A59, Data_main[Segment],$B59, Data_main[Scenario],$B$3)),SUMIFS(INDIRECT("Data_main"&amp;"["&amp;X$8&amp;"]"),Data_main[Data],$A59, Data_main[Segment],$B59, Data_main[Scenario],$B$3))</f>
        <v>251.00945929834947</v>
      </c>
      <c r="Y59" s="390">
        <f ca="1">IF($B$6="ON", IF(Y58&gt;=covid_start, IF(Y58&lt;covid_recovery,NA(),SUMIFS(INDIRECT("Data_main"&amp;"["&amp;Y$8&amp;"]"),Data_main[Data],$A59, Data_main[Segment],$B59, Data_main[Scenario],$B$3)),SUMIFS(INDIRECT("Data_main"&amp;"["&amp;Y$8&amp;"]"),Data_main[Data],$A59, Data_main[Segment],$B59, Data_main[Scenario],$B$3)),SUMIFS(INDIRECT("Data_main"&amp;"["&amp;Y$8&amp;"]"),Data_main[Data],$A59, Data_main[Segment],$B59, Data_main[Scenario],$B$3))</f>
        <v>233.51675558661259</v>
      </c>
      <c r="Z59" s="390">
        <f ca="1">IF($B$6="ON", IF(Z58&gt;=covid_start, IF(Z58&lt;covid_recovery,NA(),SUMIFS(INDIRECT("Data_main"&amp;"["&amp;Z$8&amp;"]"),Data_main[Data],$A59, Data_main[Segment],$B59, Data_main[Scenario],$B$3)),SUMIFS(INDIRECT("Data_main"&amp;"["&amp;Z$8&amp;"]"),Data_main[Data],$A59, Data_main[Segment],$B59, Data_main[Scenario],$B$3)),SUMIFS(INDIRECT("Data_main"&amp;"["&amp;Z$8&amp;"]"),Data_main[Data],$A59, Data_main[Segment],$B59, Data_main[Scenario],$B$3))</f>
        <v>215.62451322081549</v>
      </c>
      <c r="AA59" s="390">
        <f ca="1">IF($B$6="ON", IF(AA58&gt;=covid_start, IF(AA58&lt;covid_recovery,NA(),SUMIFS(INDIRECT("Data_main"&amp;"["&amp;AA$8&amp;"]"),Data_main[Data],$A59, Data_main[Segment],$B59, Data_main[Scenario],$B$3)),SUMIFS(INDIRECT("Data_main"&amp;"["&amp;AA$8&amp;"]"),Data_main[Data],$A59, Data_main[Segment],$B59, Data_main[Scenario],$B$3)),SUMIFS(INDIRECT("Data_main"&amp;"["&amp;AA$8&amp;"]"),Data_main[Data],$A59, Data_main[Segment],$B59, Data_main[Scenario],$B$3))</f>
        <v>197.72166270071929</v>
      </c>
      <c r="AB59" s="390">
        <f ca="1">IF($B$6="ON", IF(AB58&gt;=covid_start, IF(AB58&lt;covid_recovery,NA(),SUMIFS(INDIRECT("Data_main"&amp;"["&amp;AB$8&amp;"]"),Data_main[Data],$A59, Data_main[Segment],$B59, Data_main[Scenario],$B$3)),SUMIFS(INDIRECT("Data_main"&amp;"["&amp;AB$8&amp;"]"),Data_main[Data],$A59, Data_main[Segment],$B59, Data_main[Scenario],$B$3)),SUMIFS(INDIRECT("Data_main"&amp;"["&amp;AB$8&amp;"]"),Data_main[Data],$A59, Data_main[Segment],$B59, Data_main[Scenario],$B$3))</f>
        <v>179.8967858283699</v>
      </c>
      <c r="AC59" s="390">
        <f ca="1">IF($B$6="ON", IF(AC58&gt;=covid_start, IF(AC58&lt;covid_recovery,NA(),SUMIFS(INDIRECT("Data_main"&amp;"["&amp;AC$8&amp;"]"),Data_main[Data],$A59, Data_main[Segment],$B59, Data_main[Scenario],$B$3)),SUMIFS(INDIRECT("Data_main"&amp;"["&amp;AC$8&amp;"]"),Data_main[Data],$A59, Data_main[Segment],$B59, Data_main[Scenario],$B$3)),SUMIFS(INDIRECT("Data_main"&amp;"["&amp;AC$8&amp;"]"),Data_main[Data],$A59, Data_main[Segment],$B59, Data_main[Scenario],$B$3))</f>
        <v>162.23509896419429</v>
      </c>
      <c r="AD59" s="390">
        <f ca="1">IF($B$6="ON", IF(AD58&gt;=covid_start, IF(AD58&lt;covid_recovery,NA(),SUMIFS(INDIRECT("Data_main"&amp;"["&amp;AD$8&amp;"]"),Data_main[Data],$A59, Data_main[Segment],$B59, Data_main[Scenario],$B$3)),SUMIFS(INDIRECT("Data_main"&amp;"["&amp;AD$8&amp;"]"),Data_main[Data],$A59, Data_main[Segment],$B59, Data_main[Scenario],$B$3)),SUMIFS(INDIRECT("Data_main"&amp;"["&amp;AD$8&amp;"]"),Data_main[Data],$A59, Data_main[Segment],$B59, Data_main[Scenario],$B$3))</f>
        <v>144.79570780310209</v>
      </c>
      <c r="AE59" s="390">
        <f ca="1">IF($B$6="ON", IF(AE58&gt;=covid_start, IF(AE58&lt;covid_recovery,NA(),SUMIFS(INDIRECT("Data_main"&amp;"["&amp;AE$8&amp;"]"),Data_main[Data],$A59, Data_main[Segment],$B59, Data_main[Scenario],$B$3)),SUMIFS(INDIRECT("Data_main"&amp;"["&amp;AE$8&amp;"]"),Data_main[Data],$A59, Data_main[Segment],$B59, Data_main[Scenario],$B$3)),SUMIFS(INDIRECT("Data_main"&amp;"["&amp;AE$8&amp;"]"),Data_main[Data],$A59, Data_main[Segment],$B59, Data_main[Scenario],$B$3))</f>
        <v>129.45277217929933</v>
      </c>
      <c r="AF59" s="390">
        <f ca="1">IF($B$6="ON", IF(AF58&gt;=covid_start, IF(AF58&lt;covid_recovery,NA(),SUMIFS(INDIRECT("Data_main"&amp;"["&amp;AF$8&amp;"]"),Data_main[Data],$A59, Data_main[Segment],$B59, Data_main[Scenario],$B$3)),SUMIFS(INDIRECT("Data_main"&amp;"["&amp;AF$8&amp;"]"),Data_main[Data],$A59, Data_main[Segment],$B59, Data_main[Scenario],$B$3)),SUMIFS(INDIRECT("Data_main"&amp;"["&amp;AF$8&amp;"]"),Data_main[Data],$A59, Data_main[Segment],$B59, Data_main[Scenario],$B$3))</f>
        <v>114.35558883815095</v>
      </c>
      <c r="AG59" s="390">
        <f ca="1">IF($B$6="ON", IF(AG58&gt;=covid_start, IF(AG58&lt;covid_recovery,NA(),SUMIFS(INDIRECT("Data_main"&amp;"["&amp;AG$8&amp;"]"),Data_main[Data],$A59, Data_main[Segment],$B59, Data_main[Scenario],$B$3)),SUMIFS(INDIRECT("Data_main"&amp;"["&amp;AG$8&amp;"]"),Data_main[Data],$A59, Data_main[Segment],$B59, Data_main[Scenario],$B$3)),SUMIFS(INDIRECT("Data_main"&amp;"["&amp;AG$8&amp;"]"),Data_main[Data],$A59, Data_main[Segment],$B59, Data_main[Scenario],$B$3))</f>
        <v>99.465412746227514</v>
      </c>
      <c r="AH59" s="390">
        <f ca="1">IF($B$6="ON", IF(AH58&gt;=covid_start, IF(AH58&lt;covid_recovery,NA(),SUMIFS(INDIRECT("Data_main"&amp;"["&amp;AH$8&amp;"]"),Data_main[Data],$A59, Data_main[Segment],$B59, Data_main[Scenario],$B$3)),SUMIFS(INDIRECT("Data_main"&amp;"["&amp;AH$8&amp;"]"),Data_main[Data],$A59, Data_main[Segment],$B59, Data_main[Scenario],$B$3)),SUMIFS(INDIRECT("Data_main"&amp;"["&amp;AH$8&amp;"]"),Data_main[Data],$A59, Data_main[Segment],$B59, Data_main[Scenario],$B$3))</f>
        <v>84.72355889329593</v>
      </c>
      <c r="AI59" s="390">
        <f ca="1">IF($B$6="ON", IF(AI58&gt;=covid_start, IF(AI58&lt;covid_recovery,NA(),SUMIFS(INDIRECT("Data_main"&amp;"["&amp;AI$8&amp;"]"),Data_main[Data],$A59, Data_main[Segment],$B59, Data_main[Scenario],$B$3)),SUMIFS(INDIRECT("Data_main"&amp;"["&amp;AI$8&amp;"]"),Data_main[Data],$A59, Data_main[Segment],$B59, Data_main[Scenario],$B$3)),SUMIFS(INDIRECT("Data_main"&amp;"["&amp;AI$8&amp;"]"),Data_main[Data],$A59, Data_main[Segment],$B59, Data_main[Scenario],$B$3))</f>
        <v>70.059933913545251</v>
      </c>
      <c r="AJ59" s="390">
        <f ca="1">IF($B$6="ON", IF(AJ58&gt;=covid_start, IF(AJ58&lt;covid_recovery,NA(),SUMIFS(INDIRECT("Data_main"&amp;"["&amp;AJ$8&amp;"]"),Data_main[Data],$A59, Data_main[Segment],$B59, Data_main[Scenario],$B$3)),SUMIFS(INDIRECT("Data_main"&amp;"["&amp;AJ$8&amp;"]"),Data_main[Data],$A59, Data_main[Segment],$B59, Data_main[Scenario],$B$3)),SUMIFS(INDIRECT("Data_main"&amp;"["&amp;AJ$8&amp;"]"),Data_main[Data],$A59, Data_main[Segment],$B59, Data_main[Scenario],$B$3))</f>
        <v>55.245148618216724</v>
      </c>
      <c r="AK59" s="390">
        <f ca="1">IF($B$6="ON", IF(AK58&gt;=covid_start, IF(AK58&lt;covid_recovery,NA(),SUMIFS(INDIRECT("Data_main"&amp;"["&amp;AK$8&amp;"]"),Data_main[Data],$A59, Data_main[Segment],$B59, Data_main[Scenario],$B$3)),SUMIFS(INDIRECT("Data_main"&amp;"["&amp;AK$8&amp;"]"),Data_main[Data],$A59, Data_main[Segment],$B59, Data_main[Scenario],$B$3)),SUMIFS(INDIRECT("Data_main"&amp;"["&amp;AK$8&amp;"]"),Data_main[Data],$A59, Data_main[Segment],$B59, Data_main[Scenario],$B$3))</f>
        <v>40.368326404253118</v>
      </c>
      <c r="AL59" s="390">
        <f ca="1">IF($B$6="ON", IF(AL58&gt;=covid_start, IF(AL58&lt;covid_recovery,NA(),SUMIFS(INDIRECT("Data_main"&amp;"["&amp;AL$8&amp;"]"),Data_main[Data],$A59, Data_main[Segment],$B59, Data_main[Scenario],$B$3)),SUMIFS(INDIRECT("Data_main"&amp;"["&amp;AL$8&amp;"]"),Data_main[Data],$A59, Data_main[Segment],$B59, Data_main[Scenario],$B$3)),SUMIFS(INDIRECT("Data_main"&amp;"["&amp;AL$8&amp;"]"),Data_main[Data],$A59, Data_main[Segment],$B59, Data_main[Scenario],$B$3))</f>
        <v>25.368048486272546</v>
      </c>
      <c r="AM59" s="390">
        <f ca="1">IF($B$6="ON", IF(AM58&gt;=covid_start, IF(AM58&lt;covid_recovery,NA(),SUMIFS(INDIRECT("Data_main"&amp;"["&amp;AM$8&amp;"]"),Data_main[Data],$A59, Data_main[Segment],$B59, Data_main[Scenario],$B$3)),SUMIFS(INDIRECT("Data_main"&amp;"["&amp;AM$8&amp;"]"),Data_main[Data],$A59, Data_main[Segment],$B59, Data_main[Scenario],$B$3)),SUMIFS(INDIRECT("Data_main"&amp;"["&amp;AM$8&amp;"]"),Data_main[Data],$A59, Data_main[Segment],$B59, Data_main[Scenario],$B$3))</f>
        <v>20.193055631111474</v>
      </c>
      <c r="AN59" s="390">
        <f ca="1">IF($B$6="ON", IF(AN58&gt;=covid_start, IF(AN58&lt;covid_recovery,NA(),SUMIFS(INDIRECT("Data_main"&amp;"["&amp;AN$8&amp;"]"),Data_main[Data],$A59, Data_main[Segment],$B59, Data_main[Scenario],$B$3)),SUMIFS(INDIRECT("Data_main"&amp;"["&amp;AN$8&amp;"]"),Data_main[Data],$A59, Data_main[Segment],$B59, Data_main[Scenario],$B$3)),SUMIFS(INDIRECT("Data_main"&amp;"["&amp;AN$8&amp;"]"),Data_main[Data],$A59, Data_main[Segment],$B59, Data_main[Scenario],$B$3))</f>
        <v>17.749128897281551</v>
      </c>
      <c r="AO59" s="390">
        <f ca="1">IF($B$6="ON", IF(AO58&gt;=covid_start, IF(AO58&lt;covid_recovery,NA(),SUMIFS(INDIRECT("Data_main"&amp;"["&amp;AO$8&amp;"]"),Data_main[Data],$A59, Data_main[Segment],$B59, Data_main[Scenario],$B$3)),SUMIFS(INDIRECT("Data_main"&amp;"["&amp;AO$8&amp;"]"),Data_main[Data],$A59, Data_main[Segment],$B59, Data_main[Scenario],$B$3)),SUMIFS(INDIRECT("Data_main"&amp;"["&amp;AO$8&amp;"]"),Data_main[Data],$A59, Data_main[Segment],$B59, Data_main[Scenario],$B$3))</f>
        <v>0</v>
      </c>
      <c r="AP59" s="390">
        <f ca="1">IF($B$6="ON", IF(AP58&gt;=covid_start, IF(AP58&lt;covid_recovery,NA(),SUMIFS(INDIRECT("Data_main"&amp;"["&amp;AP$8&amp;"]"),Data_main[Data],$A59, Data_main[Segment],$B59, Data_main[Scenario],$B$3)),SUMIFS(INDIRECT("Data_main"&amp;"["&amp;AP$8&amp;"]"),Data_main[Data],$A59, Data_main[Segment],$B59, Data_main[Scenario],$B$3)),SUMIFS(INDIRECT("Data_main"&amp;"["&amp;AP$8&amp;"]"),Data_main[Data],$A59, Data_main[Segment],$B59, Data_main[Scenario],$B$3))</f>
        <v>0</v>
      </c>
      <c r="AQ59" s="390">
        <f ca="1">IF($B$6="ON", IF(AQ58&gt;=covid_start, IF(AQ58&lt;covid_recovery,NA(),SUMIFS(INDIRECT("Data_main"&amp;"["&amp;AQ$8&amp;"]"),Data_main[Data],$A59, Data_main[Segment],$B59, Data_main[Scenario],$B$3)),SUMIFS(INDIRECT("Data_main"&amp;"["&amp;AQ$8&amp;"]"),Data_main[Data],$A59, Data_main[Segment],$B59, Data_main[Scenario],$B$3)),SUMIFS(INDIRECT("Data_main"&amp;"["&amp;AQ$8&amp;"]"),Data_main[Data],$A59, Data_main[Segment],$B59, Data_main[Scenario],$B$3))</f>
        <v>0</v>
      </c>
      <c r="AR59" s="390">
        <f ca="1">IF($B$6="ON", IF(AR58&gt;=covid_start, IF(AR58&lt;covid_recovery,NA(),SUMIFS(INDIRECT("Data_main"&amp;"["&amp;AR$8&amp;"]"),Data_main[Data],$A59, Data_main[Segment],$B59, Data_main[Scenario],$B$3)),SUMIFS(INDIRECT("Data_main"&amp;"["&amp;AR$8&amp;"]"),Data_main[Data],$A59, Data_main[Segment],$B59, Data_main[Scenario],$B$3)),SUMIFS(INDIRECT("Data_main"&amp;"["&amp;AR$8&amp;"]"),Data_main[Data],$A59, Data_main[Segment],$B59, Data_main[Scenario],$B$3))</f>
        <v>0</v>
      </c>
      <c r="AS59" s="390">
        <f ca="1">IF($B$6="ON", IF(AS58&gt;=covid_start, IF(AS58&lt;covid_recovery,NA(),SUMIFS(INDIRECT("Data_main"&amp;"["&amp;AS$8&amp;"]"),Data_main[Data],$A59, Data_main[Segment],$B59, Data_main[Scenario],$B$3)),SUMIFS(INDIRECT("Data_main"&amp;"["&amp;AS$8&amp;"]"),Data_main[Data],$A59, Data_main[Segment],$B59, Data_main[Scenario],$B$3)),SUMIFS(INDIRECT("Data_main"&amp;"["&amp;AS$8&amp;"]"),Data_main[Data],$A59, Data_main[Segment],$B59, Data_main[Scenario],$B$3))</f>
        <v>0</v>
      </c>
      <c r="AT59" s="390">
        <f ca="1">IF($B$6="ON", IF(AT58&gt;=covid_start, IF(AT58&lt;covid_recovery,NA(),SUMIFS(INDIRECT("Data_main"&amp;"["&amp;AT$8&amp;"]"),Data_main[Data],$A59, Data_main[Segment],$B59, Data_main[Scenario],$B$3)),SUMIFS(INDIRECT("Data_main"&amp;"["&amp;AT$8&amp;"]"),Data_main[Data],$A59, Data_main[Segment],$B59, Data_main[Scenario],$B$3)),SUMIFS(INDIRECT("Data_main"&amp;"["&amp;AT$8&amp;"]"),Data_main[Data],$A59, Data_main[Segment],$B59, Data_main[Scenario],$B$3))</f>
        <v>0</v>
      </c>
      <c r="AU59" s="390">
        <f ca="1">IF($B$6="ON", IF(AU58&gt;=covid_start, IF(AU58&lt;covid_recovery,NA(),SUMIFS(INDIRECT("Data_main"&amp;"["&amp;AU$8&amp;"]"),Data_main[Data],$A59, Data_main[Segment],$B59, Data_main[Scenario],$B$3)),SUMIFS(INDIRECT("Data_main"&amp;"["&amp;AU$8&amp;"]"),Data_main[Data],$A59, Data_main[Segment],$B59, Data_main[Scenario],$B$3)),SUMIFS(INDIRECT("Data_main"&amp;"["&amp;AU$8&amp;"]"),Data_main[Data],$A59, Data_main[Segment],$B59, Data_main[Scenario],$B$3))</f>
        <v>0</v>
      </c>
      <c r="AV59" s="390">
        <f ca="1">IF($B$6="ON", IF(AV58&gt;=covid_start, IF(AV58&lt;covid_recovery,NA(),SUMIFS(INDIRECT("Data_main"&amp;"["&amp;AV$8&amp;"]"),Data_main[Data],$A59, Data_main[Segment],$B59, Data_main[Scenario],$B$3)),SUMIFS(INDIRECT("Data_main"&amp;"["&amp;AV$8&amp;"]"),Data_main[Data],$A59, Data_main[Segment],$B59, Data_main[Scenario],$B$3)),SUMIFS(INDIRECT("Data_main"&amp;"["&amp;AV$8&amp;"]"),Data_main[Data],$A59, Data_main[Segment],$B59, Data_main[Scenario],$B$3))</f>
        <v>0</v>
      </c>
      <c r="AW59" s="390">
        <f ca="1">IF($B$6="ON", IF(AW58&gt;=covid_start, IF(AW58&lt;covid_recovery,NA(),SUMIFS(INDIRECT("Data_main"&amp;"["&amp;AW$8&amp;"]"),Data_main[Data],$A59, Data_main[Segment],$B59, Data_main[Scenario],$B$3)),SUMIFS(INDIRECT("Data_main"&amp;"["&amp;AW$8&amp;"]"),Data_main[Data],$A59, Data_main[Segment],$B59, Data_main[Scenario],$B$3)),SUMIFS(INDIRECT("Data_main"&amp;"["&amp;AW$8&amp;"]"),Data_main[Data],$A59, Data_main[Segment],$B59, Data_main[Scenario],$B$3))</f>
        <v>0</v>
      </c>
      <c r="AX59" s="390">
        <f ca="1">IF($B$6="ON", IF(AX58&gt;=covid_start, IF(AX58&lt;covid_recovery,NA(),SUMIFS(INDIRECT("Data_main"&amp;"["&amp;AX$8&amp;"]"),Data_main[Data],$A59, Data_main[Segment],$B59, Data_main[Scenario],$B$3)),SUMIFS(INDIRECT("Data_main"&amp;"["&amp;AX$8&amp;"]"),Data_main[Data],$A59, Data_main[Segment],$B59, Data_main[Scenario],$B$3)),SUMIFS(INDIRECT("Data_main"&amp;"["&amp;AX$8&amp;"]"),Data_main[Data],$A59, Data_main[Segment],$B59, Data_main[Scenario],$B$3))</f>
        <v>0</v>
      </c>
      <c r="AY59" s="390">
        <f ca="1">IF($B$6="ON", IF(AY58&gt;=covid_start, IF(AY58&lt;covid_recovery,NA(),SUMIFS(INDIRECT("Data_main"&amp;"["&amp;AY$8&amp;"]"),Data_main[Data],$A59, Data_main[Segment],$B59, Data_main[Scenario],$B$3)),SUMIFS(INDIRECT("Data_main"&amp;"["&amp;AY$8&amp;"]"),Data_main[Data],$A59, Data_main[Segment],$B59, Data_main[Scenario],$B$3)),SUMIFS(INDIRECT("Data_main"&amp;"["&amp;AY$8&amp;"]"),Data_main[Data],$A59, Data_main[Segment],$B59, Data_main[Scenario],$B$3))</f>
        <v>0</v>
      </c>
      <c r="AZ59" s="390">
        <f ca="1">IF($B$6="ON", IF(AZ58&gt;=covid_start, IF(AZ58&lt;covid_recovery,NA(),SUMIFS(INDIRECT("Data_main"&amp;"["&amp;AZ$8&amp;"]"),Data_main[Data],$A59, Data_main[Segment],$B59, Data_main[Scenario],$B$3)),SUMIFS(INDIRECT("Data_main"&amp;"["&amp;AZ$8&amp;"]"),Data_main[Data],$A59, Data_main[Segment],$B59, Data_main[Scenario],$B$3)),SUMIFS(INDIRECT("Data_main"&amp;"["&amp;AZ$8&amp;"]"),Data_main[Data],$A59, Data_main[Segment],$B59, Data_main[Scenario],$B$3))</f>
        <v>0</v>
      </c>
      <c r="BA59" s="390">
        <f ca="1">IF($B$6="ON", IF(BA58&gt;=covid_start, IF(BA58&lt;covid_recovery,NA(),SUMIFS(INDIRECT("Data_main"&amp;"["&amp;BA$8&amp;"]"),Data_main[Data],$A59, Data_main[Segment],$B59, Data_main[Scenario],$B$3)),SUMIFS(INDIRECT("Data_main"&amp;"["&amp;BA$8&amp;"]"),Data_main[Data],$A59, Data_main[Segment],$B59, Data_main[Scenario],$B$3)),SUMIFS(INDIRECT("Data_main"&amp;"["&amp;BA$8&amp;"]"),Data_main[Data],$A59, Data_main[Segment],$B59, Data_main[Scenario],$B$3))</f>
        <v>0</v>
      </c>
      <c r="BB59" s="390">
        <f ca="1">IF($B$6="ON", IF(BB58&gt;=covid_start, IF(BB58&lt;covid_recovery,NA(),SUMIFS(INDIRECT("Data_main"&amp;"["&amp;BB$8&amp;"]"),Data_main[Data],$A59, Data_main[Segment],$B59, Data_main[Scenario],$B$3)),SUMIFS(INDIRECT("Data_main"&amp;"["&amp;BB$8&amp;"]"),Data_main[Data],$A59, Data_main[Segment],$B59, Data_main[Scenario],$B$3)),SUMIFS(INDIRECT("Data_main"&amp;"["&amp;BB$8&amp;"]"),Data_main[Data],$A59, Data_main[Segment],$B59, Data_main[Scenario],$B$3))</f>
        <v>0</v>
      </c>
      <c r="BC59" s="390">
        <f ca="1">IF($B$6="ON", IF(BC58&gt;=covid_start, IF(BC58&lt;covid_recovery,NA(),SUMIFS(INDIRECT("Data_main"&amp;"["&amp;BC$8&amp;"]"),Data_main[Data],$A59, Data_main[Segment],$B59, Data_main[Scenario],$B$3)),SUMIFS(INDIRECT("Data_main"&amp;"["&amp;BC$8&amp;"]"),Data_main[Data],$A59, Data_main[Segment],$B59, Data_main[Scenario],$B$3)),SUMIFS(INDIRECT("Data_main"&amp;"["&amp;BC$8&amp;"]"),Data_main[Data],$A59, Data_main[Segment],$B59, Data_main[Scenario],$B$3))</f>
        <v>0</v>
      </c>
      <c r="BD59" s="390">
        <f ca="1">IF($B$6="ON", IF(BD58&gt;=covid_start, IF(BD58&lt;covid_recovery,NA(),SUMIFS(INDIRECT("Data_main"&amp;"["&amp;BD$8&amp;"]"),Data_main[Data],$A59, Data_main[Segment],$B59, Data_main[Scenario],$B$3)),SUMIFS(INDIRECT("Data_main"&amp;"["&amp;BD$8&amp;"]"),Data_main[Data],$A59, Data_main[Segment],$B59, Data_main[Scenario],$B$3)),SUMIFS(INDIRECT("Data_main"&amp;"["&amp;BD$8&amp;"]"),Data_main[Data],$A59, Data_main[Segment],$B59, Data_main[Scenario],$B$3))</f>
        <v>0</v>
      </c>
      <c r="BE59" s="390">
        <f ca="1">IF($B$6="ON", IF(BE58&gt;=covid_start, IF(BE58&lt;covid_recovery,NA(),SUMIFS(INDIRECT("Data_main"&amp;"["&amp;BE$8&amp;"]"),Data_main[Data],$A59, Data_main[Segment],$B59, Data_main[Scenario],$B$3)),SUMIFS(INDIRECT("Data_main"&amp;"["&amp;BE$8&amp;"]"),Data_main[Data],$A59, Data_main[Segment],$B59, Data_main[Scenario],$B$3)),SUMIFS(INDIRECT("Data_main"&amp;"["&amp;BE$8&amp;"]"),Data_main[Data],$A59, Data_main[Segment],$B59, Data_main[Scenario],$B$3))</f>
        <v>0</v>
      </c>
      <c r="BF59" s="390">
        <f ca="1">IF($B$6="ON", IF(BF58&gt;=covid_start, IF(BF58&lt;covid_recovery,NA(),SUMIFS(INDIRECT("Data_main"&amp;"["&amp;BF$8&amp;"]"),Data_main[Data],$A59, Data_main[Segment],$B59, Data_main[Scenario],$B$3)),SUMIFS(INDIRECT("Data_main"&amp;"["&amp;BF$8&amp;"]"),Data_main[Data],$A59, Data_main[Segment],$B59, Data_main[Scenario],$B$3)),SUMIFS(INDIRECT("Data_main"&amp;"["&amp;BF$8&amp;"]"),Data_main[Data],$A59, Data_main[Segment],$B59, Data_main[Scenario],$B$3))</f>
        <v>0</v>
      </c>
      <c r="BG59" s="390">
        <f ca="1">IF($B$6="ON", IF(BG58&gt;=covid_start, IF(BG58&lt;covid_recovery,NA(),SUMIFS(INDIRECT("Data_main"&amp;"["&amp;BG$8&amp;"]"),Data_main[Data],$A59, Data_main[Segment],$B59, Data_main[Scenario],$B$3)),SUMIFS(INDIRECT("Data_main"&amp;"["&amp;BG$8&amp;"]"),Data_main[Data],$A59, Data_main[Segment],$B59, Data_main[Scenario],$B$3)),SUMIFS(INDIRECT("Data_main"&amp;"["&amp;BG$8&amp;"]"),Data_main[Data],$A59, Data_main[Segment],$B59, Data_main[Scenario],$B$3))</f>
        <v>0</v>
      </c>
      <c r="BH59" s="390">
        <f ca="1">IF($B$6="ON", IF(BH58&gt;=covid_start, IF(BH58&lt;covid_recovery,NA(),SUMIFS(INDIRECT("Data_main"&amp;"["&amp;BH$8&amp;"]"),Data_main[Data],$A59, Data_main[Segment],$B59, Data_main[Scenario],$B$3)),SUMIFS(INDIRECT("Data_main"&amp;"["&amp;BH$8&amp;"]"),Data_main[Data],$A59, Data_main[Segment],$B59, Data_main[Scenario],$B$3)),SUMIFS(INDIRECT("Data_main"&amp;"["&amp;BH$8&amp;"]"),Data_main[Data],$A59, Data_main[Segment],$B59, Data_main[Scenario],$B$3))</f>
        <v>0</v>
      </c>
      <c r="BI59" s="390">
        <f ca="1">IF($B$6="ON", IF(BI58&gt;=covid_start, IF(BI58&lt;covid_recovery,NA(),SUMIFS(INDIRECT("Data_main"&amp;"["&amp;BI$8&amp;"]"),Data_main[Data],$A59, Data_main[Segment],$B59, Data_main[Scenario],$B$3)),SUMIFS(INDIRECT("Data_main"&amp;"["&amp;BI$8&amp;"]"),Data_main[Data],$A59, Data_main[Segment],$B59, Data_main[Scenario],$B$3)),SUMIFS(INDIRECT("Data_main"&amp;"["&amp;BI$8&amp;"]"),Data_main[Data],$A59, Data_main[Segment],$B59, Data_main[Scenario],$B$3))</f>
        <v>0</v>
      </c>
      <c r="BJ59" s="390">
        <f ca="1">IF($B$6="ON", IF(BJ58&gt;=covid_start, IF(BJ58&lt;covid_recovery,NA(),SUMIFS(INDIRECT("Data_main"&amp;"["&amp;BJ$8&amp;"]"),Data_main[Data],$A59, Data_main[Segment],$B59, Data_main[Scenario],$B$3)),SUMIFS(INDIRECT("Data_main"&amp;"["&amp;BJ$8&amp;"]"),Data_main[Data],$A59, Data_main[Segment],$B59, Data_main[Scenario],$B$3)),SUMIFS(INDIRECT("Data_main"&amp;"["&amp;BJ$8&amp;"]"),Data_main[Data],$A59, Data_main[Segment],$B59, Data_main[Scenario],$B$3))</f>
        <v>0</v>
      </c>
      <c r="BK59" s="390">
        <f ca="1">IF($B$6="ON", IF(BK58&gt;=covid_start, IF(BK58&lt;covid_recovery,NA(),SUMIFS(INDIRECT("Data_main"&amp;"["&amp;BK$8&amp;"]"),Data_main[Data],$A59, Data_main[Segment],$B59, Data_main[Scenario],$B$3)),SUMIFS(INDIRECT("Data_main"&amp;"["&amp;BK$8&amp;"]"),Data_main[Data],$A59, Data_main[Segment],$B59, Data_main[Scenario],$B$3)),SUMIFS(INDIRECT("Data_main"&amp;"["&amp;BK$8&amp;"]"),Data_main[Data],$A59, Data_main[Segment],$B59, Data_main[Scenario],$B$3))</f>
        <v>0</v>
      </c>
      <c r="BL59" s="390">
        <f ca="1">IF($B$6="ON", IF(BL58&gt;=covid_start, IF(BL58&lt;covid_recovery,NA(),SUMIFS(INDIRECT("Data_main"&amp;"["&amp;BL$8&amp;"]"),Data_main[Data],$A59, Data_main[Segment],$B59, Data_main[Scenario],$B$3)),SUMIFS(INDIRECT("Data_main"&amp;"["&amp;BL$8&amp;"]"),Data_main[Data],$A59, Data_main[Segment],$B59, Data_main[Scenario],$B$3)),SUMIFS(INDIRECT("Data_main"&amp;"["&amp;BL$8&amp;"]"),Data_main[Data],$A59, Data_main[Segment],$B59, Data_main[Scenario],$B$3))</f>
        <v>0</v>
      </c>
      <c r="BM59" s="390">
        <f ca="1">IF($B$6="ON", IF(BM58&gt;=covid_start, IF(BM58&lt;covid_recovery,NA(),SUMIFS(INDIRECT("Data_main"&amp;"["&amp;BM$8&amp;"]"),Data_main[Data],$A59, Data_main[Segment],$B59, Data_main[Scenario],$B$3)),SUMIFS(INDIRECT("Data_main"&amp;"["&amp;BM$8&amp;"]"),Data_main[Data],$A59, Data_main[Segment],$B59, Data_main[Scenario],$B$3)),SUMIFS(INDIRECT("Data_main"&amp;"["&amp;BM$8&amp;"]"),Data_main[Data],$A59, Data_main[Segment],$B59, Data_main[Scenario],$B$3))</f>
        <v>0</v>
      </c>
      <c r="BN59" s="390">
        <f ca="1">IF($B$6="ON", IF(BN58&gt;=covid_start, IF(BN58&lt;covid_recovery,NA(),SUMIFS(INDIRECT("Data_main"&amp;"["&amp;BN$8&amp;"]"),Data_main[Data],$A59, Data_main[Segment],$B59, Data_main[Scenario],$B$3)),SUMIFS(INDIRECT("Data_main"&amp;"["&amp;BN$8&amp;"]"),Data_main[Data],$A59, Data_main[Segment],$B59, Data_main[Scenario],$B$3)),SUMIFS(INDIRECT("Data_main"&amp;"["&amp;BN$8&amp;"]"),Data_main[Data],$A59, Data_main[Segment],$B59, Data_main[Scenario],$B$3))</f>
        <v>0</v>
      </c>
      <c r="BO59" s="390">
        <f ca="1">IF($B$6="ON", IF(BO58&gt;=covid_start, IF(BO58&lt;covid_recovery,NA(),SUMIFS(INDIRECT("Data_main"&amp;"["&amp;BO$8&amp;"]"),Data_main[Data],$A59, Data_main[Segment],$B59, Data_main[Scenario],$B$3)),SUMIFS(INDIRECT("Data_main"&amp;"["&amp;BO$8&amp;"]"),Data_main[Data],$A59, Data_main[Segment],$B59, Data_main[Scenario],$B$3)),SUMIFS(INDIRECT("Data_main"&amp;"["&amp;BO$8&amp;"]"),Data_main[Data],$A59, Data_main[Segment],$B59, Data_main[Scenario],$B$3))</f>
        <v>0</v>
      </c>
      <c r="BP59" s="390">
        <f ca="1">IF($B$6="ON", IF(BP58&gt;=covid_start, IF(BP58&lt;covid_recovery,NA(),SUMIFS(INDIRECT("Data_main"&amp;"["&amp;BP$8&amp;"]"),Data_main[Data],$A59, Data_main[Segment],$B59, Data_main[Scenario],$B$3)),SUMIFS(INDIRECT("Data_main"&amp;"["&amp;BP$8&amp;"]"),Data_main[Data],$A59, Data_main[Segment],$B59, Data_main[Scenario],$B$3)),SUMIFS(INDIRECT("Data_main"&amp;"["&amp;BP$8&amp;"]"),Data_main[Data],$A59, Data_main[Segment],$B59, Data_main[Scenario],$B$3))</f>
        <v>0</v>
      </c>
      <c r="BQ59" s="390">
        <f ca="1">IF($B$6="ON", IF(BQ58&gt;=covid_start, IF(BQ58&lt;covid_recovery,NA(),SUMIFS(INDIRECT("Data_main"&amp;"["&amp;BQ$8&amp;"]"),Data_main[Data],$A59, Data_main[Segment],$B59, Data_main[Scenario],$B$3)),SUMIFS(INDIRECT("Data_main"&amp;"["&amp;BQ$8&amp;"]"),Data_main[Data],$A59, Data_main[Segment],$B59, Data_main[Scenario],$B$3)),SUMIFS(INDIRECT("Data_main"&amp;"["&amp;BQ$8&amp;"]"),Data_main[Data],$A59, Data_main[Segment],$B59, Data_main[Scenario],$B$3))</f>
        <v>0</v>
      </c>
      <c r="BR59" s="390">
        <f ca="1">IF($B$6="ON", IF(BR58&gt;=covid_start, IF(BR58&lt;covid_recovery,NA(),SUMIFS(INDIRECT("Data_main"&amp;"["&amp;BR$8&amp;"]"),Data_main[Data],$A59, Data_main[Segment],$B59, Data_main[Scenario],$B$3)),SUMIFS(INDIRECT("Data_main"&amp;"["&amp;BR$8&amp;"]"),Data_main[Data],$A59, Data_main[Segment],$B59, Data_main[Scenario],$B$3)),SUMIFS(INDIRECT("Data_main"&amp;"["&amp;BR$8&amp;"]"),Data_main[Data],$A59, Data_main[Segment],$B59, Data_main[Scenario],$B$3))</f>
        <v>0</v>
      </c>
      <c r="BS59" s="390">
        <f ca="1">IF($B$6="ON", IF(BS58&gt;=covid_start, IF(BS58&lt;covid_recovery,NA(),SUMIFS(INDIRECT("Data_main"&amp;"["&amp;BS$8&amp;"]"),Data_main[Data],$A59, Data_main[Segment],$B59, Data_main[Scenario],$B$3)),SUMIFS(INDIRECT("Data_main"&amp;"["&amp;BS$8&amp;"]"),Data_main[Data],$A59, Data_main[Segment],$B59, Data_main[Scenario],$B$3)),SUMIFS(INDIRECT("Data_main"&amp;"["&amp;BS$8&amp;"]"),Data_main[Data],$A59, Data_main[Segment],$B59, Data_main[Scenario],$B$3))</f>
        <v>0</v>
      </c>
      <c r="BT59" s="390">
        <f ca="1">IF($B$6="ON", IF(BT58&gt;=covid_start, IF(BT58&lt;covid_recovery,NA(),SUMIFS(INDIRECT("Data_main"&amp;"["&amp;BT$8&amp;"]"),Data_main[Data],$A59, Data_main[Segment],$B59, Data_main[Scenario],$B$3)),SUMIFS(INDIRECT("Data_main"&amp;"["&amp;BT$8&amp;"]"),Data_main[Data],$A59, Data_main[Segment],$B59, Data_main[Scenario],$B$3)),SUMIFS(INDIRECT("Data_main"&amp;"["&amp;BT$8&amp;"]"),Data_main[Data],$A59, Data_main[Segment],$B59, Data_main[Scenario],$B$3))</f>
        <v>0</v>
      </c>
      <c r="BU59" s="390">
        <f ca="1">IF($B$6="ON", IF(BU58&gt;=covid_start, IF(BU58&lt;covid_recovery,NA(),SUMIFS(INDIRECT("Data_main"&amp;"["&amp;BU$8&amp;"]"),Data_main[Data],$A59, Data_main[Segment],$B59, Data_main[Scenario],$B$3)),SUMIFS(INDIRECT("Data_main"&amp;"["&amp;BU$8&amp;"]"),Data_main[Data],$A59, Data_main[Segment],$B59, Data_main[Scenario],$B$3)),SUMIFS(INDIRECT("Data_main"&amp;"["&amp;BU$8&amp;"]"),Data_main[Data],$A59, Data_main[Segment],$B59, Data_main[Scenario],$B$3))</f>
        <v>0</v>
      </c>
      <c r="BV59" s="390">
        <f ca="1">IF($B$6="ON", IF(BV58&gt;=covid_start, IF(BV58&lt;covid_recovery,NA(),SUMIFS(INDIRECT("Data_main"&amp;"["&amp;BV$8&amp;"]"),Data_main[Data],$A59, Data_main[Segment],$B59, Data_main[Scenario],$B$3)),SUMIFS(INDIRECT("Data_main"&amp;"["&amp;BV$8&amp;"]"),Data_main[Data],$A59, Data_main[Segment],$B59, Data_main[Scenario],$B$3)),SUMIFS(INDIRECT("Data_main"&amp;"["&amp;BV$8&amp;"]"),Data_main[Data],$A59, Data_main[Segment],$B59, Data_main[Scenario],$B$3))</f>
        <v>0</v>
      </c>
      <c r="BW59" s="390">
        <f ca="1">IF($B$6="ON", IF(BW58&gt;=covid_start, IF(BW58&lt;covid_recovery,NA(),SUMIFS(INDIRECT("Data_main"&amp;"["&amp;BW$8&amp;"]"),Data_main[Data],$A59, Data_main[Segment],$B59, Data_main[Scenario],$B$3)),SUMIFS(INDIRECT("Data_main"&amp;"["&amp;BW$8&amp;"]"),Data_main[Data],$A59, Data_main[Segment],$B59, Data_main[Scenario],$B$3)),SUMIFS(INDIRECT("Data_main"&amp;"["&amp;BW$8&amp;"]"),Data_main[Data],$A59, Data_main[Segment],$B59, Data_main[Scenario],$B$3))</f>
        <v>0</v>
      </c>
      <c r="BX59" s="390">
        <f ca="1">IF($B$6="ON", IF(BX58&gt;=covid_start, IF(BX58&lt;covid_recovery,NA(),SUMIFS(INDIRECT("Data_main"&amp;"["&amp;BX$8&amp;"]"),Data_main[Data],$A59, Data_main[Segment],$B59, Data_main[Scenario],$B$3)),SUMIFS(INDIRECT("Data_main"&amp;"["&amp;BX$8&amp;"]"),Data_main[Data],$A59, Data_main[Segment],$B59, Data_main[Scenario],$B$3)),SUMIFS(INDIRECT("Data_main"&amp;"["&amp;BX$8&amp;"]"),Data_main[Data],$A59, Data_main[Segment],$B59, Data_main[Scenario],$B$3))</f>
        <v>0</v>
      </c>
      <c r="BY59" s="390">
        <f ca="1">IF($B$6="ON", IF(BY58&gt;=covid_start, IF(BY58&lt;covid_recovery,NA(),SUMIFS(INDIRECT("Data_main"&amp;"["&amp;BY$8&amp;"]"),Data_main[Data],$A59, Data_main[Segment],$B59, Data_main[Scenario],$B$3)),SUMIFS(INDIRECT("Data_main"&amp;"["&amp;BY$8&amp;"]"),Data_main[Data],$A59, Data_main[Segment],$B59, Data_main[Scenario],$B$3)),SUMIFS(INDIRECT("Data_main"&amp;"["&amp;BY$8&amp;"]"),Data_main[Data],$A59, Data_main[Segment],$B59, Data_main[Scenario],$B$3))</f>
        <v>0</v>
      </c>
      <c r="BZ59" s="390">
        <f ca="1">IF($B$6="ON", IF(BZ58&gt;=covid_start, IF(BZ58&lt;covid_recovery,NA(),SUMIFS(INDIRECT("Data_main"&amp;"["&amp;BZ$8&amp;"]"),Data_main[Data],$A59, Data_main[Segment],$B59, Data_main[Scenario],$B$3)),SUMIFS(INDIRECT("Data_main"&amp;"["&amp;BZ$8&amp;"]"),Data_main[Data],$A59, Data_main[Segment],$B59, Data_main[Scenario],$B$3)),SUMIFS(INDIRECT("Data_main"&amp;"["&amp;BZ$8&amp;"]"),Data_main[Data],$A59, Data_main[Segment],$B59, Data_main[Scenario],$B$3))</f>
        <v>0</v>
      </c>
      <c r="CA59" s="390">
        <f ca="1">IF($B$6="ON", IF(CA58&gt;=covid_start, IF(CA58&lt;covid_recovery,NA(),SUMIFS(INDIRECT("Data_main"&amp;"["&amp;CA$8&amp;"]"),Data_main[Data],$A59, Data_main[Segment],$B59, Data_main[Scenario],$B$3)),SUMIFS(INDIRECT("Data_main"&amp;"["&amp;CA$8&amp;"]"),Data_main[Data],$A59, Data_main[Segment],$B59, Data_main[Scenario],$B$3)),SUMIFS(INDIRECT("Data_main"&amp;"["&amp;CA$8&amp;"]"),Data_main[Data],$A59, Data_main[Segment],$B59, Data_main[Scenario],$B$3))</f>
        <v>0</v>
      </c>
      <c r="CB59" s="390">
        <f ca="1">IF($B$6="ON", IF(CB58&gt;=covid_start, IF(CB58&lt;covid_recovery,NA(),SUMIFS(INDIRECT("Data_main"&amp;"["&amp;CB$8&amp;"]"),Data_main[Data],$A59, Data_main[Segment],$B59, Data_main[Scenario],$B$3)),SUMIFS(INDIRECT("Data_main"&amp;"["&amp;CB$8&amp;"]"),Data_main[Data],$A59, Data_main[Segment],$B59, Data_main[Scenario],$B$3)),SUMIFS(INDIRECT("Data_main"&amp;"["&amp;CB$8&amp;"]"),Data_main[Data],$A59, Data_main[Segment],$B59, Data_main[Scenario],$B$3))</f>
        <v>0</v>
      </c>
      <c r="CC59" s="390">
        <f ca="1">IF($B$6="ON", IF(CC58&gt;=covid_start, IF(CC58&lt;covid_recovery,NA(),SUMIFS(INDIRECT("Data_main"&amp;"["&amp;CC$8&amp;"]"),Data_main[Data],$A59, Data_main[Segment],$B59, Data_main[Scenario],$B$3)),SUMIFS(INDIRECT("Data_main"&amp;"["&amp;CC$8&amp;"]"),Data_main[Data],$A59, Data_main[Segment],$B59, Data_main[Scenario],$B$3)),SUMIFS(INDIRECT("Data_main"&amp;"["&amp;CC$8&amp;"]"),Data_main[Data],$A59, Data_main[Segment],$B59, Data_main[Scenario],$B$3))</f>
        <v>0</v>
      </c>
      <c r="CD59" s="390">
        <f ca="1">IF($B$6="ON", IF(CD58&gt;=covid_start, IF(CD58&lt;covid_recovery,NA(),SUMIFS(INDIRECT("Data_main"&amp;"["&amp;CD$8&amp;"]"),Data_main[Data],$A59, Data_main[Segment],$B59, Data_main[Scenario],$B$3)),SUMIFS(INDIRECT("Data_main"&amp;"["&amp;CD$8&amp;"]"),Data_main[Data],$A59, Data_main[Segment],$B59, Data_main[Scenario],$B$3)),SUMIFS(INDIRECT("Data_main"&amp;"["&amp;CD$8&amp;"]"),Data_main[Data],$A59, Data_main[Segment],$B59, Data_main[Scenario],$B$3))</f>
        <v>0</v>
      </c>
      <c r="CE59" s="390">
        <f ca="1">IF($B$6="ON", IF(CE58&gt;=covid_start, IF(CE58&lt;covid_recovery,NA(),SUMIFS(INDIRECT("Data_main"&amp;"["&amp;CE$8&amp;"]"),Data_main[Data],$A59, Data_main[Segment],$B59, Data_main[Scenario],$B$3)),SUMIFS(INDIRECT("Data_main"&amp;"["&amp;CE$8&amp;"]"),Data_main[Data],$A59, Data_main[Segment],$B59, Data_main[Scenario],$B$3)),SUMIFS(INDIRECT("Data_main"&amp;"["&amp;CE$8&amp;"]"),Data_main[Data],$A59, Data_main[Segment],$B59, Data_main[Scenario],$B$3))</f>
        <v>0</v>
      </c>
      <c r="CF59" s="390">
        <f ca="1">IF($B$6="ON", IF(CF58&gt;=covid_start, IF(CF58&lt;covid_recovery,NA(),SUMIFS(INDIRECT("Data_main"&amp;"["&amp;CF$8&amp;"]"),Data_main[Data],$A59, Data_main[Segment],$B59, Data_main[Scenario],$B$3)),SUMIFS(INDIRECT("Data_main"&amp;"["&amp;CF$8&amp;"]"),Data_main[Data],$A59, Data_main[Segment],$B59, Data_main[Scenario],$B$3)),SUMIFS(INDIRECT("Data_main"&amp;"["&amp;CF$8&amp;"]"),Data_main[Data],$A59, Data_main[Segment],$B59, Data_main[Scenario],$B$3))</f>
        <v>0</v>
      </c>
      <c r="CG59" s="390">
        <f ca="1">IF($B$6="ON", IF(CG58&gt;=covid_start, IF(CG58&lt;covid_recovery,NA(),SUMIFS(INDIRECT("Data_main"&amp;"["&amp;CG$8&amp;"]"),Data_main[Data],$A59, Data_main[Segment],$B59, Data_main[Scenario],$B$3)),SUMIFS(INDIRECT("Data_main"&amp;"["&amp;CG$8&amp;"]"),Data_main[Data],$A59, Data_main[Segment],$B59, Data_main[Scenario],$B$3)),SUMIFS(INDIRECT("Data_main"&amp;"["&amp;CG$8&amp;"]"),Data_main[Data],$A59, Data_main[Segment],$B59, Data_main[Scenario],$B$3))</f>
        <v>0</v>
      </c>
      <c r="CH59" s="390">
        <f ca="1">IF($B$6="ON", IF(CH58&gt;=covid_start, IF(CH58&lt;covid_recovery,NA(),SUMIFS(INDIRECT("Data_main"&amp;"["&amp;CH$8&amp;"]"),Data_main[Data],$A59, Data_main[Segment],$B59, Data_main[Scenario],$B$3)),SUMIFS(INDIRECT("Data_main"&amp;"["&amp;CH$8&amp;"]"),Data_main[Data],$A59, Data_main[Segment],$B59, Data_main[Scenario],$B$3)),SUMIFS(INDIRECT("Data_main"&amp;"["&amp;CH$8&amp;"]"),Data_main[Data],$A59, Data_main[Segment],$B59, Data_main[Scenario],$B$3))</f>
        <v>0</v>
      </c>
      <c r="CI59" s="390">
        <f ca="1">IF($B$6="ON", IF(CI58&gt;=covid_start, IF(CI58&lt;covid_recovery,NA(),SUMIFS(INDIRECT("Data_main"&amp;"["&amp;CI$8&amp;"]"),Data_main[Data],$A59, Data_main[Segment],$B59, Data_main[Scenario],$B$3)),SUMIFS(INDIRECT("Data_main"&amp;"["&amp;CI$8&amp;"]"),Data_main[Data],$A59, Data_main[Segment],$B59, Data_main[Scenario],$B$3)),SUMIFS(INDIRECT("Data_main"&amp;"["&amp;CI$8&amp;"]"),Data_main[Data],$A59, Data_main[Segment],$B59, Data_main[Scenario],$B$3))</f>
        <v>0</v>
      </c>
      <c r="CJ59" s="390">
        <f ca="1">IF($B$6="ON", IF(CJ58&gt;=covid_start, IF(CJ58&lt;covid_recovery,NA(),SUMIFS(INDIRECT("Data_main"&amp;"["&amp;CJ$8&amp;"]"),Data_main[Data],$A59, Data_main[Segment],$B59, Data_main[Scenario],$B$3)),SUMIFS(INDIRECT("Data_main"&amp;"["&amp;CJ$8&amp;"]"),Data_main[Data],$A59, Data_main[Segment],$B59, Data_main[Scenario],$B$3)),SUMIFS(INDIRECT("Data_main"&amp;"["&amp;CJ$8&amp;"]"),Data_main[Data],$A59, Data_main[Segment],$B59, Data_main[Scenario],$B$3))</f>
        <v>0</v>
      </c>
      <c r="CK59" s="390">
        <f ca="1">IF($B$6="ON", IF(CK58&gt;=covid_start, IF(CK58&lt;covid_recovery,NA(),SUMIFS(INDIRECT("Data_main"&amp;"["&amp;CK$8&amp;"]"),Data_main[Data],$A59, Data_main[Segment],$B59, Data_main[Scenario],$B$3)),SUMIFS(INDIRECT("Data_main"&amp;"["&amp;CK$8&amp;"]"),Data_main[Data],$A59, Data_main[Segment],$B59, Data_main[Scenario],$B$3)),SUMIFS(INDIRECT("Data_main"&amp;"["&amp;CK$8&amp;"]"),Data_main[Data],$A59, Data_main[Segment],$B59, Data_main[Scenario],$B$3))</f>
        <v>0</v>
      </c>
      <c r="CL59" s="390">
        <f ca="1">IF($B$6="ON", IF(CL58&gt;=covid_start, IF(CL58&lt;covid_recovery,NA(),SUMIFS(INDIRECT("Data_main"&amp;"["&amp;CL$8&amp;"]"),Data_main[Data],$A59, Data_main[Segment],$B59, Data_main[Scenario],$B$3)),SUMIFS(INDIRECT("Data_main"&amp;"["&amp;CL$8&amp;"]"),Data_main[Data],$A59, Data_main[Segment],$B59, Data_main[Scenario],$B$3)),SUMIFS(INDIRECT("Data_main"&amp;"["&amp;CL$8&amp;"]"),Data_main[Data],$A59, Data_main[Segment],$B59, Data_main[Scenario],$B$3))</f>
        <v>0</v>
      </c>
      <c r="CN59" s="391">
        <f ca="1">IFERROR((Y59/H59)^(1/17)-1,"")</f>
        <v>-1.4480099360075882E-2</v>
      </c>
      <c r="CO59" s="391">
        <f ca="1">IFERROR((AN59/Y59)^(1/15)-1,"")</f>
        <v>-0.15784777640450376</v>
      </c>
      <c r="CP59" s="391">
        <f ca="1">IFERROR((AN59/H59)^(1/32)-1,"")</f>
        <v>-8.4493174469676968E-2</v>
      </c>
    </row>
    <row r="60" spans="1:94" hidden="1" outlineLevel="1">
      <c r="A60" s="392" t="s">
        <v>157</v>
      </c>
      <c r="B60" s="392" t="str">
        <f t="shared" ref="B60:B61" si="510">$A$58</f>
        <v>Pax-short</v>
      </c>
      <c r="C60" s="393" t="s">
        <v>332</v>
      </c>
      <c r="D60" s="389"/>
      <c r="E60" s="390">
        <f ca="1">'SDS Calc'!E60</f>
        <v>184.59780180725991</v>
      </c>
      <c r="F60" s="531">
        <f ca="1">'SDS Calc'!F60</f>
        <v>198.00740206971611</v>
      </c>
      <c r="G60" s="531">
        <f ca="1">'SDS Calc'!G60</f>
        <v>211.4170023321723</v>
      </c>
      <c r="H60" s="531">
        <f ca="1">'SDS Calc'!H60</f>
        <v>224.82660259462847</v>
      </c>
      <c r="I60" s="531">
        <f ca="1">'SDS Calc'!I60</f>
        <v>235.1940156949546</v>
      </c>
      <c r="J60" s="531" t="e">
        <f ca="1">'SDS Calc'!J60</f>
        <v>#N/A</v>
      </c>
      <c r="K60" s="531" t="e">
        <f ca="1">'SDS Calc'!K60</f>
        <v>#N/A</v>
      </c>
      <c r="L60" s="531" t="e">
        <f ca="1">'SDS Calc'!L60</f>
        <v>#N/A</v>
      </c>
      <c r="M60" s="531">
        <f ca="1">'SDS Calc'!M60</f>
        <v>265.76821442260973</v>
      </c>
      <c r="N60" s="531">
        <f ca="1">'SDS Calc'!N60</f>
        <v>273.41176410452351</v>
      </c>
      <c r="O60" s="531">
        <f ca="1">'SDS Calc'!O60</f>
        <v>281.05531378643724</v>
      </c>
      <c r="P60" s="531">
        <f ca="1">'SDS Calc'!P60</f>
        <v>288.69886346835102</v>
      </c>
      <c r="Q60" s="531">
        <f ca="1">'SDS Calc'!Q60</f>
        <v>296.3424131502648</v>
      </c>
      <c r="R60" s="531">
        <f ca="1">'SDS Calc'!R60</f>
        <v>303.98596283217853</v>
      </c>
      <c r="S60" s="531">
        <f ca="1">'SDS Calc'!S60</f>
        <v>311.62951251409231</v>
      </c>
      <c r="T60" s="531">
        <f ca="1">'SDS Calc'!T60</f>
        <v>319.27306219600632</v>
      </c>
      <c r="U60" s="531">
        <f ca="1">'SDS Calc'!U60</f>
        <v>328.96562167371906</v>
      </c>
      <c r="V60" s="531">
        <f ca="1">IF($B$6="ON", IF(V58&gt;=covid_start, IF(V58&lt;covid_recovery,NA(),SUMIFS(INDIRECT("Data_main"&amp;"["&amp;V$8&amp;"]"),Data_main[Data],$A60, Data_main[Segment],$B60, Data_main[Scenario],$B$3)),SUMIFS(INDIRECT("Data_main"&amp;"["&amp;V$8&amp;"]"),Data_main[Data],$A60, Data_main[Segment],$B60, Data_main[Scenario],$B$3)),SUMIFS(INDIRECT("Data_main"&amp;"["&amp;V$8&amp;"]"),Data_main[Data],$A60, Data_main[Segment],$B60, Data_main[Scenario],$B$3))</f>
        <v>333.51310901636816</v>
      </c>
      <c r="W60" s="390">
        <f ca="1">IF($B$6="ON", IF(W58&gt;=covid_start, IF(W58&lt;covid_recovery,NA(),SUMIFS(INDIRECT("Data_main"&amp;"["&amp;W$8&amp;"]"),Data_main[Data],$A60, Data_main[Segment],$B60, Data_main[Scenario],$B$3)),SUMIFS(INDIRECT("Data_main"&amp;"["&amp;W$8&amp;"]"),Data_main[Data],$A60, Data_main[Segment],$B60, Data_main[Scenario],$B$3)),SUMIFS(INDIRECT("Data_main"&amp;"["&amp;W$8&amp;"]"),Data_main[Data],$A60, Data_main[Segment],$B60, Data_main[Scenario],$B$3))</f>
        <v>342.39674889692867</v>
      </c>
      <c r="X60" s="390">
        <f ca="1">IF($B$6="ON", IF(X58&gt;=covid_start, IF(X58&lt;covid_recovery,NA(),SUMIFS(INDIRECT("Data_main"&amp;"["&amp;X$8&amp;"]"),Data_main[Data],$A60, Data_main[Segment],$B60, Data_main[Scenario],$B$3)),SUMIFS(INDIRECT("Data_main"&amp;"["&amp;X$8&amp;"]"),Data_main[Data],$A60, Data_main[Segment],$B60, Data_main[Scenario],$B$3)),SUMIFS(INDIRECT("Data_main"&amp;"["&amp;X$8&amp;"]"),Data_main[Data],$A60, Data_main[Segment],$B60, Data_main[Scenario],$B$3))</f>
        <v>351.51857238636774</v>
      </c>
      <c r="Y60" s="390">
        <f ca="1">IF($B$6="ON", IF(Y58&gt;=covid_start, IF(Y58&lt;covid_recovery,NA(),SUMIFS(INDIRECT("Data_main"&amp;"["&amp;Y$8&amp;"]"),Data_main[Data],$A60, Data_main[Segment],$B60, Data_main[Scenario],$B$3)),SUMIFS(INDIRECT("Data_main"&amp;"["&amp;Y$8&amp;"]"),Data_main[Data],$A60, Data_main[Segment],$B60, Data_main[Scenario],$B$3)),SUMIFS(INDIRECT("Data_main"&amp;"["&amp;Y$8&amp;"]"),Data_main[Data],$A60, Data_main[Segment],$B60, Data_main[Scenario],$B$3))</f>
        <v>360.80129707648052</v>
      </c>
      <c r="Z60" s="390">
        <f ca="1">IF($B$6="ON", IF(Z58&gt;=covid_start, IF(Z58&lt;covid_recovery,NA(),SUMIFS(INDIRECT("Data_main"&amp;"["&amp;Z$8&amp;"]"),Data_main[Data],$A60, Data_main[Segment],$B60, Data_main[Scenario],$B$3)),SUMIFS(INDIRECT("Data_main"&amp;"["&amp;Z$8&amp;"]"),Data_main[Data],$A60, Data_main[Segment],$B60, Data_main[Scenario],$B$3)),SUMIFS(INDIRECT("Data_main"&amp;"["&amp;Z$8&amp;"]"),Data_main[Data],$A60, Data_main[Segment],$B60, Data_main[Scenario],$B$3))</f>
        <v>370.32442373647388</v>
      </c>
      <c r="AA60" s="390">
        <f ca="1">IF($B$6="ON", IF(AA58&gt;=covid_start, IF(AA58&lt;covid_recovery,NA(),SUMIFS(INDIRECT("Data_main"&amp;"["&amp;AA$8&amp;"]"),Data_main[Data],$A60, Data_main[Segment],$B60, Data_main[Scenario],$B$3)),SUMIFS(INDIRECT("Data_main"&amp;"["&amp;AA$8&amp;"]"),Data_main[Data],$A60, Data_main[Segment],$B60, Data_main[Scenario],$B$3)),SUMIFS(INDIRECT("Data_main"&amp;"["&amp;AA$8&amp;"]"),Data_main[Data],$A60, Data_main[Segment],$B60, Data_main[Scenario],$B$3))</f>
        <v>380.06929088477602</v>
      </c>
      <c r="AB60" s="390">
        <f ca="1">IF($B$6="ON", IF(AB58&gt;=covid_start, IF(AB58&lt;covid_recovery,NA(),SUMIFS(INDIRECT("Data_main"&amp;"["&amp;AB$8&amp;"]"),Data_main[Data],$A60, Data_main[Segment],$B60, Data_main[Scenario],$B$3)),SUMIFS(INDIRECT("Data_main"&amp;"["&amp;AB$8&amp;"]"),Data_main[Data],$A60, Data_main[Segment],$B60, Data_main[Scenario],$B$3)),SUMIFS(INDIRECT("Data_main"&amp;"["&amp;AB$8&amp;"]"),Data_main[Data],$A60, Data_main[Segment],$B60, Data_main[Scenario],$B$3))</f>
        <v>390.04535977390225</v>
      </c>
      <c r="AC60" s="390">
        <f ca="1">IF($B$6="ON", IF(AC58&gt;=covid_start, IF(AC58&lt;covid_recovery,NA(),SUMIFS(INDIRECT("Data_main"&amp;"["&amp;AC$8&amp;"]"),Data_main[Data],$A60, Data_main[Segment],$B60, Data_main[Scenario],$B$3)),SUMIFS(INDIRECT("Data_main"&amp;"["&amp;AC$8&amp;"]"),Data_main[Data],$A60, Data_main[Segment],$B60, Data_main[Scenario],$B$3)),SUMIFS(INDIRECT("Data_main"&amp;"["&amp;AC$8&amp;"]"),Data_main[Data],$A60, Data_main[Segment],$B60, Data_main[Scenario],$B$3))</f>
        <v>400.26259249543762</v>
      </c>
      <c r="AD60" s="390">
        <f ca="1">IF($B$6="ON", IF(AD58&gt;=covid_start, IF(AD58&lt;covid_recovery,NA(),SUMIFS(INDIRECT("Data_main"&amp;"["&amp;AD$8&amp;"]"),Data_main[Data],$A60, Data_main[Segment],$B60, Data_main[Scenario],$B$3)),SUMIFS(INDIRECT("Data_main"&amp;"["&amp;AD$8&amp;"]"),Data_main[Data],$A60, Data_main[Segment],$B60, Data_main[Scenario],$B$3)),SUMIFS(INDIRECT("Data_main"&amp;"["&amp;AD$8&amp;"]"),Data_main[Data],$A60, Data_main[Segment],$B60, Data_main[Scenario],$B$3))</f>
        <v>410.73144142403419</v>
      </c>
      <c r="AE60" s="390">
        <f ca="1">IF($B$6="ON", IF(AE58&gt;=covid_start, IF(AE58&lt;covid_recovery,NA(),SUMIFS(INDIRECT("Data_main"&amp;"["&amp;AE$8&amp;"]"),Data_main[Data],$A60, Data_main[Segment],$B60, Data_main[Scenario],$B$3)),SUMIFS(INDIRECT("Data_main"&amp;"["&amp;AE$8&amp;"]"),Data_main[Data],$A60, Data_main[Segment],$B60, Data_main[Scenario],$B$3)),SUMIFS(INDIRECT("Data_main"&amp;"["&amp;AE$8&amp;"]"),Data_main[Data],$A60, Data_main[Segment],$B60, Data_main[Scenario],$B$3))</f>
        <v>421.46278379400695</v>
      </c>
      <c r="AF60" s="390">
        <f ca="1">IF($B$6="ON", IF(AF58&gt;=covid_start, IF(AF58&lt;covid_recovery,NA(),SUMIFS(INDIRECT("Data_main"&amp;"["&amp;AF$8&amp;"]"),Data_main[Data],$A60, Data_main[Segment],$B60, Data_main[Scenario],$B$3)),SUMIFS(INDIRECT("Data_main"&amp;"["&amp;AF$8&amp;"]"),Data_main[Data],$A60, Data_main[Segment],$B60, Data_main[Scenario],$B$3)),SUMIFS(INDIRECT("Data_main"&amp;"["&amp;AF$8&amp;"]"),Data_main[Data],$A60, Data_main[Segment],$B60, Data_main[Scenario],$B$3))</f>
        <v>432.46968370521927</v>
      </c>
      <c r="AG60" s="390">
        <f ca="1">IF($B$6="ON", IF(AG58&gt;=covid_start, IF(AG58&lt;covid_recovery,NA(),SUMIFS(INDIRECT("Data_main"&amp;"["&amp;AG$8&amp;"]"),Data_main[Data],$A60, Data_main[Segment],$B60, Data_main[Scenario],$B$3)),SUMIFS(INDIRECT("Data_main"&amp;"["&amp;AG$8&amp;"]"),Data_main[Data],$A60, Data_main[Segment],$B60, Data_main[Scenario],$B$3)),SUMIFS(INDIRECT("Data_main"&amp;"["&amp;AG$8&amp;"]"),Data_main[Data],$A60, Data_main[Segment],$B60, Data_main[Scenario],$B$3))</f>
        <v>443.76535009627344</v>
      </c>
      <c r="AH60" s="390">
        <f ca="1">IF($B$6="ON", IF(AH58&gt;=covid_start, IF(AH58&lt;covid_recovery,NA(),SUMIFS(INDIRECT("Data_main"&amp;"["&amp;AH$8&amp;"]"),Data_main[Data],$A60, Data_main[Segment],$B60, Data_main[Scenario],$B$3)),SUMIFS(INDIRECT("Data_main"&amp;"["&amp;AH$8&amp;"]"),Data_main[Data],$A60, Data_main[Segment],$B60, Data_main[Scenario],$B$3)),SUMIFS(INDIRECT("Data_main"&amp;"["&amp;AH$8&amp;"]"),Data_main[Data],$A60, Data_main[Segment],$B60, Data_main[Scenario],$B$3))</f>
        <v>455.36332103425678</v>
      </c>
      <c r="AI60" s="390">
        <f ca="1">IF($B$6="ON", IF(AI58&gt;=covid_start, IF(AI58&lt;covid_recovery,NA(),SUMIFS(INDIRECT("Data_main"&amp;"["&amp;AI$8&amp;"]"),Data_main[Data],$A60, Data_main[Segment],$B60, Data_main[Scenario],$B$3)),SUMIFS(INDIRECT("Data_main"&amp;"["&amp;AI$8&amp;"]"),Data_main[Data],$A60, Data_main[Segment],$B60, Data_main[Scenario],$B$3)),SUMIFS(INDIRECT("Data_main"&amp;"["&amp;AI$8&amp;"]"),Data_main[Data],$A60, Data_main[Segment],$B60, Data_main[Scenario],$B$3))</f>
        <v>467.27751161395076</v>
      </c>
      <c r="AJ60" s="390">
        <f ca="1">IF($B$6="ON", IF(AJ58&gt;=covid_start, IF(AJ58&lt;covid_recovery,NA(),SUMIFS(INDIRECT("Data_main"&amp;"["&amp;AJ$8&amp;"]"),Data_main[Data],$A60, Data_main[Segment],$B60, Data_main[Scenario],$B$3)),SUMIFS(INDIRECT("Data_main"&amp;"["&amp;AJ$8&amp;"]"),Data_main[Data],$A60, Data_main[Segment],$B60, Data_main[Scenario],$B$3)),SUMIFS(INDIRECT("Data_main"&amp;"["&amp;AJ$8&amp;"]"),Data_main[Data],$A60, Data_main[Segment],$B60, Data_main[Scenario],$B$3))</f>
        <v>479.52232411300383</v>
      </c>
      <c r="AK60" s="390">
        <f ca="1">IF($B$6="ON", IF(AK58&gt;=covid_start, IF(AK58&lt;covid_recovery,NA(),SUMIFS(INDIRECT("Data_main"&amp;"["&amp;AK$8&amp;"]"),Data_main[Data],$A60, Data_main[Segment],$B60, Data_main[Scenario],$B$3)),SUMIFS(INDIRECT("Data_main"&amp;"["&amp;AK$8&amp;"]"),Data_main[Data],$A60, Data_main[Segment],$B60, Data_main[Scenario],$B$3)),SUMIFS(INDIRECT("Data_main"&amp;"["&amp;AK$8&amp;"]"),Data_main[Data],$A60, Data_main[Segment],$B60, Data_main[Scenario],$B$3))</f>
        <v>492.11287056331878</v>
      </c>
      <c r="AL60" s="390">
        <f ca="1">IF($B$6="ON", IF(AL58&gt;=covid_start, IF(AL58&lt;covid_recovery,NA(),SUMIFS(INDIRECT("Data_main"&amp;"["&amp;AL$8&amp;"]"),Data_main[Data],$A60, Data_main[Segment],$B60, Data_main[Scenario],$B$3)),SUMIFS(INDIRECT("Data_main"&amp;"["&amp;AL$8&amp;"]"),Data_main[Data],$A60, Data_main[Segment],$B60, Data_main[Scenario],$B$3)),SUMIFS(INDIRECT("Data_main"&amp;"["&amp;AL$8&amp;"]"),Data_main[Data],$A60, Data_main[Segment],$B60, Data_main[Scenario],$B$3))</f>
        <v>505.06513098030518</v>
      </c>
      <c r="AM60" s="390">
        <f ca="1">IF($B$6="ON", IF(AM58&gt;=covid_start, IF(AM58&lt;covid_recovery,NA(),SUMIFS(INDIRECT("Data_main"&amp;"["&amp;AM$8&amp;"]"),Data_main[Data],$A60, Data_main[Segment],$B60, Data_main[Scenario],$B$3)),SUMIFS(INDIRECT("Data_main"&amp;"["&amp;AM$8&amp;"]"),Data_main[Data],$A60, Data_main[Segment],$B60, Data_main[Scenario],$B$3)),SUMIFS(INDIRECT("Data_main"&amp;"["&amp;AM$8&amp;"]"),Data_main[Data],$A60, Data_main[Segment],$B60, Data_main[Scenario],$B$3))</f>
        <v>518.39618578775583</v>
      </c>
      <c r="AN60" s="390">
        <f ca="1">IF($B$6="ON", IF(AN58&gt;=covid_start, IF(AN58&lt;covid_recovery,NA(),SUMIFS(INDIRECT("Data_main"&amp;"["&amp;AN$8&amp;"]"),Data_main[Data],$A60, Data_main[Segment],$B60, Data_main[Scenario],$B$3)),SUMIFS(INDIRECT("Data_main"&amp;"["&amp;AN$8&amp;"]"),Data_main[Data],$A60, Data_main[Segment],$B60, Data_main[Scenario],$B$3)),SUMIFS(INDIRECT("Data_main"&amp;"["&amp;AN$8&amp;"]"),Data_main[Data],$A60, Data_main[Segment],$B60, Data_main[Scenario],$B$3))</f>
        <v>532.15879953817728</v>
      </c>
      <c r="AO60" s="390">
        <f ca="1">IF($B$6="ON", IF(AO58&gt;=covid_start, IF(AO58&lt;covid_recovery,NA(),SUMIFS(INDIRECT("Data_main"&amp;"["&amp;AO$8&amp;"]"),Data_main[Data],$A60, Data_main[Segment],$B60, Data_main[Scenario],$B$3)),SUMIFS(INDIRECT("Data_main"&amp;"["&amp;AO$8&amp;"]"),Data_main[Data],$A60, Data_main[Segment],$B60, Data_main[Scenario],$B$3)),SUMIFS(INDIRECT("Data_main"&amp;"["&amp;AO$8&amp;"]"),Data_main[Data],$A60, Data_main[Segment],$B60, Data_main[Scenario],$B$3))</f>
        <v>0</v>
      </c>
      <c r="AP60" s="390">
        <f ca="1">IF($B$6="ON", IF(AP58&gt;=covid_start, IF(AP58&lt;covid_recovery,NA(),SUMIFS(INDIRECT("Data_main"&amp;"["&amp;AP$8&amp;"]"),Data_main[Data],$A60, Data_main[Segment],$B60, Data_main[Scenario],$B$3)),SUMIFS(INDIRECT("Data_main"&amp;"["&amp;AP$8&amp;"]"),Data_main[Data],$A60, Data_main[Segment],$B60, Data_main[Scenario],$B$3)),SUMIFS(INDIRECT("Data_main"&amp;"["&amp;AP$8&amp;"]"),Data_main[Data],$A60, Data_main[Segment],$B60, Data_main[Scenario],$B$3))</f>
        <v>0</v>
      </c>
      <c r="AQ60" s="390">
        <f ca="1">IF($B$6="ON", IF(AQ58&gt;=covid_start, IF(AQ58&lt;covid_recovery,NA(),SUMIFS(INDIRECT("Data_main"&amp;"["&amp;AQ$8&amp;"]"),Data_main[Data],$A60, Data_main[Segment],$B60, Data_main[Scenario],$B$3)),SUMIFS(INDIRECT("Data_main"&amp;"["&amp;AQ$8&amp;"]"),Data_main[Data],$A60, Data_main[Segment],$B60, Data_main[Scenario],$B$3)),SUMIFS(INDIRECT("Data_main"&amp;"["&amp;AQ$8&amp;"]"),Data_main[Data],$A60, Data_main[Segment],$B60, Data_main[Scenario],$B$3))</f>
        <v>0</v>
      </c>
      <c r="AR60" s="390">
        <f ca="1">IF($B$6="ON", IF(AR58&gt;=covid_start, IF(AR58&lt;covid_recovery,NA(),SUMIFS(INDIRECT("Data_main"&amp;"["&amp;AR$8&amp;"]"),Data_main[Data],$A60, Data_main[Segment],$B60, Data_main[Scenario],$B$3)),SUMIFS(INDIRECT("Data_main"&amp;"["&amp;AR$8&amp;"]"),Data_main[Data],$A60, Data_main[Segment],$B60, Data_main[Scenario],$B$3)),SUMIFS(INDIRECT("Data_main"&amp;"["&amp;AR$8&amp;"]"),Data_main[Data],$A60, Data_main[Segment],$B60, Data_main[Scenario],$B$3))</f>
        <v>0</v>
      </c>
      <c r="AS60" s="390">
        <f ca="1">IF($B$6="ON", IF(AS58&gt;=covid_start, IF(AS58&lt;covid_recovery,NA(),SUMIFS(INDIRECT("Data_main"&amp;"["&amp;AS$8&amp;"]"),Data_main[Data],$A60, Data_main[Segment],$B60, Data_main[Scenario],$B$3)),SUMIFS(INDIRECT("Data_main"&amp;"["&amp;AS$8&amp;"]"),Data_main[Data],$A60, Data_main[Segment],$B60, Data_main[Scenario],$B$3)),SUMIFS(INDIRECT("Data_main"&amp;"["&amp;AS$8&amp;"]"),Data_main[Data],$A60, Data_main[Segment],$B60, Data_main[Scenario],$B$3))</f>
        <v>0</v>
      </c>
      <c r="AT60" s="390">
        <f ca="1">IF($B$6="ON", IF(AT58&gt;=covid_start, IF(AT58&lt;covid_recovery,NA(),SUMIFS(INDIRECT("Data_main"&amp;"["&amp;AT$8&amp;"]"),Data_main[Data],$A60, Data_main[Segment],$B60, Data_main[Scenario],$B$3)),SUMIFS(INDIRECT("Data_main"&amp;"["&amp;AT$8&amp;"]"),Data_main[Data],$A60, Data_main[Segment],$B60, Data_main[Scenario],$B$3)),SUMIFS(INDIRECT("Data_main"&amp;"["&amp;AT$8&amp;"]"),Data_main[Data],$A60, Data_main[Segment],$B60, Data_main[Scenario],$B$3))</f>
        <v>0</v>
      </c>
      <c r="AU60" s="390">
        <f ca="1">IF($B$6="ON", IF(AU58&gt;=covid_start, IF(AU58&lt;covid_recovery,NA(),SUMIFS(INDIRECT("Data_main"&amp;"["&amp;AU$8&amp;"]"),Data_main[Data],$A60, Data_main[Segment],$B60, Data_main[Scenario],$B$3)),SUMIFS(INDIRECT("Data_main"&amp;"["&amp;AU$8&amp;"]"),Data_main[Data],$A60, Data_main[Segment],$B60, Data_main[Scenario],$B$3)),SUMIFS(INDIRECT("Data_main"&amp;"["&amp;AU$8&amp;"]"),Data_main[Data],$A60, Data_main[Segment],$B60, Data_main[Scenario],$B$3))</f>
        <v>0</v>
      </c>
      <c r="AV60" s="390">
        <f ca="1">IF($B$6="ON", IF(AV58&gt;=covid_start, IF(AV58&lt;covid_recovery,NA(),SUMIFS(INDIRECT("Data_main"&amp;"["&amp;AV$8&amp;"]"),Data_main[Data],$A60, Data_main[Segment],$B60, Data_main[Scenario],$B$3)),SUMIFS(INDIRECT("Data_main"&amp;"["&amp;AV$8&amp;"]"),Data_main[Data],$A60, Data_main[Segment],$B60, Data_main[Scenario],$B$3)),SUMIFS(INDIRECT("Data_main"&amp;"["&amp;AV$8&amp;"]"),Data_main[Data],$A60, Data_main[Segment],$B60, Data_main[Scenario],$B$3))</f>
        <v>0</v>
      </c>
      <c r="AW60" s="390">
        <f ca="1">IF($B$6="ON", IF(AW58&gt;=covid_start, IF(AW58&lt;covid_recovery,NA(),SUMIFS(INDIRECT("Data_main"&amp;"["&amp;AW$8&amp;"]"),Data_main[Data],$A60, Data_main[Segment],$B60, Data_main[Scenario],$B$3)),SUMIFS(INDIRECT("Data_main"&amp;"["&amp;AW$8&amp;"]"),Data_main[Data],$A60, Data_main[Segment],$B60, Data_main[Scenario],$B$3)),SUMIFS(INDIRECT("Data_main"&amp;"["&amp;AW$8&amp;"]"),Data_main[Data],$A60, Data_main[Segment],$B60, Data_main[Scenario],$B$3))</f>
        <v>0</v>
      </c>
      <c r="AX60" s="390">
        <f ca="1">IF($B$6="ON", IF(AX58&gt;=covid_start, IF(AX58&lt;covid_recovery,NA(),SUMIFS(INDIRECT("Data_main"&amp;"["&amp;AX$8&amp;"]"),Data_main[Data],$A60, Data_main[Segment],$B60, Data_main[Scenario],$B$3)),SUMIFS(INDIRECT("Data_main"&amp;"["&amp;AX$8&amp;"]"),Data_main[Data],$A60, Data_main[Segment],$B60, Data_main[Scenario],$B$3)),SUMIFS(INDIRECT("Data_main"&amp;"["&amp;AX$8&amp;"]"),Data_main[Data],$A60, Data_main[Segment],$B60, Data_main[Scenario],$B$3))</f>
        <v>0</v>
      </c>
      <c r="AY60" s="390">
        <f ca="1">IF($B$6="ON", IF(AY58&gt;=covid_start, IF(AY58&lt;covid_recovery,NA(),SUMIFS(INDIRECT("Data_main"&amp;"["&amp;AY$8&amp;"]"),Data_main[Data],$A60, Data_main[Segment],$B60, Data_main[Scenario],$B$3)),SUMIFS(INDIRECT("Data_main"&amp;"["&amp;AY$8&amp;"]"),Data_main[Data],$A60, Data_main[Segment],$B60, Data_main[Scenario],$B$3)),SUMIFS(INDIRECT("Data_main"&amp;"["&amp;AY$8&amp;"]"),Data_main[Data],$A60, Data_main[Segment],$B60, Data_main[Scenario],$B$3))</f>
        <v>0</v>
      </c>
      <c r="AZ60" s="390">
        <f ca="1">IF($B$6="ON", IF(AZ58&gt;=covid_start, IF(AZ58&lt;covid_recovery,NA(),SUMIFS(INDIRECT("Data_main"&amp;"["&amp;AZ$8&amp;"]"),Data_main[Data],$A60, Data_main[Segment],$B60, Data_main[Scenario],$B$3)),SUMIFS(INDIRECT("Data_main"&amp;"["&amp;AZ$8&amp;"]"),Data_main[Data],$A60, Data_main[Segment],$B60, Data_main[Scenario],$B$3)),SUMIFS(INDIRECT("Data_main"&amp;"["&amp;AZ$8&amp;"]"),Data_main[Data],$A60, Data_main[Segment],$B60, Data_main[Scenario],$B$3))</f>
        <v>0</v>
      </c>
      <c r="BA60" s="390">
        <f ca="1">IF($B$6="ON", IF(BA58&gt;=covid_start, IF(BA58&lt;covid_recovery,NA(),SUMIFS(INDIRECT("Data_main"&amp;"["&amp;BA$8&amp;"]"),Data_main[Data],$A60, Data_main[Segment],$B60, Data_main[Scenario],$B$3)),SUMIFS(INDIRECT("Data_main"&amp;"["&amp;BA$8&amp;"]"),Data_main[Data],$A60, Data_main[Segment],$B60, Data_main[Scenario],$B$3)),SUMIFS(INDIRECT("Data_main"&amp;"["&amp;BA$8&amp;"]"),Data_main[Data],$A60, Data_main[Segment],$B60, Data_main[Scenario],$B$3))</f>
        <v>0</v>
      </c>
      <c r="BB60" s="390">
        <f ca="1">IF($B$6="ON", IF(BB58&gt;=covid_start, IF(BB58&lt;covid_recovery,NA(),SUMIFS(INDIRECT("Data_main"&amp;"["&amp;BB$8&amp;"]"),Data_main[Data],$A60, Data_main[Segment],$B60, Data_main[Scenario],$B$3)),SUMIFS(INDIRECT("Data_main"&amp;"["&amp;BB$8&amp;"]"),Data_main[Data],$A60, Data_main[Segment],$B60, Data_main[Scenario],$B$3)),SUMIFS(INDIRECT("Data_main"&amp;"["&amp;BB$8&amp;"]"),Data_main[Data],$A60, Data_main[Segment],$B60, Data_main[Scenario],$B$3))</f>
        <v>0</v>
      </c>
      <c r="BC60" s="390">
        <f ca="1">IF($B$6="ON", IF(BC58&gt;=covid_start, IF(BC58&lt;covid_recovery,NA(),SUMIFS(INDIRECT("Data_main"&amp;"["&amp;BC$8&amp;"]"),Data_main[Data],$A60, Data_main[Segment],$B60, Data_main[Scenario],$B$3)),SUMIFS(INDIRECT("Data_main"&amp;"["&amp;BC$8&amp;"]"),Data_main[Data],$A60, Data_main[Segment],$B60, Data_main[Scenario],$B$3)),SUMIFS(INDIRECT("Data_main"&amp;"["&amp;BC$8&amp;"]"),Data_main[Data],$A60, Data_main[Segment],$B60, Data_main[Scenario],$B$3))</f>
        <v>0</v>
      </c>
      <c r="BD60" s="390">
        <f ca="1">IF($B$6="ON", IF(BD58&gt;=covid_start, IF(BD58&lt;covid_recovery,NA(),SUMIFS(INDIRECT("Data_main"&amp;"["&amp;BD$8&amp;"]"),Data_main[Data],$A60, Data_main[Segment],$B60, Data_main[Scenario],$B$3)),SUMIFS(INDIRECT("Data_main"&amp;"["&amp;BD$8&amp;"]"),Data_main[Data],$A60, Data_main[Segment],$B60, Data_main[Scenario],$B$3)),SUMIFS(INDIRECT("Data_main"&amp;"["&amp;BD$8&amp;"]"),Data_main[Data],$A60, Data_main[Segment],$B60, Data_main[Scenario],$B$3))</f>
        <v>0</v>
      </c>
      <c r="BE60" s="390">
        <f ca="1">IF($B$6="ON", IF(BE58&gt;=covid_start, IF(BE58&lt;covid_recovery,NA(),SUMIFS(INDIRECT("Data_main"&amp;"["&amp;BE$8&amp;"]"),Data_main[Data],$A60, Data_main[Segment],$B60, Data_main[Scenario],$B$3)),SUMIFS(INDIRECT("Data_main"&amp;"["&amp;BE$8&amp;"]"),Data_main[Data],$A60, Data_main[Segment],$B60, Data_main[Scenario],$B$3)),SUMIFS(INDIRECT("Data_main"&amp;"["&amp;BE$8&amp;"]"),Data_main[Data],$A60, Data_main[Segment],$B60, Data_main[Scenario],$B$3))</f>
        <v>0</v>
      </c>
      <c r="BF60" s="390">
        <f ca="1">IF($B$6="ON", IF(BF58&gt;=covid_start, IF(BF58&lt;covid_recovery,NA(),SUMIFS(INDIRECT("Data_main"&amp;"["&amp;BF$8&amp;"]"),Data_main[Data],$A60, Data_main[Segment],$B60, Data_main[Scenario],$B$3)),SUMIFS(INDIRECT("Data_main"&amp;"["&amp;BF$8&amp;"]"),Data_main[Data],$A60, Data_main[Segment],$B60, Data_main[Scenario],$B$3)),SUMIFS(INDIRECT("Data_main"&amp;"["&amp;BF$8&amp;"]"),Data_main[Data],$A60, Data_main[Segment],$B60, Data_main[Scenario],$B$3))</f>
        <v>0</v>
      </c>
      <c r="BG60" s="390">
        <f ca="1">IF($B$6="ON", IF(BG58&gt;=covid_start, IF(BG58&lt;covid_recovery,NA(),SUMIFS(INDIRECT("Data_main"&amp;"["&amp;BG$8&amp;"]"),Data_main[Data],$A60, Data_main[Segment],$B60, Data_main[Scenario],$B$3)),SUMIFS(INDIRECT("Data_main"&amp;"["&amp;BG$8&amp;"]"),Data_main[Data],$A60, Data_main[Segment],$B60, Data_main[Scenario],$B$3)),SUMIFS(INDIRECT("Data_main"&amp;"["&amp;BG$8&amp;"]"),Data_main[Data],$A60, Data_main[Segment],$B60, Data_main[Scenario],$B$3))</f>
        <v>0</v>
      </c>
      <c r="BH60" s="390">
        <f ca="1">IF($B$6="ON", IF(BH58&gt;=covid_start, IF(BH58&lt;covid_recovery,NA(),SUMIFS(INDIRECT("Data_main"&amp;"["&amp;BH$8&amp;"]"),Data_main[Data],$A60, Data_main[Segment],$B60, Data_main[Scenario],$B$3)),SUMIFS(INDIRECT("Data_main"&amp;"["&amp;BH$8&amp;"]"),Data_main[Data],$A60, Data_main[Segment],$B60, Data_main[Scenario],$B$3)),SUMIFS(INDIRECT("Data_main"&amp;"["&amp;BH$8&amp;"]"),Data_main[Data],$A60, Data_main[Segment],$B60, Data_main[Scenario],$B$3))</f>
        <v>0</v>
      </c>
      <c r="BI60" s="390">
        <f ca="1">IF($B$6="ON", IF(BI58&gt;=covid_start, IF(BI58&lt;covid_recovery,NA(),SUMIFS(INDIRECT("Data_main"&amp;"["&amp;BI$8&amp;"]"),Data_main[Data],$A60, Data_main[Segment],$B60, Data_main[Scenario],$B$3)),SUMIFS(INDIRECT("Data_main"&amp;"["&amp;BI$8&amp;"]"),Data_main[Data],$A60, Data_main[Segment],$B60, Data_main[Scenario],$B$3)),SUMIFS(INDIRECT("Data_main"&amp;"["&amp;BI$8&amp;"]"),Data_main[Data],$A60, Data_main[Segment],$B60, Data_main[Scenario],$B$3))</f>
        <v>0</v>
      </c>
      <c r="BJ60" s="390">
        <f ca="1">IF($B$6="ON", IF(BJ58&gt;=covid_start, IF(BJ58&lt;covid_recovery,NA(),SUMIFS(INDIRECT("Data_main"&amp;"["&amp;BJ$8&amp;"]"),Data_main[Data],$A60, Data_main[Segment],$B60, Data_main[Scenario],$B$3)),SUMIFS(INDIRECT("Data_main"&amp;"["&amp;BJ$8&amp;"]"),Data_main[Data],$A60, Data_main[Segment],$B60, Data_main[Scenario],$B$3)),SUMIFS(INDIRECT("Data_main"&amp;"["&amp;BJ$8&amp;"]"),Data_main[Data],$A60, Data_main[Segment],$B60, Data_main[Scenario],$B$3))</f>
        <v>0</v>
      </c>
      <c r="BK60" s="390">
        <f ca="1">IF($B$6="ON", IF(BK58&gt;=covid_start, IF(BK58&lt;covid_recovery,NA(),SUMIFS(INDIRECT("Data_main"&amp;"["&amp;BK$8&amp;"]"),Data_main[Data],$A60, Data_main[Segment],$B60, Data_main[Scenario],$B$3)),SUMIFS(INDIRECT("Data_main"&amp;"["&amp;BK$8&amp;"]"),Data_main[Data],$A60, Data_main[Segment],$B60, Data_main[Scenario],$B$3)),SUMIFS(INDIRECT("Data_main"&amp;"["&amp;BK$8&amp;"]"),Data_main[Data],$A60, Data_main[Segment],$B60, Data_main[Scenario],$B$3))</f>
        <v>0</v>
      </c>
      <c r="BL60" s="390">
        <f ca="1">IF($B$6="ON", IF(BL58&gt;=covid_start, IF(BL58&lt;covid_recovery,NA(),SUMIFS(INDIRECT("Data_main"&amp;"["&amp;BL$8&amp;"]"),Data_main[Data],$A60, Data_main[Segment],$B60, Data_main[Scenario],$B$3)),SUMIFS(INDIRECT("Data_main"&amp;"["&amp;BL$8&amp;"]"),Data_main[Data],$A60, Data_main[Segment],$B60, Data_main[Scenario],$B$3)),SUMIFS(INDIRECT("Data_main"&amp;"["&amp;BL$8&amp;"]"),Data_main[Data],$A60, Data_main[Segment],$B60, Data_main[Scenario],$B$3))</f>
        <v>0</v>
      </c>
      <c r="BM60" s="390">
        <f ca="1">IF($B$6="ON", IF(BM58&gt;=covid_start, IF(BM58&lt;covid_recovery,NA(),SUMIFS(INDIRECT("Data_main"&amp;"["&amp;BM$8&amp;"]"),Data_main[Data],$A60, Data_main[Segment],$B60, Data_main[Scenario],$B$3)),SUMIFS(INDIRECT("Data_main"&amp;"["&amp;BM$8&amp;"]"),Data_main[Data],$A60, Data_main[Segment],$B60, Data_main[Scenario],$B$3)),SUMIFS(INDIRECT("Data_main"&amp;"["&amp;BM$8&amp;"]"),Data_main[Data],$A60, Data_main[Segment],$B60, Data_main[Scenario],$B$3))</f>
        <v>0</v>
      </c>
      <c r="BN60" s="390">
        <f ca="1">IF($B$6="ON", IF(BN58&gt;=covid_start, IF(BN58&lt;covid_recovery,NA(),SUMIFS(INDIRECT("Data_main"&amp;"["&amp;BN$8&amp;"]"),Data_main[Data],$A60, Data_main[Segment],$B60, Data_main[Scenario],$B$3)),SUMIFS(INDIRECT("Data_main"&amp;"["&amp;BN$8&amp;"]"),Data_main[Data],$A60, Data_main[Segment],$B60, Data_main[Scenario],$B$3)),SUMIFS(INDIRECT("Data_main"&amp;"["&amp;BN$8&amp;"]"),Data_main[Data],$A60, Data_main[Segment],$B60, Data_main[Scenario],$B$3))</f>
        <v>0</v>
      </c>
      <c r="BO60" s="390">
        <f ca="1">IF($B$6="ON", IF(BO58&gt;=covid_start, IF(BO58&lt;covid_recovery,NA(),SUMIFS(INDIRECT("Data_main"&amp;"["&amp;BO$8&amp;"]"),Data_main[Data],$A60, Data_main[Segment],$B60, Data_main[Scenario],$B$3)),SUMIFS(INDIRECT("Data_main"&amp;"["&amp;BO$8&amp;"]"),Data_main[Data],$A60, Data_main[Segment],$B60, Data_main[Scenario],$B$3)),SUMIFS(INDIRECT("Data_main"&amp;"["&amp;BO$8&amp;"]"),Data_main[Data],$A60, Data_main[Segment],$B60, Data_main[Scenario],$B$3))</f>
        <v>0</v>
      </c>
      <c r="BP60" s="390">
        <f ca="1">IF($B$6="ON", IF(BP58&gt;=covid_start, IF(BP58&lt;covid_recovery,NA(),SUMIFS(INDIRECT("Data_main"&amp;"["&amp;BP$8&amp;"]"),Data_main[Data],$A60, Data_main[Segment],$B60, Data_main[Scenario],$B$3)),SUMIFS(INDIRECT("Data_main"&amp;"["&amp;BP$8&amp;"]"),Data_main[Data],$A60, Data_main[Segment],$B60, Data_main[Scenario],$B$3)),SUMIFS(INDIRECT("Data_main"&amp;"["&amp;BP$8&amp;"]"),Data_main[Data],$A60, Data_main[Segment],$B60, Data_main[Scenario],$B$3))</f>
        <v>0</v>
      </c>
      <c r="BQ60" s="390">
        <f ca="1">IF($B$6="ON", IF(BQ58&gt;=covid_start, IF(BQ58&lt;covid_recovery,NA(),SUMIFS(INDIRECT("Data_main"&amp;"["&amp;BQ$8&amp;"]"),Data_main[Data],$A60, Data_main[Segment],$B60, Data_main[Scenario],$B$3)),SUMIFS(INDIRECT("Data_main"&amp;"["&amp;BQ$8&amp;"]"),Data_main[Data],$A60, Data_main[Segment],$B60, Data_main[Scenario],$B$3)),SUMIFS(INDIRECT("Data_main"&amp;"["&amp;BQ$8&amp;"]"),Data_main[Data],$A60, Data_main[Segment],$B60, Data_main[Scenario],$B$3))</f>
        <v>0</v>
      </c>
      <c r="BR60" s="390">
        <f ca="1">IF($B$6="ON", IF(BR58&gt;=covid_start, IF(BR58&lt;covid_recovery,NA(),SUMIFS(INDIRECT("Data_main"&amp;"["&amp;BR$8&amp;"]"),Data_main[Data],$A60, Data_main[Segment],$B60, Data_main[Scenario],$B$3)),SUMIFS(INDIRECT("Data_main"&amp;"["&amp;BR$8&amp;"]"),Data_main[Data],$A60, Data_main[Segment],$B60, Data_main[Scenario],$B$3)),SUMIFS(INDIRECT("Data_main"&amp;"["&amp;BR$8&amp;"]"),Data_main[Data],$A60, Data_main[Segment],$B60, Data_main[Scenario],$B$3))</f>
        <v>0</v>
      </c>
      <c r="BS60" s="390">
        <f ca="1">IF($B$6="ON", IF(BS58&gt;=covid_start, IF(BS58&lt;covid_recovery,NA(),SUMIFS(INDIRECT("Data_main"&amp;"["&amp;BS$8&amp;"]"),Data_main[Data],$A60, Data_main[Segment],$B60, Data_main[Scenario],$B$3)),SUMIFS(INDIRECT("Data_main"&amp;"["&amp;BS$8&amp;"]"),Data_main[Data],$A60, Data_main[Segment],$B60, Data_main[Scenario],$B$3)),SUMIFS(INDIRECT("Data_main"&amp;"["&amp;BS$8&amp;"]"),Data_main[Data],$A60, Data_main[Segment],$B60, Data_main[Scenario],$B$3))</f>
        <v>0</v>
      </c>
      <c r="BT60" s="390">
        <f ca="1">IF($B$6="ON", IF(BT58&gt;=covid_start, IF(BT58&lt;covid_recovery,NA(),SUMIFS(INDIRECT("Data_main"&amp;"["&amp;BT$8&amp;"]"),Data_main[Data],$A60, Data_main[Segment],$B60, Data_main[Scenario],$B$3)),SUMIFS(INDIRECT("Data_main"&amp;"["&amp;BT$8&amp;"]"),Data_main[Data],$A60, Data_main[Segment],$B60, Data_main[Scenario],$B$3)),SUMIFS(INDIRECT("Data_main"&amp;"["&amp;BT$8&amp;"]"),Data_main[Data],$A60, Data_main[Segment],$B60, Data_main[Scenario],$B$3))</f>
        <v>0</v>
      </c>
      <c r="BU60" s="390">
        <f ca="1">IF($B$6="ON", IF(BU58&gt;=covid_start, IF(BU58&lt;covid_recovery,NA(),SUMIFS(INDIRECT("Data_main"&amp;"["&amp;BU$8&amp;"]"),Data_main[Data],$A60, Data_main[Segment],$B60, Data_main[Scenario],$B$3)),SUMIFS(INDIRECT("Data_main"&amp;"["&amp;BU$8&amp;"]"),Data_main[Data],$A60, Data_main[Segment],$B60, Data_main[Scenario],$B$3)),SUMIFS(INDIRECT("Data_main"&amp;"["&amp;BU$8&amp;"]"),Data_main[Data],$A60, Data_main[Segment],$B60, Data_main[Scenario],$B$3))</f>
        <v>0</v>
      </c>
      <c r="BV60" s="390">
        <f ca="1">IF($B$6="ON", IF(BV58&gt;=covid_start, IF(BV58&lt;covid_recovery,NA(),SUMIFS(INDIRECT("Data_main"&amp;"["&amp;BV$8&amp;"]"),Data_main[Data],$A60, Data_main[Segment],$B60, Data_main[Scenario],$B$3)),SUMIFS(INDIRECT("Data_main"&amp;"["&amp;BV$8&amp;"]"),Data_main[Data],$A60, Data_main[Segment],$B60, Data_main[Scenario],$B$3)),SUMIFS(INDIRECT("Data_main"&amp;"["&amp;BV$8&amp;"]"),Data_main[Data],$A60, Data_main[Segment],$B60, Data_main[Scenario],$B$3))</f>
        <v>0</v>
      </c>
      <c r="BW60" s="390">
        <f ca="1">IF($B$6="ON", IF(BW58&gt;=covid_start, IF(BW58&lt;covid_recovery,NA(),SUMIFS(INDIRECT("Data_main"&amp;"["&amp;BW$8&amp;"]"),Data_main[Data],$A60, Data_main[Segment],$B60, Data_main[Scenario],$B$3)),SUMIFS(INDIRECT("Data_main"&amp;"["&amp;BW$8&amp;"]"),Data_main[Data],$A60, Data_main[Segment],$B60, Data_main[Scenario],$B$3)),SUMIFS(INDIRECT("Data_main"&amp;"["&amp;BW$8&amp;"]"),Data_main[Data],$A60, Data_main[Segment],$B60, Data_main[Scenario],$B$3))</f>
        <v>0</v>
      </c>
      <c r="BX60" s="390">
        <f ca="1">IF($B$6="ON", IF(BX58&gt;=covid_start, IF(BX58&lt;covid_recovery,NA(),SUMIFS(INDIRECT("Data_main"&amp;"["&amp;BX$8&amp;"]"),Data_main[Data],$A60, Data_main[Segment],$B60, Data_main[Scenario],$B$3)),SUMIFS(INDIRECT("Data_main"&amp;"["&amp;BX$8&amp;"]"),Data_main[Data],$A60, Data_main[Segment],$B60, Data_main[Scenario],$B$3)),SUMIFS(INDIRECT("Data_main"&amp;"["&amp;BX$8&amp;"]"),Data_main[Data],$A60, Data_main[Segment],$B60, Data_main[Scenario],$B$3))</f>
        <v>0</v>
      </c>
      <c r="BY60" s="390">
        <f ca="1">IF($B$6="ON", IF(BY58&gt;=covid_start, IF(BY58&lt;covid_recovery,NA(),SUMIFS(INDIRECT("Data_main"&amp;"["&amp;BY$8&amp;"]"),Data_main[Data],$A60, Data_main[Segment],$B60, Data_main[Scenario],$B$3)),SUMIFS(INDIRECT("Data_main"&amp;"["&amp;BY$8&amp;"]"),Data_main[Data],$A60, Data_main[Segment],$B60, Data_main[Scenario],$B$3)),SUMIFS(INDIRECT("Data_main"&amp;"["&amp;BY$8&amp;"]"),Data_main[Data],$A60, Data_main[Segment],$B60, Data_main[Scenario],$B$3))</f>
        <v>0</v>
      </c>
      <c r="BZ60" s="390">
        <f ca="1">IF($B$6="ON", IF(BZ58&gt;=covid_start, IF(BZ58&lt;covid_recovery,NA(),SUMIFS(INDIRECT("Data_main"&amp;"["&amp;BZ$8&amp;"]"),Data_main[Data],$A60, Data_main[Segment],$B60, Data_main[Scenario],$B$3)),SUMIFS(INDIRECT("Data_main"&amp;"["&amp;BZ$8&amp;"]"),Data_main[Data],$A60, Data_main[Segment],$B60, Data_main[Scenario],$B$3)),SUMIFS(INDIRECT("Data_main"&amp;"["&amp;BZ$8&amp;"]"),Data_main[Data],$A60, Data_main[Segment],$B60, Data_main[Scenario],$B$3))</f>
        <v>0</v>
      </c>
      <c r="CA60" s="390">
        <f ca="1">IF($B$6="ON", IF(CA58&gt;=covid_start, IF(CA58&lt;covid_recovery,NA(),SUMIFS(INDIRECT("Data_main"&amp;"["&amp;CA$8&amp;"]"),Data_main[Data],$A60, Data_main[Segment],$B60, Data_main[Scenario],$B$3)),SUMIFS(INDIRECT("Data_main"&amp;"["&amp;CA$8&amp;"]"),Data_main[Data],$A60, Data_main[Segment],$B60, Data_main[Scenario],$B$3)),SUMIFS(INDIRECT("Data_main"&amp;"["&amp;CA$8&amp;"]"),Data_main[Data],$A60, Data_main[Segment],$B60, Data_main[Scenario],$B$3))</f>
        <v>0</v>
      </c>
      <c r="CB60" s="390">
        <f ca="1">IF($B$6="ON", IF(CB58&gt;=covid_start, IF(CB58&lt;covid_recovery,NA(),SUMIFS(INDIRECT("Data_main"&amp;"["&amp;CB$8&amp;"]"),Data_main[Data],$A60, Data_main[Segment],$B60, Data_main[Scenario],$B$3)),SUMIFS(INDIRECT("Data_main"&amp;"["&amp;CB$8&amp;"]"),Data_main[Data],$A60, Data_main[Segment],$B60, Data_main[Scenario],$B$3)),SUMIFS(INDIRECT("Data_main"&amp;"["&amp;CB$8&amp;"]"),Data_main[Data],$A60, Data_main[Segment],$B60, Data_main[Scenario],$B$3))</f>
        <v>0</v>
      </c>
      <c r="CC60" s="390">
        <f ca="1">IF($B$6="ON", IF(CC58&gt;=covid_start, IF(CC58&lt;covid_recovery,NA(),SUMIFS(INDIRECT("Data_main"&amp;"["&amp;CC$8&amp;"]"),Data_main[Data],$A60, Data_main[Segment],$B60, Data_main[Scenario],$B$3)),SUMIFS(INDIRECT("Data_main"&amp;"["&amp;CC$8&amp;"]"),Data_main[Data],$A60, Data_main[Segment],$B60, Data_main[Scenario],$B$3)),SUMIFS(INDIRECT("Data_main"&amp;"["&amp;CC$8&amp;"]"),Data_main[Data],$A60, Data_main[Segment],$B60, Data_main[Scenario],$B$3))</f>
        <v>0</v>
      </c>
      <c r="CD60" s="390">
        <f ca="1">IF($B$6="ON", IF(CD58&gt;=covid_start, IF(CD58&lt;covid_recovery,NA(),SUMIFS(INDIRECT("Data_main"&amp;"["&amp;CD$8&amp;"]"),Data_main[Data],$A60, Data_main[Segment],$B60, Data_main[Scenario],$B$3)),SUMIFS(INDIRECT("Data_main"&amp;"["&amp;CD$8&amp;"]"),Data_main[Data],$A60, Data_main[Segment],$B60, Data_main[Scenario],$B$3)),SUMIFS(INDIRECT("Data_main"&amp;"["&amp;CD$8&amp;"]"),Data_main[Data],$A60, Data_main[Segment],$B60, Data_main[Scenario],$B$3))</f>
        <v>0</v>
      </c>
      <c r="CE60" s="390">
        <f ca="1">IF($B$6="ON", IF(CE58&gt;=covid_start, IF(CE58&lt;covid_recovery,NA(),SUMIFS(INDIRECT("Data_main"&amp;"["&amp;CE$8&amp;"]"),Data_main[Data],$A60, Data_main[Segment],$B60, Data_main[Scenario],$B$3)),SUMIFS(INDIRECT("Data_main"&amp;"["&amp;CE$8&amp;"]"),Data_main[Data],$A60, Data_main[Segment],$B60, Data_main[Scenario],$B$3)),SUMIFS(INDIRECT("Data_main"&amp;"["&amp;CE$8&amp;"]"),Data_main[Data],$A60, Data_main[Segment],$B60, Data_main[Scenario],$B$3))</f>
        <v>0</v>
      </c>
      <c r="CF60" s="390">
        <f ca="1">IF($B$6="ON", IF(CF58&gt;=covid_start, IF(CF58&lt;covid_recovery,NA(),SUMIFS(INDIRECT("Data_main"&amp;"["&amp;CF$8&amp;"]"),Data_main[Data],$A60, Data_main[Segment],$B60, Data_main[Scenario],$B$3)),SUMIFS(INDIRECT("Data_main"&amp;"["&amp;CF$8&amp;"]"),Data_main[Data],$A60, Data_main[Segment],$B60, Data_main[Scenario],$B$3)),SUMIFS(INDIRECT("Data_main"&amp;"["&amp;CF$8&amp;"]"),Data_main[Data],$A60, Data_main[Segment],$B60, Data_main[Scenario],$B$3))</f>
        <v>0</v>
      </c>
      <c r="CG60" s="390">
        <f ca="1">IF($B$6="ON", IF(CG58&gt;=covid_start, IF(CG58&lt;covid_recovery,NA(),SUMIFS(INDIRECT("Data_main"&amp;"["&amp;CG$8&amp;"]"),Data_main[Data],$A60, Data_main[Segment],$B60, Data_main[Scenario],$B$3)),SUMIFS(INDIRECT("Data_main"&amp;"["&amp;CG$8&amp;"]"),Data_main[Data],$A60, Data_main[Segment],$B60, Data_main[Scenario],$B$3)),SUMIFS(INDIRECT("Data_main"&amp;"["&amp;CG$8&amp;"]"),Data_main[Data],$A60, Data_main[Segment],$B60, Data_main[Scenario],$B$3))</f>
        <v>0</v>
      </c>
      <c r="CH60" s="390">
        <f ca="1">IF($B$6="ON", IF(CH58&gt;=covid_start, IF(CH58&lt;covid_recovery,NA(),SUMIFS(INDIRECT("Data_main"&amp;"["&amp;CH$8&amp;"]"),Data_main[Data],$A60, Data_main[Segment],$B60, Data_main[Scenario],$B$3)),SUMIFS(INDIRECT("Data_main"&amp;"["&amp;CH$8&amp;"]"),Data_main[Data],$A60, Data_main[Segment],$B60, Data_main[Scenario],$B$3)),SUMIFS(INDIRECT("Data_main"&amp;"["&amp;CH$8&amp;"]"),Data_main[Data],$A60, Data_main[Segment],$B60, Data_main[Scenario],$B$3))</f>
        <v>0</v>
      </c>
      <c r="CI60" s="390">
        <f ca="1">IF($B$6="ON", IF(CI58&gt;=covid_start, IF(CI58&lt;covid_recovery,NA(),SUMIFS(INDIRECT("Data_main"&amp;"["&amp;CI$8&amp;"]"),Data_main[Data],$A60, Data_main[Segment],$B60, Data_main[Scenario],$B$3)),SUMIFS(INDIRECT("Data_main"&amp;"["&amp;CI$8&amp;"]"),Data_main[Data],$A60, Data_main[Segment],$B60, Data_main[Scenario],$B$3)),SUMIFS(INDIRECT("Data_main"&amp;"["&amp;CI$8&amp;"]"),Data_main[Data],$A60, Data_main[Segment],$B60, Data_main[Scenario],$B$3))</f>
        <v>0</v>
      </c>
      <c r="CJ60" s="390">
        <f ca="1">IF($B$6="ON", IF(CJ58&gt;=covid_start, IF(CJ58&lt;covid_recovery,NA(),SUMIFS(INDIRECT("Data_main"&amp;"["&amp;CJ$8&amp;"]"),Data_main[Data],$A60, Data_main[Segment],$B60, Data_main[Scenario],$B$3)),SUMIFS(INDIRECT("Data_main"&amp;"["&amp;CJ$8&amp;"]"),Data_main[Data],$A60, Data_main[Segment],$B60, Data_main[Scenario],$B$3)),SUMIFS(INDIRECT("Data_main"&amp;"["&amp;CJ$8&amp;"]"),Data_main[Data],$A60, Data_main[Segment],$B60, Data_main[Scenario],$B$3))</f>
        <v>0</v>
      </c>
      <c r="CK60" s="390">
        <f ca="1">IF($B$6="ON", IF(CK58&gt;=covid_start, IF(CK58&lt;covid_recovery,NA(),SUMIFS(INDIRECT("Data_main"&amp;"["&amp;CK$8&amp;"]"),Data_main[Data],$A60, Data_main[Segment],$B60, Data_main[Scenario],$B$3)),SUMIFS(INDIRECT("Data_main"&amp;"["&amp;CK$8&amp;"]"),Data_main[Data],$A60, Data_main[Segment],$B60, Data_main[Scenario],$B$3)),SUMIFS(INDIRECT("Data_main"&amp;"["&amp;CK$8&amp;"]"),Data_main[Data],$A60, Data_main[Segment],$B60, Data_main[Scenario],$B$3))</f>
        <v>0</v>
      </c>
      <c r="CL60" s="390">
        <f ca="1">IF($B$6="ON", IF(CL58&gt;=covid_start, IF(CL58&lt;covid_recovery,NA(),SUMIFS(INDIRECT("Data_main"&amp;"["&amp;CL$8&amp;"]"),Data_main[Data],$A60, Data_main[Segment],$B60, Data_main[Scenario],$B$3)),SUMIFS(INDIRECT("Data_main"&amp;"["&amp;CL$8&amp;"]"),Data_main[Data],$A60, Data_main[Segment],$B60, Data_main[Scenario],$B$3)),SUMIFS(INDIRECT("Data_main"&amp;"["&amp;CL$8&amp;"]"),Data_main[Data],$A60, Data_main[Segment],$B60, Data_main[Scenario],$B$3))</f>
        <v>0</v>
      </c>
      <c r="CN60" s="391">
        <f ca="1">IFERROR((Y60/H60)^(1/17)-1,"")</f>
        <v>2.8214093836831822E-2</v>
      </c>
      <c r="CO60" s="391">
        <f ca="1">IFERROR((AN60/Y60)^(1/15)-1,"")</f>
        <v>2.6246157058246178E-2</v>
      </c>
      <c r="CP60" s="391">
        <f ca="1">IFERROR((AN60/H60)^(1/32)-1,"")</f>
        <v>2.7291154038961096E-2</v>
      </c>
    </row>
    <row r="61" spans="1:94" hidden="1" outlineLevel="1">
      <c r="A61" s="392" t="s">
        <v>158</v>
      </c>
      <c r="B61" s="392" t="str">
        <f t="shared" si="510"/>
        <v>Pax-short</v>
      </c>
      <c r="C61" s="393" t="s">
        <v>333</v>
      </c>
      <c r="D61" s="389" t="s">
        <v>334</v>
      </c>
      <c r="E61" s="390">
        <f ca="1">'SDS Calc'!E61</f>
        <v>1401.0714773798429</v>
      </c>
      <c r="F61" s="531">
        <f ca="1">'SDS Calc'!F61</f>
        <v>1374.5281039005874</v>
      </c>
      <c r="G61" s="531">
        <f ca="1">'SDS Calc'!G61</f>
        <v>1351.3518770939982</v>
      </c>
      <c r="H61" s="531">
        <f ca="1">'SDS Calc'!H61</f>
        <v>1330.9403047676328</v>
      </c>
      <c r="I61" s="531">
        <f ca="1">'SDS Calc'!I61</f>
        <v>1303.1682659292971</v>
      </c>
      <c r="J61" s="531" t="e">
        <f ca="1">'SDS Calc'!J61</f>
        <v>#N/A</v>
      </c>
      <c r="K61" s="531" t="e">
        <f ca="1">'SDS Calc'!K61</f>
        <v>#N/A</v>
      </c>
      <c r="L61" s="531" t="e">
        <f ca="1">'SDS Calc'!L61</f>
        <v>#N/A</v>
      </c>
      <c r="M61" s="531">
        <f ca="1">'SDS Calc'!M61</f>
        <v>1134.8733788803036</v>
      </c>
      <c r="N61" s="531">
        <f ca="1">'SDS Calc'!N61</f>
        <v>1098.6807607283199</v>
      </c>
      <c r="O61" s="531">
        <f ca="1">'SDS Calc'!O61</f>
        <v>1064.4567235736938</v>
      </c>
      <c r="P61" s="531">
        <f ca="1">'SDS Calc'!P61</f>
        <v>1032.0449078124209</v>
      </c>
      <c r="Q61" s="531">
        <f ca="1">'SDS Calc'!Q61</f>
        <v>1001.3050857520744</v>
      </c>
      <c r="R61" s="531">
        <f ca="1">'SDS Calc'!R61</f>
        <v>972.11113347428238</v>
      </c>
      <c r="S61" s="531">
        <f ca="1">'SDS Calc'!S61</f>
        <v>944.34930117027864</v>
      </c>
      <c r="T61" s="531">
        <f ca="1">'SDS Calc'!T61</f>
        <v>917.91673193041765</v>
      </c>
      <c r="U61" s="531">
        <f ca="1">'SDS Calc'!U61</f>
        <v>881.51050224072799</v>
      </c>
      <c r="V61" s="531">
        <f ca="1">IF($B$6="ON", IF(V58&gt;=covid_start, IF(V58&lt;covid_recovery,NA(),SUMIFS(INDIRECT("Data_main"&amp;"["&amp;V$8&amp;"]"),Data_main[Data],$A61, Data_main[Segment],$B61, Data_main[Scenario],$B$3)),SUMIFS(INDIRECT("Data_main"&amp;"["&amp;V$8&amp;"]"),Data_main[Data],$A61, Data_main[Segment],$B61, Data_main[Scenario],$B$3)),SUMIFS(INDIRECT("Data_main"&amp;"["&amp;V$8&amp;"]"),Data_main[Data],$A61, Data_main[Segment],$B61, Data_main[Scenario],$B$3))</f>
        <v>825.00256970733778</v>
      </c>
      <c r="W61" s="390">
        <f ca="1">IF($B$6="ON", IF(W58&gt;=covid_start, IF(W58&lt;covid_recovery,NA(),SUMIFS(INDIRECT("Data_main"&amp;"["&amp;W$8&amp;"]"),Data_main[Data],$A61, Data_main[Segment],$B61, Data_main[Scenario],$B$3)),SUMIFS(INDIRECT("Data_main"&amp;"["&amp;W$8&amp;"]"),Data_main[Data],$A61, Data_main[Segment],$B61, Data_main[Scenario],$B$3)),SUMIFS(INDIRECT("Data_main"&amp;"["&amp;W$8&amp;"]"),Data_main[Data],$A61, Data_main[Segment],$B61, Data_main[Scenario],$B$3))</f>
        <v>768.59166787363779</v>
      </c>
      <c r="X61" s="390">
        <f ca="1">IF($B$6="ON", IF(X58&gt;=covid_start, IF(X58&lt;covid_recovery,NA(),SUMIFS(INDIRECT("Data_main"&amp;"["&amp;X$8&amp;"]"),Data_main[Data],$A61, Data_main[Segment],$B61, Data_main[Scenario],$B$3)),SUMIFS(INDIRECT("Data_main"&amp;"["&amp;X$8&amp;"]"),Data_main[Data],$A61, Data_main[Segment],$B61, Data_main[Scenario],$B$3)),SUMIFS(INDIRECT("Data_main"&amp;"["&amp;X$8&amp;"]"),Data_main[Data],$A61, Data_main[Segment],$B61, Data_main[Scenario],$B$3))</f>
        <v>714.07168501599176</v>
      </c>
      <c r="Y61" s="390">
        <f ca="1">IF($B$6="ON", IF(Y58&gt;=covid_start, IF(Y58&lt;covid_recovery,NA(),SUMIFS(INDIRECT("Data_main"&amp;"["&amp;Y$8&amp;"]"),Data_main[Data],$A61, Data_main[Segment],$B61, Data_main[Scenario],$B$3)),SUMIFS(INDIRECT("Data_main"&amp;"["&amp;Y$8&amp;"]"),Data_main[Data],$A61, Data_main[Segment],$B61, Data_main[Scenario],$B$3)),SUMIFS(INDIRECT("Data_main"&amp;"["&amp;Y$8&amp;"]"),Data_main[Data],$A61, Data_main[Segment],$B61, Data_main[Scenario],$B$3))</f>
        <v>647.21706235194904</v>
      </c>
      <c r="Z61" s="390">
        <f ca="1">IF($B$6="ON", IF(Z58&gt;=covid_start, IF(Z58&lt;covid_recovery,NA(),SUMIFS(INDIRECT("Data_main"&amp;"["&amp;Z$8&amp;"]"),Data_main[Data],$A61, Data_main[Segment],$B61, Data_main[Scenario],$B$3)),SUMIFS(INDIRECT("Data_main"&amp;"["&amp;Z$8&amp;"]"),Data_main[Data],$A61, Data_main[Segment],$B61, Data_main[Scenario],$B$3)),SUMIFS(INDIRECT("Data_main"&amp;"["&amp;Z$8&amp;"]"),Data_main[Data],$A61, Data_main[Segment],$B61, Data_main[Scenario],$B$3))</f>
        <v>582.25841829502394</v>
      </c>
      <c r="AA61" s="390">
        <f ca="1">IF($B$6="ON", IF(AA58&gt;=covid_start, IF(AA58&lt;covid_recovery,NA(),SUMIFS(INDIRECT("Data_main"&amp;"["&amp;AA$8&amp;"]"),Data_main[Data],$A61, Data_main[Segment],$B61, Data_main[Scenario],$B$3)),SUMIFS(INDIRECT("Data_main"&amp;"["&amp;AA$8&amp;"]"),Data_main[Data],$A61, Data_main[Segment],$B61, Data_main[Scenario],$B$3)),SUMIFS(INDIRECT("Data_main"&amp;"["&amp;AA$8&amp;"]"),Data_main[Data],$A61, Data_main[Segment],$B61, Data_main[Scenario],$B$3))</f>
        <v>520.22530481333126</v>
      </c>
      <c r="AB61" s="390">
        <f ca="1">IF($B$6="ON", IF(AB58&gt;=covid_start, IF(AB58&lt;covid_recovery,NA(),SUMIFS(INDIRECT("Data_main"&amp;"["&amp;AB$8&amp;"]"),Data_main[Data],$A61, Data_main[Segment],$B61, Data_main[Scenario],$B$3)),SUMIFS(INDIRECT("Data_main"&amp;"["&amp;AB$8&amp;"]"),Data_main[Data],$A61, Data_main[Segment],$B61, Data_main[Scenario],$B$3)),SUMIFS(INDIRECT("Data_main"&amp;"["&amp;AB$8&amp;"]"),Data_main[Data],$A61, Data_main[Segment],$B61, Data_main[Scenario],$B$3))</f>
        <v>461.22016663049334</v>
      </c>
      <c r="AC61" s="390">
        <f ca="1">IF($B$6="ON", IF(AC58&gt;=covid_start, IF(AC58&lt;covid_recovery,NA(),SUMIFS(INDIRECT("Data_main"&amp;"["&amp;AC$8&amp;"]"),Data_main[Data],$A61, Data_main[Segment],$B61, Data_main[Scenario],$B$3)),SUMIFS(INDIRECT("Data_main"&amp;"["&amp;AC$8&amp;"]"),Data_main[Data],$A61, Data_main[Segment],$B61, Data_main[Scenario],$B$3)),SUMIFS(INDIRECT("Data_main"&amp;"["&amp;AC$8&amp;"]"),Data_main[Data],$A61, Data_main[Segment],$B61, Data_main[Scenario],$B$3))</f>
        <v>405.32166134421749</v>
      </c>
      <c r="AD61" s="390">
        <f ca="1">IF($B$6="ON", IF(AD58&gt;=covid_start, IF(AD58&lt;covid_recovery,NA(),SUMIFS(INDIRECT("Data_main"&amp;"["&amp;AD$8&amp;"]"),Data_main[Data],$A61, Data_main[Segment],$B61, Data_main[Scenario],$B$3)),SUMIFS(INDIRECT("Data_main"&amp;"["&amp;AD$8&amp;"]"),Data_main[Data],$A61, Data_main[Segment],$B61, Data_main[Scenario],$B$3)),SUMIFS(INDIRECT("Data_main"&amp;"["&amp;AD$8&amp;"]"),Data_main[Data],$A61, Data_main[Segment],$B61, Data_main[Scenario],$B$3))</f>
        <v>352.53134578907668</v>
      </c>
      <c r="AE61" s="390">
        <f ca="1">IF($B$6="ON", IF(AE58&gt;=covid_start, IF(AE58&lt;covid_recovery,NA(),SUMIFS(INDIRECT("Data_main"&amp;"["&amp;AE$8&amp;"]"),Data_main[Data],$A61, Data_main[Segment],$B61, Data_main[Scenario],$B$3)),SUMIFS(INDIRECT("Data_main"&amp;"["&amp;AE$8&amp;"]"),Data_main[Data],$A61, Data_main[Segment],$B61, Data_main[Scenario],$B$3)),SUMIFS(INDIRECT("Data_main"&amp;"["&amp;AE$8&amp;"]"),Data_main[Data],$A61, Data_main[Segment],$B61, Data_main[Scenario],$B$3))</f>
        <v>307.15113447020349</v>
      </c>
      <c r="AF61" s="390">
        <f ca="1">IF($B$6="ON", IF(AF58&gt;=covid_start, IF(AF58&lt;covid_recovery,NA(),SUMIFS(INDIRECT("Data_main"&amp;"["&amp;AF$8&amp;"]"),Data_main[Data],$A61, Data_main[Segment],$B61, Data_main[Scenario],$B$3)),SUMIFS(INDIRECT("Data_main"&amp;"["&amp;AF$8&amp;"]"),Data_main[Data],$A61, Data_main[Segment],$B61, Data_main[Scenario],$B$3)),SUMIFS(INDIRECT("Data_main"&amp;"["&amp;AF$8&amp;"]"),Data_main[Data],$A61, Data_main[Segment],$B61, Data_main[Scenario],$B$3))</f>
        <v>264.4245207164584</v>
      </c>
      <c r="AG61" s="390">
        <f ca="1">IF($B$6="ON", IF(AG58&gt;=covid_start, IF(AG58&lt;covid_recovery,NA(),SUMIFS(INDIRECT("Data_main"&amp;"["&amp;AG$8&amp;"]"),Data_main[Data],$A61, Data_main[Segment],$B61, Data_main[Scenario],$B$3)),SUMIFS(INDIRECT("Data_main"&amp;"["&amp;AG$8&amp;"]"),Data_main[Data],$A61, Data_main[Segment],$B61, Data_main[Scenario],$B$3)),SUMIFS(INDIRECT("Data_main"&amp;"["&amp;AG$8&amp;"]"),Data_main[Data],$A61, Data_main[Segment],$B61, Data_main[Scenario],$B$3))</f>
        <v>224.13965561900861</v>
      </c>
      <c r="AH61" s="390">
        <f ca="1">IF($B$6="ON", IF(AH58&gt;=covid_start, IF(AH58&lt;covid_recovery,NA(),SUMIFS(INDIRECT("Data_main"&amp;"["&amp;AH$8&amp;"]"),Data_main[Data],$A61, Data_main[Segment],$B61, Data_main[Scenario],$B$3)),SUMIFS(INDIRECT("Data_main"&amp;"["&amp;AH$8&amp;"]"),Data_main[Data],$A61, Data_main[Segment],$B61, Data_main[Scenario],$B$3)),SUMIFS(INDIRECT("Data_main"&amp;"["&amp;AH$8&amp;"]"),Data_main[Data],$A61, Data_main[Segment],$B61, Data_main[Scenario],$B$3))</f>
        <v>186.05705593692781</v>
      </c>
      <c r="AI61" s="390">
        <f ca="1">IF($B$6="ON", IF(AI58&gt;=covid_start, IF(AI58&lt;covid_recovery,NA(),SUMIFS(INDIRECT("Data_main"&amp;"["&amp;AI$8&amp;"]"),Data_main[Data],$A61, Data_main[Segment],$B61, Data_main[Scenario],$B$3)),SUMIFS(INDIRECT("Data_main"&amp;"["&amp;AI$8&amp;"]"),Data_main[Data],$A61, Data_main[Segment],$B61, Data_main[Scenario],$B$3)),SUMIFS(INDIRECT("Data_main"&amp;"["&amp;AI$8&amp;"]"),Data_main[Data],$A61, Data_main[Segment],$B61, Data_main[Scenario],$B$3))</f>
        <v>149.93217557498562</v>
      </c>
      <c r="AJ61" s="390">
        <f ca="1">IF($B$6="ON", IF(AJ58&gt;=covid_start, IF(AJ58&lt;covid_recovery,NA(),SUMIFS(INDIRECT("Data_main"&amp;"["&amp;AJ$8&amp;"]"),Data_main[Data],$A61, Data_main[Segment],$B61, Data_main[Scenario],$B$3)),SUMIFS(INDIRECT("Data_main"&amp;"["&amp;AJ$8&amp;"]"),Data_main[Data],$A61, Data_main[Segment],$B61, Data_main[Scenario],$B$3)),SUMIFS(INDIRECT("Data_main"&amp;"["&amp;AJ$8&amp;"]"),Data_main[Data],$A61, Data_main[Segment],$B61, Data_main[Scenario],$B$3))</f>
        <v>115.20871050249102</v>
      </c>
      <c r="AK61" s="390">
        <f ca="1">IF($B$6="ON", IF(AK58&gt;=covid_start, IF(AK58&lt;covid_recovery,NA(),SUMIFS(INDIRECT("Data_main"&amp;"["&amp;AK$8&amp;"]"),Data_main[Data],$A61, Data_main[Segment],$B61, Data_main[Scenario],$B$3)),SUMIFS(INDIRECT("Data_main"&amp;"["&amp;AK$8&amp;"]"),Data_main[Data],$A61, Data_main[Segment],$B61, Data_main[Scenario],$B$3)),SUMIFS(INDIRECT("Data_main"&amp;"["&amp;AK$8&amp;"]"),Data_main[Data],$A61, Data_main[Segment],$B61, Data_main[Scenario],$B$3))</f>
        <v>82.030625124768079</v>
      </c>
      <c r="AL61" s="390">
        <f ca="1">IF($B$6="ON", IF(AL58&gt;=covid_start, IF(AL58&lt;covid_recovery,NA(),SUMIFS(INDIRECT("Data_main"&amp;"["&amp;AL$8&amp;"]"),Data_main[Data],$A61, Data_main[Segment],$B61, Data_main[Scenario],$B$3)),SUMIFS(INDIRECT("Data_main"&amp;"["&amp;AL$8&amp;"]"),Data_main[Data],$A61, Data_main[Segment],$B61, Data_main[Scenario],$B$3)),SUMIFS(INDIRECT("Data_main"&amp;"["&amp;AL$8&amp;"]"),Data_main[Data],$A61, Data_main[Segment],$B61, Data_main[Scenario],$B$3))</f>
        <v>50.227281453848306</v>
      </c>
      <c r="AM61" s="390">
        <f ca="1">IF($B$6="ON", IF(AM58&gt;=covid_start, IF(AM58&lt;covid_recovery,NA(),SUMIFS(INDIRECT("Data_main"&amp;"["&amp;AM$8&amp;"]"),Data_main[Data],$A61, Data_main[Segment],$B61, Data_main[Scenario],$B$3)),SUMIFS(INDIRECT("Data_main"&amp;"["&amp;AM$8&amp;"]"),Data_main[Data],$A61, Data_main[Segment],$B61, Data_main[Scenario],$B$3)),SUMIFS(INDIRECT("Data_main"&amp;"["&amp;AM$8&amp;"]"),Data_main[Data],$A61, Data_main[Segment],$B61, Data_main[Scenario],$B$3))</f>
        <v>38.95294021198491</v>
      </c>
      <c r="AN61" s="390">
        <f ca="1">IF($B$6="ON", IF(AN58&gt;=covid_start, IF(AN58&lt;covid_recovery,NA(),SUMIFS(INDIRECT("Data_main"&amp;"["&amp;AN$8&amp;"]"),Data_main[Data],$A61, Data_main[Segment],$B61, Data_main[Scenario],$B$3)),SUMIFS(INDIRECT("Data_main"&amp;"["&amp;AN$8&amp;"]"),Data_main[Data],$A61, Data_main[Segment],$B61, Data_main[Scenario],$B$3)),SUMIFS(INDIRECT("Data_main"&amp;"["&amp;AN$8&amp;"]"),Data_main[Data],$A61, Data_main[Segment],$B61, Data_main[Scenario],$B$3))</f>
        <v>33.353068506402145</v>
      </c>
      <c r="AO61" s="390">
        <f ca="1">IF($B$6="ON", IF(AO58&gt;=covid_start, IF(AO58&lt;covid_recovery,NA(),SUMIFS(INDIRECT("Data_main"&amp;"["&amp;AO$8&amp;"]"),Data_main[Data],$A61, Data_main[Segment],$B61, Data_main[Scenario],$B$3)),SUMIFS(INDIRECT("Data_main"&amp;"["&amp;AO$8&amp;"]"),Data_main[Data],$A61, Data_main[Segment],$B61, Data_main[Scenario],$B$3)),SUMIFS(INDIRECT("Data_main"&amp;"["&amp;AO$8&amp;"]"),Data_main[Data],$A61, Data_main[Segment],$B61, Data_main[Scenario],$B$3))</f>
        <v>0</v>
      </c>
      <c r="AP61" s="390">
        <f ca="1">IF($B$6="ON", IF(AP58&gt;=covid_start, IF(AP58&lt;covid_recovery,NA(),SUMIFS(INDIRECT("Data_main"&amp;"["&amp;AP$8&amp;"]"),Data_main[Data],$A61, Data_main[Segment],$B61, Data_main[Scenario],$B$3)),SUMIFS(INDIRECT("Data_main"&amp;"["&amp;AP$8&amp;"]"),Data_main[Data],$A61, Data_main[Segment],$B61, Data_main[Scenario],$B$3)),SUMIFS(INDIRECT("Data_main"&amp;"["&amp;AP$8&amp;"]"),Data_main[Data],$A61, Data_main[Segment],$B61, Data_main[Scenario],$B$3))</f>
        <v>0</v>
      </c>
      <c r="AQ61" s="390">
        <f ca="1">IF($B$6="ON", IF(AQ58&gt;=covid_start, IF(AQ58&lt;covid_recovery,NA(),SUMIFS(INDIRECT("Data_main"&amp;"["&amp;AQ$8&amp;"]"),Data_main[Data],$A61, Data_main[Segment],$B61, Data_main[Scenario],$B$3)),SUMIFS(INDIRECT("Data_main"&amp;"["&amp;AQ$8&amp;"]"),Data_main[Data],$A61, Data_main[Segment],$B61, Data_main[Scenario],$B$3)),SUMIFS(INDIRECT("Data_main"&amp;"["&amp;AQ$8&amp;"]"),Data_main[Data],$A61, Data_main[Segment],$B61, Data_main[Scenario],$B$3))</f>
        <v>0</v>
      </c>
      <c r="AR61" s="390">
        <f ca="1">IF($B$6="ON", IF(AR58&gt;=covid_start, IF(AR58&lt;covid_recovery,NA(),SUMIFS(INDIRECT("Data_main"&amp;"["&amp;AR$8&amp;"]"),Data_main[Data],$A61, Data_main[Segment],$B61, Data_main[Scenario],$B$3)),SUMIFS(INDIRECT("Data_main"&amp;"["&amp;AR$8&amp;"]"),Data_main[Data],$A61, Data_main[Segment],$B61, Data_main[Scenario],$B$3)),SUMIFS(INDIRECT("Data_main"&amp;"["&amp;AR$8&amp;"]"),Data_main[Data],$A61, Data_main[Segment],$B61, Data_main[Scenario],$B$3))</f>
        <v>0</v>
      </c>
      <c r="AS61" s="390">
        <f ca="1">IF($B$6="ON", IF(AS58&gt;=covid_start, IF(AS58&lt;covid_recovery,NA(),SUMIFS(INDIRECT("Data_main"&amp;"["&amp;AS$8&amp;"]"),Data_main[Data],$A61, Data_main[Segment],$B61, Data_main[Scenario],$B$3)),SUMIFS(INDIRECT("Data_main"&amp;"["&amp;AS$8&amp;"]"),Data_main[Data],$A61, Data_main[Segment],$B61, Data_main[Scenario],$B$3)),SUMIFS(INDIRECT("Data_main"&amp;"["&amp;AS$8&amp;"]"),Data_main[Data],$A61, Data_main[Segment],$B61, Data_main[Scenario],$B$3))</f>
        <v>0</v>
      </c>
      <c r="AT61" s="390">
        <f ca="1">IF($B$6="ON", IF(AT58&gt;=covid_start, IF(AT58&lt;covid_recovery,NA(),SUMIFS(INDIRECT("Data_main"&amp;"["&amp;AT$8&amp;"]"),Data_main[Data],$A61, Data_main[Segment],$B61, Data_main[Scenario],$B$3)),SUMIFS(INDIRECT("Data_main"&amp;"["&amp;AT$8&amp;"]"),Data_main[Data],$A61, Data_main[Segment],$B61, Data_main[Scenario],$B$3)),SUMIFS(INDIRECT("Data_main"&amp;"["&amp;AT$8&amp;"]"),Data_main[Data],$A61, Data_main[Segment],$B61, Data_main[Scenario],$B$3))</f>
        <v>0</v>
      </c>
      <c r="AU61" s="390">
        <f ca="1">IF($B$6="ON", IF(AU58&gt;=covid_start, IF(AU58&lt;covid_recovery,NA(),SUMIFS(INDIRECT("Data_main"&amp;"["&amp;AU$8&amp;"]"),Data_main[Data],$A61, Data_main[Segment],$B61, Data_main[Scenario],$B$3)),SUMIFS(INDIRECT("Data_main"&amp;"["&amp;AU$8&amp;"]"),Data_main[Data],$A61, Data_main[Segment],$B61, Data_main[Scenario],$B$3)),SUMIFS(INDIRECT("Data_main"&amp;"["&amp;AU$8&amp;"]"),Data_main[Data],$A61, Data_main[Segment],$B61, Data_main[Scenario],$B$3))</f>
        <v>0</v>
      </c>
      <c r="AV61" s="390">
        <f ca="1">IF($B$6="ON", IF(AV58&gt;=covid_start, IF(AV58&lt;covid_recovery,NA(),SUMIFS(INDIRECT("Data_main"&amp;"["&amp;AV$8&amp;"]"),Data_main[Data],$A61, Data_main[Segment],$B61, Data_main[Scenario],$B$3)),SUMIFS(INDIRECT("Data_main"&amp;"["&amp;AV$8&amp;"]"),Data_main[Data],$A61, Data_main[Segment],$B61, Data_main[Scenario],$B$3)),SUMIFS(INDIRECT("Data_main"&amp;"["&amp;AV$8&amp;"]"),Data_main[Data],$A61, Data_main[Segment],$B61, Data_main[Scenario],$B$3))</f>
        <v>0</v>
      </c>
      <c r="AW61" s="390">
        <f ca="1">IF($B$6="ON", IF(AW58&gt;=covid_start, IF(AW58&lt;covid_recovery,NA(),SUMIFS(INDIRECT("Data_main"&amp;"["&amp;AW$8&amp;"]"),Data_main[Data],$A61, Data_main[Segment],$B61, Data_main[Scenario],$B$3)),SUMIFS(INDIRECT("Data_main"&amp;"["&amp;AW$8&amp;"]"),Data_main[Data],$A61, Data_main[Segment],$B61, Data_main[Scenario],$B$3)),SUMIFS(INDIRECT("Data_main"&amp;"["&amp;AW$8&amp;"]"),Data_main[Data],$A61, Data_main[Segment],$B61, Data_main[Scenario],$B$3))</f>
        <v>0</v>
      </c>
      <c r="AX61" s="390">
        <f ca="1">IF($B$6="ON", IF(AX58&gt;=covid_start, IF(AX58&lt;covid_recovery,NA(),SUMIFS(INDIRECT("Data_main"&amp;"["&amp;AX$8&amp;"]"),Data_main[Data],$A61, Data_main[Segment],$B61, Data_main[Scenario],$B$3)),SUMIFS(INDIRECT("Data_main"&amp;"["&amp;AX$8&amp;"]"),Data_main[Data],$A61, Data_main[Segment],$B61, Data_main[Scenario],$B$3)),SUMIFS(INDIRECT("Data_main"&amp;"["&amp;AX$8&amp;"]"),Data_main[Data],$A61, Data_main[Segment],$B61, Data_main[Scenario],$B$3))</f>
        <v>0</v>
      </c>
      <c r="AY61" s="390">
        <f ca="1">IF($B$6="ON", IF(AY58&gt;=covid_start, IF(AY58&lt;covid_recovery,NA(),SUMIFS(INDIRECT("Data_main"&amp;"["&amp;AY$8&amp;"]"),Data_main[Data],$A61, Data_main[Segment],$B61, Data_main[Scenario],$B$3)),SUMIFS(INDIRECT("Data_main"&amp;"["&amp;AY$8&amp;"]"),Data_main[Data],$A61, Data_main[Segment],$B61, Data_main[Scenario],$B$3)),SUMIFS(INDIRECT("Data_main"&amp;"["&amp;AY$8&amp;"]"),Data_main[Data],$A61, Data_main[Segment],$B61, Data_main[Scenario],$B$3))</f>
        <v>0</v>
      </c>
      <c r="AZ61" s="390">
        <f ca="1">IF($B$6="ON", IF(AZ58&gt;=covid_start, IF(AZ58&lt;covid_recovery,NA(),SUMIFS(INDIRECT("Data_main"&amp;"["&amp;AZ$8&amp;"]"),Data_main[Data],$A61, Data_main[Segment],$B61, Data_main[Scenario],$B$3)),SUMIFS(INDIRECT("Data_main"&amp;"["&amp;AZ$8&amp;"]"),Data_main[Data],$A61, Data_main[Segment],$B61, Data_main[Scenario],$B$3)),SUMIFS(INDIRECT("Data_main"&amp;"["&amp;AZ$8&amp;"]"),Data_main[Data],$A61, Data_main[Segment],$B61, Data_main[Scenario],$B$3))</f>
        <v>0</v>
      </c>
      <c r="BA61" s="390">
        <f ca="1">IF($B$6="ON", IF(BA58&gt;=covid_start, IF(BA58&lt;covid_recovery,NA(),SUMIFS(INDIRECT("Data_main"&amp;"["&amp;BA$8&amp;"]"),Data_main[Data],$A61, Data_main[Segment],$B61, Data_main[Scenario],$B$3)),SUMIFS(INDIRECT("Data_main"&amp;"["&amp;BA$8&amp;"]"),Data_main[Data],$A61, Data_main[Segment],$B61, Data_main[Scenario],$B$3)),SUMIFS(INDIRECT("Data_main"&amp;"["&amp;BA$8&amp;"]"),Data_main[Data],$A61, Data_main[Segment],$B61, Data_main[Scenario],$B$3))</f>
        <v>0</v>
      </c>
      <c r="BB61" s="390">
        <f ca="1">IF($B$6="ON", IF(BB58&gt;=covid_start, IF(BB58&lt;covid_recovery,NA(),SUMIFS(INDIRECT("Data_main"&amp;"["&amp;BB$8&amp;"]"),Data_main[Data],$A61, Data_main[Segment],$B61, Data_main[Scenario],$B$3)),SUMIFS(INDIRECT("Data_main"&amp;"["&amp;BB$8&amp;"]"),Data_main[Data],$A61, Data_main[Segment],$B61, Data_main[Scenario],$B$3)),SUMIFS(INDIRECT("Data_main"&amp;"["&amp;BB$8&amp;"]"),Data_main[Data],$A61, Data_main[Segment],$B61, Data_main[Scenario],$B$3))</f>
        <v>0</v>
      </c>
      <c r="BC61" s="390">
        <f ca="1">IF($B$6="ON", IF(BC58&gt;=covid_start, IF(BC58&lt;covid_recovery,NA(),SUMIFS(INDIRECT("Data_main"&amp;"["&amp;BC$8&amp;"]"),Data_main[Data],$A61, Data_main[Segment],$B61, Data_main[Scenario],$B$3)),SUMIFS(INDIRECT("Data_main"&amp;"["&amp;BC$8&amp;"]"),Data_main[Data],$A61, Data_main[Segment],$B61, Data_main[Scenario],$B$3)),SUMIFS(INDIRECT("Data_main"&amp;"["&amp;BC$8&amp;"]"),Data_main[Data],$A61, Data_main[Segment],$B61, Data_main[Scenario],$B$3))</f>
        <v>0</v>
      </c>
      <c r="BD61" s="390">
        <f ca="1">IF($B$6="ON", IF(BD58&gt;=covid_start, IF(BD58&lt;covid_recovery,NA(),SUMIFS(INDIRECT("Data_main"&amp;"["&amp;BD$8&amp;"]"),Data_main[Data],$A61, Data_main[Segment],$B61, Data_main[Scenario],$B$3)),SUMIFS(INDIRECT("Data_main"&amp;"["&amp;BD$8&amp;"]"),Data_main[Data],$A61, Data_main[Segment],$B61, Data_main[Scenario],$B$3)),SUMIFS(INDIRECT("Data_main"&amp;"["&amp;BD$8&amp;"]"),Data_main[Data],$A61, Data_main[Segment],$B61, Data_main[Scenario],$B$3))</f>
        <v>0</v>
      </c>
      <c r="BE61" s="390">
        <f ca="1">IF($B$6="ON", IF(BE58&gt;=covid_start, IF(BE58&lt;covid_recovery,NA(),SUMIFS(INDIRECT("Data_main"&amp;"["&amp;BE$8&amp;"]"),Data_main[Data],$A61, Data_main[Segment],$B61, Data_main[Scenario],$B$3)),SUMIFS(INDIRECT("Data_main"&amp;"["&amp;BE$8&amp;"]"),Data_main[Data],$A61, Data_main[Segment],$B61, Data_main[Scenario],$B$3)),SUMIFS(INDIRECT("Data_main"&amp;"["&amp;BE$8&amp;"]"),Data_main[Data],$A61, Data_main[Segment],$B61, Data_main[Scenario],$B$3))</f>
        <v>0</v>
      </c>
      <c r="BF61" s="390">
        <f ca="1">IF($B$6="ON", IF(BF58&gt;=covid_start, IF(BF58&lt;covid_recovery,NA(),SUMIFS(INDIRECT("Data_main"&amp;"["&amp;BF$8&amp;"]"),Data_main[Data],$A61, Data_main[Segment],$B61, Data_main[Scenario],$B$3)),SUMIFS(INDIRECT("Data_main"&amp;"["&amp;BF$8&amp;"]"),Data_main[Data],$A61, Data_main[Segment],$B61, Data_main[Scenario],$B$3)),SUMIFS(INDIRECT("Data_main"&amp;"["&amp;BF$8&amp;"]"),Data_main[Data],$A61, Data_main[Segment],$B61, Data_main[Scenario],$B$3))</f>
        <v>0</v>
      </c>
      <c r="BG61" s="390">
        <f ca="1">IF($B$6="ON", IF(BG58&gt;=covid_start, IF(BG58&lt;covid_recovery,NA(),SUMIFS(INDIRECT("Data_main"&amp;"["&amp;BG$8&amp;"]"),Data_main[Data],$A61, Data_main[Segment],$B61, Data_main[Scenario],$B$3)),SUMIFS(INDIRECT("Data_main"&amp;"["&amp;BG$8&amp;"]"),Data_main[Data],$A61, Data_main[Segment],$B61, Data_main[Scenario],$B$3)),SUMIFS(INDIRECT("Data_main"&amp;"["&amp;BG$8&amp;"]"),Data_main[Data],$A61, Data_main[Segment],$B61, Data_main[Scenario],$B$3))</f>
        <v>0</v>
      </c>
      <c r="BH61" s="390">
        <f ca="1">IF($B$6="ON", IF(BH58&gt;=covid_start, IF(BH58&lt;covid_recovery,NA(),SUMIFS(INDIRECT("Data_main"&amp;"["&amp;BH$8&amp;"]"),Data_main[Data],$A61, Data_main[Segment],$B61, Data_main[Scenario],$B$3)),SUMIFS(INDIRECT("Data_main"&amp;"["&amp;BH$8&amp;"]"),Data_main[Data],$A61, Data_main[Segment],$B61, Data_main[Scenario],$B$3)),SUMIFS(INDIRECT("Data_main"&amp;"["&amp;BH$8&amp;"]"),Data_main[Data],$A61, Data_main[Segment],$B61, Data_main[Scenario],$B$3))</f>
        <v>0</v>
      </c>
      <c r="BI61" s="390">
        <f ca="1">IF($B$6="ON", IF(BI58&gt;=covid_start, IF(BI58&lt;covid_recovery,NA(),SUMIFS(INDIRECT("Data_main"&amp;"["&amp;BI$8&amp;"]"),Data_main[Data],$A61, Data_main[Segment],$B61, Data_main[Scenario],$B$3)),SUMIFS(INDIRECT("Data_main"&amp;"["&amp;BI$8&amp;"]"),Data_main[Data],$A61, Data_main[Segment],$B61, Data_main[Scenario],$B$3)),SUMIFS(INDIRECT("Data_main"&amp;"["&amp;BI$8&amp;"]"),Data_main[Data],$A61, Data_main[Segment],$B61, Data_main[Scenario],$B$3))</f>
        <v>0</v>
      </c>
      <c r="BJ61" s="390">
        <f ca="1">IF($B$6="ON", IF(BJ58&gt;=covid_start, IF(BJ58&lt;covid_recovery,NA(),SUMIFS(INDIRECT("Data_main"&amp;"["&amp;BJ$8&amp;"]"),Data_main[Data],$A61, Data_main[Segment],$B61, Data_main[Scenario],$B$3)),SUMIFS(INDIRECT("Data_main"&amp;"["&amp;BJ$8&amp;"]"),Data_main[Data],$A61, Data_main[Segment],$B61, Data_main[Scenario],$B$3)),SUMIFS(INDIRECT("Data_main"&amp;"["&amp;BJ$8&amp;"]"),Data_main[Data],$A61, Data_main[Segment],$B61, Data_main[Scenario],$B$3))</f>
        <v>0</v>
      </c>
      <c r="BK61" s="390">
        <f ca="1">IF($B$6="ON", IF(BK58&gt;=covid_start, IF(BK58&lt;covid_recovery,NA(),SUMIFS(INDIRECT("Data_main"&amp;"["&amp;BK$8&amp;"]"),Data_main[Data],$A61, Data_main[Segment],$B61, Data_main[Scenario],$B$3)),SUMIFS(INDIRECT("Data_main"&amp;"["&amp;BK$8&amp;"]"),Data_main[Data],$A61, Data_main[Segment],$B61, Data_main[Scenario],$B$3)),SUMIFS(INDIRECT("Data_main"&amp;"["&amp;BK$8&amp;"]"),Data_main[Data],$A61, Data_main[Segment],$B61, Data_main[Scenario],$B$3))</f>
        <v>0</v>
      </c>
      <c r="BL61" s="390">
        <f ca="1">IF($B$6="ON", IF(BL58&gt;=covid_start, IF(BL58&lt;covid_recovery,NA(),SUMIFS(INDIRECT("Data_main"&amp;"["&amp;BL$8&amp;"]"),Data_main[Data],$A61, Data_main[Segment],$B61, Data_main[Scenario],$B$3)),SUMIFS(INDIRECT("Data_main"&amp;"["&amp;BL$8&amp;"]"),Data_main[Data],$A61, Data_main[Segment],$B61, Data_main[Scenario],$B$3)),SUMIFS(INDIRECT("Data_main"&amp;"["&amp;BL$8&amp;"]"),Data_main[Data],$A61, Data_main[Segment],$B61, Data_main[Scenario],$B$3))</f>
        <v>0</v>
      </c>
      <c r="BM61" s="390">
        <f ca="1">IF($B$6="ON", IF(BM58&gt;=covid_start, IF(BM58&lt;covid_recovery,NA(),SUMIFS(INDIRECT("Data_main"&amp;"["&amp;BM$8&amp;"]"),Data_main[Data],$A61, Data_main[Segment],$B61, Data_main[Scenario],$B$3)),SUMIFS(INDIRECT("Data_main"&amp;"["&amp;BM$8&amp;"]"),Data_main[Data],$A61, Data_main[Segment],$B61, Data_main[Scenario],$B$3)),SUMIFS(INDIRECT("Data_main"&amp;"["&amp;BM$8&amp;"]"),Data_main[Data],$A61, Data_main[Segment],$B61, Data_main[Scenario],$B$3))</f>
        <v>0</v>
      </c>
      <c r="BN61" s="390">
        <f ca="1">IF($B$6="ON", IF(BN58&gt;=covid_start, IF(BN58&lt;covid_recovery,NA(),SUMIFS(INDIRECT("Data_main"&amp;"["&amp;BN$8&amp;"]"),Data_main[Data],$A61, Data_main[Segment],$B61, Data_main[Scenario],$B$3)),SUMIFS(INDIRECT("Data_main"&amp;"["&amp;BN$8&amp;"]"),Data_main[Data],$A61, Data_main[Segment],$B61, Data_main[Scenario],$B$3)),SUMIFS(INDIRECT("Data_main"&amp;"["&amp;BN$8&amp;"]"),Data_main[Data],$A61, Data_main[Segment],$B61, Data_main[Scenario],$B$3))</f>
        <v>0</v>
      </c>
      <c r="BO61" s="390">
        <f ca="1">IF($B$6="ON", IF(BO58&gt;=covid_start, IF(BO58&lt;covid_recovery,NA(),SUMIFS(INDIRECT("Data_main"&amp;"["&amp;BO$8&amp;"]"),Data_main[Data],$A61, Data_main[Segment],$B61, Data_main[Scenario],$B$3)),SUMIFS(INDIRECT("Data_main"&amp;"["&amp;BO$8&amp;"]"),Data_main[Data],$A61, Data_main[Segment],$B61, Data_main[Scenario],$B$3)),SUMIFS(INDIRECT("Data_main"&amp;"["&amp;BO$8&amp;"]"),Data_main[Data],$A61, Data_main[Segment],$B61, Data_main[Scenario],$B$3))</f>
        <v>0</v>
      </c>
      <c r="BP61" s="390">
        <f ca="1">IF($B$6="ON", IF(BP58&gt;=covid_start, IF(BP58&lt;covid_recovery,NA(),SUMIFS(INDIRECT("Data_main"&amp;"["&amp;BP$8&amp;"]"),Data_main[Data],$A61, Data_main[Segment],$B61, Data_main[Scenario],$B$3)),SUMIFS(INDIRECT("Data_main"&amp;"["&amp;BP$8&amp;"]"),Data_main[Data],$A61, Data_main[Segment],$B61, Data_main[Scenario],$B$3)),SUMIFS(INDIRECT("Data_main"&amp;"["&amp;BP$8&amp;"]"),Data_main[Data],$A61, Data_main[Segment],$B61, Data_main[Scenario],$B$3))</f>
        <v>0</v>
      </c>
      <c r="BQ61" s="390">
        <f ca="1">IF($B$6="ON", IF(BQ58&gt;=covid_start, IF(BQ58&lt;covid_recovery,NA(),SUMIFS(INDIRECT("Data_main"&amp;"["&amp;BQ$8&amp;"]"),Data_main[Data],$A61, Data_main[Segment],$B61, Data_main[Scenario],$B$3)),SUMIFS(INDIRECT("Data_main"&amp;"["&amp;BQ$8&amp;"]"),Data_main[Data],$A61, Data_main[Segment],$B61, Data_main[Scenario],$B$3)),SUMIFS(INDIRECT("Data_main"&amp;"["&amp;BQ$8&amp;"]"),Data_main[Data],$A61, Data_main[Segment],$B61, Data_main[Scenario],$B$3))</f>
        <v>0</v>
      </c>
      <c r="BR61" s="390">
        <f ca="1">IF($B$6="ON", IF(BR58&gt;=covid_start, IF(BR58&lt;covid_recovery,NA(),SUMIFS(INDIRECT("Data_main"&amp;"["&amp;BR$8&amp;"]"),Data_main[Data],$A61, Data_main[Segment],$B61, Data_main[Scenario],$B$3)),SUMIFS(INDIRECT("Data_main"&amp;"["&amp;BR$8&amp;"]"),Data_main[Data],$A61, Data_main[Segment],$B61, Data_main[Scenario],$B$3)),SUMIFS(INDIRECT("Data_main"&amp;"["&amp;BR$8&amp;"]"),Data_main[Data],$A61, Data_main[Segment],$B61, Data_main[Scenario],$B$3))</f>
        <v>0</v>
      </c>
      <c r="BS61" s="390">
        <f ca="1">IF($B$6="ON", IF(BS58&gt;=covid_start, IF(BS58&lt;covid_recovery,NA(),SUMIFS(INDIRECT("Data_main"&amp;"["&amp;BS$8&amp;"]"),Data_main[Data],$A61, Data_main[Segment],$B61, Data_main[Scenario],$B$3)),SUMIFS(INDIRECT("Data_main"&amp;"["&amp;BS$8&amp;"]"),Data_main[Data],$A61, Data_main[Segment],$B61, Data_main[Scenario],$B$3)),SUMIFS(INDIRECT("Data_main"&amp;"["&amp;BS$8&amp;"]"),Data_main[Data],$A61, Data_main[Segment],$B61, Data_main[Scenario],$B$3))</f>
        <v>0</v>
      </c>
      <c r="BT61" s="390">
        <f ca="1">IF($B$6="ON", IF(BT58&gt;=covid_start, IF(BT58&lt;covid_recovery,NA(),SUMIFS(INDIRECT("Data_main"&amp;"["&amp;BT$8&amp;"]"),Data_main[Data],$A61, Data_main[Segment],$B61, Data_main[Scenario],$B$3)),SUMIFS(INDIRECT("Data_main"&amp;"["&amp;BT$8&amp;"]"),Data_main[Data],$A61, Data_main[Segment],$B61, Data_main[Scenario],$B$3)),SUMIFS(INDIRECT("Data_main"&amp;"["&amp;BT$8&amp;"]"),Data_main[Data],$A61, Data_main[Segment],$B61, Data_main[Scenario],$B$3))</f>
        <v>0</v>
      </c>
      <c r="BU61" s="390">
        <f ca="1">IF($B$6="ON", IF(BU58&gt;=covid_start, IF(BU58&lt;covid_recovery,NA(),SUMIFS(INDIRECT("Data_main"&amp;"["&amp;BU$8&amp;"]"),Data_main[Data],$A61, Data_main[Segment],$B61, Data_main[Scenario],$B$3)),SUMIFS(INDIRECT("Data_main"&amp;"["&amp;BU$8&amp;"]"),Data_main[Data],$A61, Data_main[Segment],$B61, Data_main[Scenario],$B$3)),SUMIFS(INDIRECT("Data_main"&amp;"["&amp;BU$8&amp;"]"),Data_main[Data],$A61, Data_main[Segment],$B61, Data_main[Scenario],$B$3))</f>
        <v>0</v>
      </c>
      <c r="BV61" s="390">
        <f ca="1">IF($B$6="ON", IF(BV58&gt;=covid_start, IF(BV58&lt;covid_recovery,NA(),SUMIFS(INDIRECT("Data_main"&amp;"["&amp;BV$8&amp;"]"),Data_main[Data],$A61, Data_main[Segment],$B61, Data_main[Scenario],$B$3)),SUMIFS(INDIRECT("Data_main"&amp;"["&amp;BV$8&amp;"]"),Data_main[Data],$A61, Data_main[Segment],$B61, Data_main[Scenario],$B$3)),SUMIFS(INDIRECT("Data_main"&amp;"["&amp;BV$8&amp;"]"),Data_main[Data],$A61, Data_main[Segment],$B61, Data_main[Scenario],$B$3))</f>
        <v>0</v>
      </c>
      <c r="BW61" s="390">
        <f ca="1">IF($B$6="ON", IF(BW58&gt;=covid_start, IF(BW58&lt;covid_recovery,NA(),SUMIFS(INDIRECT("Data_main"&amp;"["&amp;BW$8&amp;"]"),Data_main[Data],$A61, Data_main[Segment],$B61, Data_main[Scenario],$B$3)),SUMIFS(INDIRECT("Data_main"&amp;"["&amp;BW$8&amp;"]"),Data_main[Data],$A61, Data_main[Segment],$B61, Data_main[Scenario],$B$3)),SUMIFS(INDIRECT("Data_main"&amp;"["&amp;BW$8&amp;"]"),Data_main[Data],$A61, Data_main[Segment],$B61, Data_main[Scenario],$B$3))</f>
        <v>0</v>
      </c>
      <c r="BX61" s="390">
        <f ca="1">IF($B$6="ON", IF(BX58&gt;=covid_start, IF(BX58&lt;covid_recovery,NA(),SUMIFS(INDIRECT("Data_main"&amp;"["&amp;BX$8&amp;"]"),Data_main[Data],$A61, Data_main[Segment],$B61, Data_main[Scenario],$B$3)),SUMIFS(INDIRECT("Data_main"&amp;"["&amp;BX$8&amp;"]"),Data_main[Data],$A61, Data_main[Segment],$B61, Data_main[Scenario],$B$3)),SUMIFS(INDIRECT("Data_main"&amp;"["&amp;BX$8&amp;"]"),Data_main[Data],$A61, Data_main[Segment],$B61, Data_main[Scenario],$B$3))</f>
        <v>0</v>
      </c>
      <c r="BY61" s="390">
        <f ca="1">IF($B$6="ON", IF(BY58&gt;=covid_start, IF(BY58&lt;covid_recovery,NA(),SUMIFS(INDIRECT("Data_main"&amp;"["&amp;BY$8&amp;"]"),Data_main[Data],$A61, Data_main[Segment],$B61, Data_main[Scenario],$B$3)),SUMIFS(INDIRECT("Data_main"&amp;"["&amp;BY$8&amp;"]"),Data_main[Data],$A61, Data_main[Segment],$B61, Data_main[Scenario],$B$3)),SUMIFS(INDIRECT("Data_main"&amp;"["&amp;BY$8&amp;"]"),Data_main[Data],$A61, Data_main[Segment],$B61, Data_main[Scenario],$B$3))</f>
        <v>0</v>
      </c>
      <c r="BZ61" s="390">
        <f ca="1">IF($B$6="ON", IF(BZ58&gt;=covid_start, IF(BZ58&lt;covid_recovery,NA(),SUMIFS(INDIRECT("Data_main"&amp;"["&amp;BZ$8&amp;"]"),Data_main[Data],$A61, Data_main[Segment],$B61, Data_main[Scenario],$B$3)),SUMIFS(INDIRECT("Data_main"&amp;"["&amp;BZ$8&amp;"]"),Data_main[Data],$A61, Data_main[Segment],$B61, Data_main[Scenario],$B$3)),SUMIFS(INDIRECT("Data_main"&amp;"["&amp;BZ$8&amp;"]"),Data_main[Data],$A61, Data_main[Segment],$B61, Data_main[Scenario],$B$3))</f>
        <v>0</v>
      </c>
      <c r="CA61" s="390">
        <f ca="1">IF($B$6="ON", IF(CA58&gt;=covid_start, IF(CA58&lt;covid_recovery,NA(),SUMIFS(INDIRECT("Data_main"&amp;"["&amp;CA$8&amp;"]"),Data_main[Data],$A61, Data_main[Segment],$B61, Data_main[Scenario],$B$3)),SUMIFS(INDIRECT("Data_main"&amp;"["&amp;CA$8&amp;"]"),Data_main[Data],$A61, Data_main[Segment],$B61, Data_main[Scenario],$B$3)),SUMIFS(INDIRECT("Data_main"&amp;"["&amp;CA$8&amp;"]"),Data_main[Data],$A61, Data_main[Segment],$B61, Data_main[Scenario],$B$3))</f>
        <v>0</v>
      </c>
      <c r="CB61" s="390">
        <f ca="1">IF($B$6="ON", IF(CB58&gt;=covid_start, IF(CB58&lt;covid_recovery,NA(),SUMIFS(INDIRECT("Data_main"&amp;"["&amp;CB$8&amp;"]"),Data_main[Data],$A61, Data_main[Segment],$B61, Data_main[Scenario],$B$3)),SUMIFS(INDIRECT("Data_main"&amp;"["&amp;CB$8&amp;"]"),Data_main[Data],$A61, Data_main[Segment],$B61, Data_main[Scenario],$B$3)),SUMIFS(INDIRECT("Data_main"&amp;"["&amp;CB$8&amp;"]"),Data_main[Data],$A61, Data_main[Segment],$B61, Data_main[Scenario],$B$3))</f>
        <v>0</v>
      </c>
      <c r="CC61" s="390">
        <f ca="1">IF($B$6="ON", IF(CC58&gt;=covid_start, IF(CC58&lt;covid_recovery,NA(),SUMIFS(INDIRECT("Data_main"&amp;"["&amp;CC$8&amp;"]"),Data_main[Data],$A61, Data_main[Segment],$B61, Data_main[Scenario],$B$3)),SUMIFS(INDIRECT("Data_main"&amp;"["&amp;CC$8&amp;"]"),Data_main[Data],$A61, Data_main[Segment],$B61, Data_main[Scenario],$B$3)),SUMIFS(INDIRECT("Data_main"&amp;"["&amp;CC$8&amp;"]"),Data_main[Data],$A61, Data_main[Segment],$B61, Data_main[Scenario],$B$3))</f>
        <v>0</v>
      </c>
      <c r="CD61" s="390">
        <f ca="1">IF($B$6="ON", IF(CD58&gt;=covid_start, IF(CD58&lt;covid_recovery,NA(),SUMIFS(INDIRECT("Data_main"&amp;"["&amp;CD$8&amp;"]"),Data_main[Data],$A61, Data_main[Segment],$B61, Data_main[Scenario],$B$3)),SUMIFS(INDIRECT("Data_main"&amp;"["&amp;CD$8&amp;"]"),Data_main[Data],$A61, Data_main[Segment],$B61, Data_main[Scenario],$B$3)),SUMIFS(INDIRECT("Data_main"&amp;"["&amp;CD$8&amp;"]"),Data_main[Data],$A61, Data_main[Segment],$B61, Data_main[Scenario],$B$3))</f>
        <v>0</v>
      </c>
      <c r="CE61" s="390">
        <f ca="1">IF($B$6="ON", IF(CE58&gt;=covid_start, IF(CE58&lt;covid_recovery,NA(),SUMIFS(INDIRECT("Data_main"&amp;"["&amp;CE$8&amp;"]"),Data_main[Data],$A61, Data_main[Segment],$B61, Data_main[Scenario],$B$3)),SUMIFS(INDIRECT("Data_main"&amp;"["&amp;CE$8&amp;"]"),Data_main[Data],$A61, Data_main[Segment],$B61, Data_main[Scenario],$B$3)),SUMIFS(INDIRECT("Data_main"&amp;"["&amp;CE$8&amp;"]"),Data_main[Data],$A61, Data_main[Segment],$B61, Data_main[Scenario],$B$3))</f>
        <v>0</v>
      </c>
      <c r="CF61" s="390">
        <f ca="1">IF($B$6="ON", IF(CF58&gt;=covid_start, IF(CF58&lt;covid_recovery,NA(),SUMIFS(INDIRECT("Data_main"&amp;"["&amp;CF$8&amp;"]"),Data_main[Data],$A61, Data_main[Segment],$B61, Data_main[Scenario],$B$3)),SUMIFS(INDIRECT("Data_main"&amp;"["&amp;CF$8&amp;"]"),Data_main[Data],$A61, Data_main[Segment],$B61, Data_main[Scenario],$B$3)),SUMIFS(INDIRECT("Data_main"&amp;"["&amp;CF$8&amp;"]"),Data_main[Data],$A61, Data_main[Segment],$B61, Data_main[Scenario],$B$3))</f>
        <v>0</v>
      </c>
      <c r="CG61" s="390">
        <f ca="1">IF($B$6="ON", IF(CG58&gt;=covid_start, IF(CG58&lt;covid_recovery,NA(),SUMIFS(INDIRECT("Data_main"&amp;"["&amp;CG$8&amp;"]"),Data_main[Data],$A61, Data_main[Segment],$B61, Data_main[Scenario],$B$3)),SUMIFS(INDIRECT("Data_main"&amp;"["&amp;CG$8&amp;"]"),Data_main[Data],$A61, Data_main[Segment],$B61, Data_main[Scenario],$B$3)),SUMIFS(INDIRECT("Data_main"&amp;"["&amp;CG$8&amp;"]"),Data_main[Data],$A61, Data_main[Segment],$B61, Data_main[Scenario],$B$3))</f>
        <v>0</v>
      </c>
      <c r="CH61" s="390">
        <f ca="1">IF($B$6="ON", IF(CH58&gt;=covid_start, IF(CH58&lt;covid_recovery,NA(),SUMIFS(INDIRECT("Data_main"&amp;"["&amp;CH$8&amp;"]"),Data_main[Data],$A61, Data_main[Segment],$B61, Data_main[Scenario],$B$3)),SUMIFS(INDIRECT("Data_main"&amp;"["&amp;CH$8&amp;"]"),Data_main[Data],$A61, Data_main[Segment],$B61, Data_main[Scenario],$B$3)),SUMIFS(INDIRECT("Data_main"&amp;"["&amp;CH$8&amp;"]"),Data_main[Data],$A61, Data_main[Segment],$B61, Data_main[Scenario],$B$3))</f>
        <v>0</v>
      </c>
      <c r="CI61" s="390">
        <f ca="1">IF($B$6="ON", IF(CI58&gt;=covid_start, IF(CI58&lt;covid_recovery,NA(),SUMIFS(INDIRECT("Data_main"&amp;"["&amp;CI$8&amp;"]"),Data_main[Data],$A61, Data_main[Segment],$B61, Data_main[Scenario],$B$3)),SUMIFS(INDIRECT("Data_main"&amp;"["&amp;CI$8&amp;"]"),Data_main[Data],$A61, Data_main[Segment],$B61, Data_main[Scenario],$B$3)),SUMIFS(INDIRECT("Data_main"&amp;"["&amp;CI$8&amp;"]"),Data_main[Data],$A61, Data_main[Segment],$B61, Data_main[Scenario],$B$3))</f>
        <v>0</v>
      </c>
      <c r="CJ61" s="390">
        <f ca="1">IF($B$6="ON", IF(CJ58&gt;=covid_start, IF(CJ58&lt;covid_recovery,NA(),SUMIFS(INDIRECT("Data_main"&amp;"["&amp;CJ$8&amp;"]"),Data_main[Data],$A61, Data_main[Segment],$B61, Data_main[Scenario],$B$3)),SUMIFS(INDIRECT("Data_main"&amp;"["&amp;CJ$8&amp;"]"),Data_main[Data],$A61, Data_main[Segment],$B61, Data_main[Scenario],$B$3)),SUMIFS(INDIRECT("Data_main"&amp;"["&amp;CJ$8&amp;"]"),Data_main[Data],$A61, Data_main[Segment],$B61, Data_main[Scenario],$B$3))</f>
        <v>0</v>
      </c>
      <c r="CK61" s="390">
        <f ca="1">IF($B$6="ON", IF(CK58&gt;=covid_start, IF(CK58&lt;covid_recovery,NA(),SUMIFS(INDIRECT("Data_main"&amp;"["&amp;CK$8&amp;"]"),Data_main[Data],$A61, Data_main[Segment],$B61, Data_main[Scenario],$B$3)),SUMIFS(INDIRECT("Data_main"&amp;"["&amp;CK$8&amp;"]"),Data_main[Data],$A61, Data_main[Segment],$B61, Data_main[Scenario],$B$3)),SUMIFS(INDIRECT("Data_main"&amp;"["&amp;CK$8&amp;"]"),Data_main[Data],$A61, Data_main[Segment],$B61, Data_main[Scenario],$B$3))</f>
        <v>0</v>
      </c>
      <c r="CL61" s="390">
        <f ca="1">IF($B$6="ON", IF(CL58&gt;=covid_start, IF(CL58&lt;covid_recovery,NA(),SUMIFS(INDIRECT("Data_main"&amp;"["&amp;CL$8&amp;"]"),Data_main[Data],$A61, Data_main[Segment],$B61, Data_main[Scenario],$B$3)),SUMIFS(INDIRECT("Data_main"&amp;"["&amp;CL$8&amp;"]"),Data_main[Data],$A61, Data_main[Segment],$B61, Data_main[Scenario],$B$3)),SUMIFS(INDIRECT("Data_main"&amp;"["&amp;CL$8&amp;"]"),Data_main[Data],$A61, Data_main[Segment],$B61, Data_main[Scenario],$B$3))</f>
        <v>0</v>
      </c>
      <c r="CN61" s="391">
        <f ca="1">IFERROR((Y61/H61)^(1/17)-1,"")</f>
        <v>-4.1522668725140988E-2</v>
      </c>
      <c r="CO61" s="391">
        <f ca="1">IFERROR((AN61/Y61)^(1/15)-1,"")</f>
        <v>-0.17938574697366827</v>
      </c>
      <c r="CP61" s="391">
        <f ca="1">IFERROR((AN61/H61)^(1/32)-1,"")</f>
        <v>-0.10881465110367194</v>
      </c>
    </row>
    <row r="62" spans="1:94" hidden="1" outlineLevel="1">
      <c r="A62" s="394"/>
      <c r="B62" s="394" t="s">
        <v>26</v>
      </c>
      <c r="C62" s="394" t="s">
        <v>335</v>
      </c>
      <c r="D62" s="394" t="s">
        <v>336</v>
      </c>
      <c r="E62" s="396">
        <f t="shared" ref="E62:AJ62" ca="1" si="511">(E61-INDEX($E58:$CL61,4,MATCH($B$5,$E58:$CL58,0)))/(INDEX($E58:$CL61,4,MATCH($B$4,$E58:$CL58,0))-INDEX($E58:$CL61,4,MATCH($B$5,$E58:$CL58,0)))</f>
        <v>1.0771003620442106</v>
      </c>
      <c r="F62" s="397">
        <f t="shared" ca="1" si="511"/>
        <v>1.05619702624139</v>
      </c>
      <c r="G62" s="397">
        <f t="shared" ca="1" si="511"/>
        <v>1.0379453728877164</v>
      </c>
      <c r="H62" s="397">
        <f t="shared" ca="1" si="511"/>
        <v>1.0218709296397612</v>
      </c>
      <c r="I62" s="397">
        <f t="shared" ca="1" si="511"/>
        <v>1</v>
      </c>
      <c r="J62" s="397" t="e">
        <f t="shared" ca="1" si="511"/>
        <v>#N/A</v>
      </c>
      <c r="K62" s="397" t="e">
        <f t="shared" ca="1" si="511"/>
        <v>#N/A</v>
      </c>
      <c r="L62" s="397" t="e">
        <f t="shared" ca="1" si="511"/>
        <v>#N/A</v>
      </c>
      <c r="M62" s="397">
        <f t="shared" ca="1" si="511"/>
        <v>0.86746505523752582</v>
      </c>
      <c r="N62" s="397">
        <f t="shared" ca="1" si="511"/>
        <v>0.83896278323334994</v>
      </c>
      <c r="O62" s="397">
        <f t="shared" ca="1" si="511"/>
        <v>0.81201080059518005</v>
      </c>
      <c r="P62" s="397">
        <f t="shared" ca="1" si="511"/>
        <v>0.7864859716066368</v>
      </c>
      <c r="Q62" s="397">
        <f t="shared" ca="1" si="511"/>
        <v>0.76227786469254932</v>
      </c>
      <c r="R62" s="397">
        <f t="shared" ca="1" si="511"/>
        <v>0.73928715522786381</v>
      </c>
      <c r="S62" s="397">
        <f t="shared" ca="1" si="511"/>
        <v>0.71742426339892151</v>
      </c>
      <c r="T62" s="397">
        <f t="shared" ca="1" si="511"/>
        <v>0.69660818772625188</v>
      </c>
      <c r="U62" s="397">
        <f t="shared" ca="1" si="511"/>
        <v>0.66793769318218232</v>
      </c>
      <c r="V62" s="397">
        <f t="shared" ca="1" si="511"/>
        <v>0.6234367826181304</v>
      </c>
      <c r="W62" s="397">
        <f t="shared" ca="1" si="511"/>
        <v>0.5790122852990035</v>
      </c>
      <c r="X62" s="397">
        <f t="shared" ca="1" si="511"/>
        <v>0.53607691724836515</v>
      </c>
      <c r="Y62" s="397">
        <f t="shared" ca="1" si="511"/>
        <v>0.48342782090763381</v>
      </c>
      <c r="Z62" s="397">
        <f t="shared" ca="1" si="511"/>
        <v>0.43227183837666439</v>
      </c>
      <c r="AA62" s="397">
        <f t="shared" ca="1" si="511"/>
        <v>0.38341975847748722</v>
      </c>
      <c r="AB62" s="397">
        <f t="shared" ca="1" si="511"/>
        <v>0.33695225808641488</v>
      </c>
      <c r="AC62" s="397">
        <f t="shared" ca="1" si="511"/>
        <v>0.29293128133348068</v>
      </c>
      <c r="AD62" s="397">
        <f t="shared" ca="1" si="511"/>
        <v>0.25135805425108365</v>
      </c>
      <c r="AE62" s="397">
        <f t="shared" ca="1" si="511"/>
        <v>0.21562040407098432</v>
      </c>
      <c r="AF62" s="397">
        <f t="shared" ca="1" si="511"/>
        <v>0.18197250488025229</v>
      </c>
      <c r="AG62" s="397">
        <f t="shared" ca="1" si="511"/>
        <v>0.15024752223773202</v>
      </c>
      <c r="AH62" s="397">
        <f t="shared" ca="1" si="511"/>
        <v>0.12025685921891645</v>
      </c>
      <c r="AI62" s="397">
        <f t="shared" ca="1" si="511"/>
        <v>9.1807931819671215E-2</v>
      </c>
      <c r="AJ62" s="397">
        <f t="shared" ca="1" si="511"/>
        <v>6.4462641620777472E-2</v>
      </c>
      <c r="AK62" s="397">
        <f t="shared" ref="AK62:BP62" ca="1" si="512">(AK61-INDEX($E58:$CL61,4,MATCH($B$5,$E58:$CL58,0)))/(INDEX($E58:$CL61,4,MATCH($B$4,$E58:$CL58,0))-INDEX($E58:$CL61,4,MATCH($B$5,$E58:$CL58,0)))</f>
        <v>3.8334362919232354E-2</v>
      </c>
      <c r="AL62" s="397">
        <f t="shared" ca="1" si="512"/>
        <v>1.3288715540412948E-2</v>
      </c>
      <c r="AM62" s="397">
        <f t="shared" ca="1" si="512"/>
        <v>4.4099895141810957E-3</v>
      </c>
      <c r="AN62" s="397">
        <f t="shared" ca="1" si="512"/>
        <v>0</v>
      </c>
      <c r="AO62" s="397">
        <f t="shared" ca="1" si="512"/>
        <v>-2.6266080744735607E-2</v>
      </c>
      <c r="AP62" s="397">
        <f t="shared" ca="1" si="512"/>
        <v>-2.6266080744735607E-2</v>
      </c>
      <c r="AQ62" s="397">
        <f t="shared" ca="1" si="512"/>
        <v>-2.6266080744735607E-2</v>
      </c>
      <c r="AR62" s="397">
        <f t="shared" ca="1" si="512"/>
        <v>-2.6266080744735607E-2</v>
      </c>
      <c r="AS62" s="397">
        <f t="shared" ca="1" si="512"/>
        <v>-2.6266080744735607E-2</v>
      </c>
      <c r="AT62" s="397">
        <f t="shared" ca="1" si="512"/>
        <v>-2.6266080744735607E-2</v>
      </c>
      <c r="AU62" s="397">
        <f t="shared" ca="1" si="512"/>
        <v>-2.6266080744735607E-2</v>
      </c>
      <c r="AV62" s="397">
        <f t="shared" ca="1" si="512"/>
        <v>-2.6266080744735607E-2</v>
      </c>
      <c r="AW62" s="397">
        <f t="shared" ca="1" si="512"/>
        <v>-2.6266080744735607E-2</v>
      </c>
      <c r="AX62" s="397">
        <f t="shared" ca="1" si="512"/>
        <v>-2.6266080744735607E-2</v>
      </c>
      <c r="AY62" s="397">
        <f t="shared" ca="1" si="512"/>
        <v>-2.6266080744735607E-2</v>
      </c>
      <c r="AZ62" s="397">
        <f t="shared" ca="1" si="512"/>
        <v>-2.6266080744735607E-2</v>
      </c>
      <c r="BA62" s="397">
        <f t="shared" ca="1" si="512"/>
        <v>-2.6266080744735607E-2</v>
      </c>
      <c r="BB62" s="397">
        <f t="shared" ca="1" si="512"/>
        <v>-2.6266080744735607E-2</v>
      </c>
      <c r="BC62" s="397">
        <f t="shared" ca="1" si="512"/>
        <v>-2.6266080744735607E-2</v>
      </c>
      <c r="BD62" s="397">
        <f t="shared" ca="1" si="512"/>
        <v>-2.6266080744735607E-2</v>
      </c>
      <c r="BE62" s="397">
        <f t="shared" ca="1" si="512"/>
        <v>-2.6266080744735607E-2</v>
      </c>
      <c r="BF62" s="397">
        <f t="shared" ca="1" si="512"/>
        <v>-2.6266080744735607E-2</v>
      </c>
      <c r="BG62" s="397">
        <f t="shared" ca="1" si="512"/>
        <v>-2.6266080744735607E-2</v>
      </c>
      <c r="BH62" s="397">
        <f t="shared" ca="1" si="512"/>
        <v>-2.6266080744735607E-2</v>
      </c>
      <c r="BI62" s="397">
        <f t="shared" ca="1" si="512"/>
        <v>-2.6266080744735607E-2</v>
      </c>
      <c r="BJ62" s="397">
        <f t="shared" ca="1" si="512"/>
        <v>-2.6266080744735607E-2</v>
      </c>
      <c r="BK62" s="397">
        <f t="shared" ca="1" si="512"/>
        <v>-2.6266080744735607E-2</v>
      </c>
      <c r="BL62" s="397">
        <f t="shared" ca="1" si="512"/>
        <v>-2.6266080744735607E-2</v>
      </c>
      <c r="BM62" s="397">
        <f t="shared" ca="1" si="512"/>
        <v>-2.6266080744735607E-2</v>
      </c>
      <c r="BN62" s="397">
        <f t="shared" ca="1" si="512"/>
        <v>-2.6266080744735607E-2</v>
      </c>
      <c r="BO62" s="397">
        <f t="shared" ca="1" si="512"/>
        <v>-2.6266080744735607E-2</v>
      </c>
      <c r="BP62" s="397">
        <f t="shared" ca="1" si="512"/>
        <v>-2.6266080744735607E-2</v>
      </c>
      <c r="BQ62" s="397">
        <f t="shared" ref="BQ62:CL62" ca="1" si="513">(BQ61-INDEX($E58:$CL61,4,MATCH($B$5,$E58:$CL58,0)))/(INDEX($E58:$CL61,4,MATCH($B$4,$E58:$CL58,0))-INDEX($E58:$CL61,4,MATCH($B$5,$E58:$CL58,0)))</f>
        <v>-2.6266080744735607E-2</v>
      </c>
      <c r="BR62" s="397">
        <f t="shared" ca="1" si="513"/>
        <v>-2.6266080744735607E-2</v>
      </c>
      <c r="BS62" s="397">
        <f t="shared" ca="1" si="513"/>
        <v>-2.6266080744735607E-2</v>
      </c>
      <c r="BT62" s="397">
        <f t="shared" ca="1" si="513"/>
        <v>-2.6266080744735607E-2</v>
      </c>
      <c r="BU62" s="397">
        <f t="shared" ca="1" si="513"/>
        <v>-2.6266080744735607E-2</v>
      </c>
      <c r="BV62" s="397">
        <f t="shared" ca="1" si="513"/>
        <v>-2.6266080744735607E-2</v>
      </c>
      <c r="BW62" s="397">
        <f t="shared" ca="1" si="513"/>
        <v>-2.6266080744735607E-2</v>
      </c>
      <c r="BX62" s="397">
        <f t="shared" ca="1" si="513"/>
        <v>-2.6266080744735607E-2</v>
      </c>
      <c r="BY62" s="397">
        <f t="shared" ca="1" si="513"/>
        <v>-2.6266080744735607E-2</v>
      </c>
      <c r="BZ62" s="397">
        <f t="shared" ca="1" si="513"/>
        <v>-2.6266080744735607E-2</v>
      </c>
      <c r="CA62" s="397">
        <f t="shared" ca="1" si="513"/>
        <v>-2.6266080744735607E-2</v>
      </c>
      <c r="CB62" s="397">
        <f t="shared" ca="1" si="513"/>
        <v>-2.6266080744735607E-2</v>
      </c>
      <c r="CC62" s="397">
        <f t="shared" ca="1" si="513"/>
        <v>-2.6266080744735607E-2</v>
      </c>
      <c r="CD62" s="397">
        <f t="shared" ca="1" si="513"/>
        <v>-2.6266080744735607E-2</v>
      </c>
      <c r="CE62" s="397">
        <f t="shared" ca="1" si="513"/>
        <v>-2.6266080744735607E-2</v>
      </c>
      <c r="CF62" s="397">
        <f t="shared" ca="1" si="513"/>
        <v>-2.6266080744735607E-2</v>
      </c>
      <c r="CG62" s="397">
        <f t="shared" ca="1" si="513"/>
        <v>-2.6266080744735607E-2</v>
      </c>
      <c r="CH62" s="397">
        <f t="shared" ca="1" si="513"/>
        <v>-2.6266080744735607E-2</v>
      </c>
      <c r="CI62" s="397">
        <f t="shared" ca="1" si="513"/>
        <v>-2.6266080744735607E-2</v>
      </c>
      <c r="CJ62" s="397">
        <f t="shared" ca="1" si="513"/>
        <v>-2.6266080744735607E-2</v>
      </c>
      <c r="CK62" s="397">
        <f t="shared" ca="1" si="513"/>
        <v>-2.6266080744735607E-2</v>
      </c>
      <c r="CL62" s="397">
        <f t="shared" ca="1" si="513"/>
        <v>-2.6266080744735607E-2</v>
      </c>
      <c r="CN62" s="398"/>
      <c r="CO62" s="398"/>
      <c r="CP62" s="398"/>
    </row>
    <row r="63" spans="1:94" hidden="1" outlineLevel="1">
      <c r="A63" s="399"/>
      <c r="B63" s="399" t="s">
        <v>28</v>
      </c>
      <c r="C63" s="399" t="s">
        <v>337</v>
      </c>
      <c r="D63" s="399" t="s">
        <v>338</v>
      </c>
      <c r="E63" s="401">
        <f t="shared" ref="E63:AJ63" ca="1" si="514">INDEX($E58:$CL61,4,MATCH($B$5,$E58:$CL58,0))</f>
        <v>33.353068506402145</v>
      </c>
      <c r="F63" s="402">
        <f t="shared" ca="1" si="514"/>
        <v>33.353068506402145</v>
      </c>
      <c r="G63" s="402">
        <f t="shared" ca="1" si="514"/>
        <v>33.353068506402145</v>
      </c>
      <c r="H63" s="402">
        <f t="shared" ca="1" si="514"/>
        <v>33.353068506402145</v>
      </c>
      <c r="I63" s="402">
        <f t="shared" ca="1" si="514"/>
        <v>33.353068506402145</v>
      </c>
      <c r="J63" s="402">
        <f t="shared" ca="1" si="514"/>
        <v>33.353068506402145</v>
      </c>
      <c r="K63" s="402">
        <f t="shared" ca="1" si="514"/>
        <v>33.353068506402145</v>
      </c>
      <c r="L63" s="402">
        <f t="shared" ca="1" si="514"/>
        <v>33.353068506402145</v>
      </c>
      <c r="M63" s="402">
        <f t="shared" ca="1" si="514"/>
        <v>33.353068506402145</v>
      </c>
      <c r="N63" s="402">
        <f t="shared" ca="1" si="514"/>
        <v>33.353068506402145</v>
      </c>
      <c r="O63" s="402">
        <f t="shared" ca="1" si="514"/>
        <v>33.353068506402145</v>
      </c>
      <c r="P63" s="402">
        <f t="shared" ca="1" si="514"/>
        <v>33.353068506402145</v>
      </c>
      <c r="Q63" s="402">
        <f t="shared" ca="1" si="514"/>
        <v>33.353068506402145</v>
      </c>
      <c r="R63" s="402">
        <f t="shared" ca="1" si="514"/>
        <v>33.353068506402145</v>
      </c>
      <c r="S63" s="402">
        <f t="shared" ca="1" si="514"/>
        <v>33.353068506402145</v>
      </c>
      <c r="T63" s="402">
        <f t="shared" ca="1" si="514"/>
        <v>33.353068506402145</v>
      </c>
      <c r="U63" s="402">
        <f t="shared" ca="1" si="514"/>
        <v>33.353068506402145</v>
      </c>
      <c r="V63" s="402">
        <f t="shared" ca="1" si="514"/>
        <v>33.353068506402145</v>
      </c>
      <c r="W63" s="402">
        <f t="shared" ca="1" si="514"/>
        <v>33.353068506402145</v>
      </c>
      <c r="X63" s="402">
        <f t="shared" ca="1" si="514"/>
        <v>33.353068506402145</v>
      </c>
      <c r="Y63" s="402">
        <f t="shared" ca="1" si="514"/>
        <v>33.353068506402145</v>
      </c>
      <c r="Z63" s="402">
        <f t="shared" ca="1" si="514"/>
        <v>33.353068506402145</v>
      </c>
      <c r="AA63" s="402">
        <f t="shared" ca="1" si="514"/>
        <v>33.353068506402145</v>
      </c>
      <c r="AB63" s="402">
        <f t="shared" ca="1" si="514"/>
        <v>33.353068506402145</v>
      </c>
      <c r="AC63" s="402">
        <f t="shared" ca="1" si="514"/>
        <v>33.353068506402145</v>
      </c>
      <c r="AD63" s="402">
        <f t="shared" ca="1" si="514"/>
        <v>33.353068506402145</v>
      </c>
      <c r="AE63" s="402">
        <f t="shared" ca="1" si="514"/>
        <v>33.353068506402145</v>
      </c>
      <c r="AF63" s="402">
        <f t="shared" ca="1" si="514"/>
        <v>33.353068506402145</v>
      </c>
      <c r="AG63" s="402">
        <f t="shared" ca="1" si="514"/>
        <v>33.353068506402145</v>
      </c>
      <c r="AH63" s="402">
        <f t="shared" ca="1" si="514"/>
        <v>33.353068506402145</v>
      </c>
      <c r="AI63" s="402">
        <f t="shared" ca="1" si="514"/>
        <v>33.353068506402145</v>
      </c>
      <c r="AJ63" s="402">
        <f t="shared" ca="1" si="514"/>
        <v>33.353068506402145</v>
      </c>
      <c r="AK63" s="402">
        <f t="shared" ref="AK63:BP63" ca="1" si="515">INDEX($E58:$CL61,4,MATCH($B$5,$E58:$CL58,0))</f>
        <v>33.353068506402145</v>
      </c>
      <c r="AL63" s="402">
        <f t="shared" ca="1" si="515"/>
        <v>33.353068506402145</v>
      </c>
      <c r="AM63" s="402">
        <f t="shared" ca="1" si="515"/>
        <v>33.353068506402145</v>
      </c>
      <c r="AN63" s="402">
        <f t="shared" ca="1" si="515"/>
        <v>33.353068506402145</v>
      </c>
      <c r="AO63" s="402">
        <f t="shared" ca="1" si="515"/>
        <v>33.353068506402145</v>
      </c>
      <c r="AP63" s="402">
        <f t="shared" ca="1" si="515"/>
        <v>33.353068506402145</v>
      </c>
      <c r="AQ63" s="402">
        <f t="shared" ca="1" si="515"/>
        <v>33.353068506402145</v>
      </c>
      <c r="AR63" s="402">
        <f t="shared" ca="1" si="515"/>
        <v>33.353068506402145</v>
      </c>
      <c r="AS63" s="402">
        <f t="shared" ca="1" si="515"/>
        <v>33.353068506402145</v>
      </c>
      <c r="AT63" s="402">
        <f t="shared" ca="1" si="515"/>
        <v>33.353068506402145</v>
      </c>
      <c r="AU63" s="402">
        <f t="shared" ca="1" si="515"/>
        <v>33.353068506402145</v>
      </c>
      <c r="AV63" s="402">
        <f t="shared" ca="1" si="515"/>
        <v>33.353068506402145</v>
      </c>
      <c r="AW63" s="402">
        <f t="shared" ca="1" si="515"/>
        <v>33.353068506402145</v>
      </c>
      <c r="AX63" s="402">
        <f t="shared" ca="1" si="515"/>
        <v>33.353068506402145</v>
      </c>
      <c r="AY63" s="402">
        <f t="shared" ca="1" si="515"/>
        <v>33.353068506402145</v>
      </c>
      <c r="AZ63" s="402">
        <f t="shared" ca="1" si="515"/>
        <v>33.353068506402145</v>
      </c>
      <c r="BA63" s="402">
        <f t="shared" ca="1" si="515"/>
        <v>33.353068506402145</v>
      </c>
      <c r="BB63" s="402">
        <f t="shared" ca="1" si="515"/>
        <v>33.353068506402145</v>
      </c>
      <c r="BC63" s="402">
        <f t="shared" ca="1" si="515"/>
        <v>33.353068506402145</v>
      </c>
      <c r="BD63" s="402">
        <f t="shared" ca="1" si="515"/>
        <v>33.353068506402145</v>
      </c>
      <c r="BE63" s="402">
        <f t="shared" ca="1" si="515"/>
        <v>33.353068506402145</v>
      </c>
      <c r="BF63" s="402">
        <f t="shared" ca="1" si="515"/>
        <v>33.353068506402145</v>
      </c>
      <c r="BG63" s="402">
        <f t="shared" ca="1" si="515"/>
        <v>33.353068506402145</v>
      </c>
      <c r="BH63" s="402">
        <f t="shared" ca="1" si="515"/>
        <v>33.353068506402145</v>
      </c>
      <c r="BI63" s="402">
        <f t="shared" ca="1" si="515"/>
        <v>33.353068506402145</v>
      </c>
      <c r="BJ63" s="402">
        <f t="shared" ca="1" si="515"/>
        <v>33.353068506402145</v>
      </c>
      <c r="BK63" s="402">
        <f t="shared" ca="1" si="515"/>
        <v>33.353068506402145</v>
      </c>
      <c r="BL63" s="402">
        <f t="shared" ca="1" si="515"/>
        <v>33.353068506402145</v>
      </c>
      <c r="BM63" s="402">
        <f t="shared" ca="1" si="515"/>
        <v>33.353068506402145</v>
      </c>
      <c r="BN63" s="402">
        <f t="shared" ca="1" si="515"/>
        <v>33.353068506402145</v>
      </c>
      <c r="BO63" s="402">
        <f t="shared" ca="1" si="515"/>
        <v>33.353068506402145</v>
      </c>
      <c r="BP63" s="402">
        <f t="shared" ca="1" si="515"/>
        <v>33.353068506402145</v>
      </c>
      <c r="BQ63" s="402">
        <f t="shared" ref="BQ63:CL63" ca="1" si="516">INDEX($E58:$CL61,4,MATCH($B$5,$E58:$CL58,0))</f>
        <v>33.353068506402145</v>
      </c>
      <c r="BR63" s="402">
        <f t="shared" ca="1" si="516"/>
        <v>33.353068506402145</v>
      </c>
      <c r="BS63" s="402">
        <f t="shared" ca="1" si="516"/>
        <v>33.353068506402145</v>
      </c>
      <c r="BT63" s="402">
        <f t="shared" ca="1" si="516"/>
        <v>33.353068506402145</v>
      </c>
      <c r="BU63" s="402">
        <f t="shared" ca="1" si="516"/>
        <v>33.353068506402145</v>
      </c>
      <c r="BV63" s="402">
        <f t="shared" ca="1" si="516"/>
        <v>33.353068506402145</v>
      </c>
      <c r="BW63" s="402">
        <f t="shared" ca="1" si="516"/>
        <v>33.353068506402145</v>
      </c>
      <c r="BX63" s="402">
        <f t="shared" ca="1" si="516"/>
        <v>33.353068506402145</v>
      </c>
      <c r="BY63" s="402">
        <f t="shared" ca="1" si="516"/>
        <v>33.353068506402145</v>
      </c>
      <c r="BZ63" s="402">
        <f t="shared" ca="1" si="516"/>
        <v>33.353068506402145</v>
      </c>
      <c r="CA63" s="402">
        <f t="shared" ca="1" si="516"/>
        <v>33.353068506402145</v>
      </c>
      <c r="CB63" s="402">
        <f t="shared" ca="1" si="516"/>
        <v>33.353068506402145</v>
      </c>
      <c r="CC63" s="402">
        <f t="shared" ca="1" si="516"/>
        <v>33.353068506402145</v>
      </c>
      <c r="CD63" s="402">
        <f t="shared" ca="1" si="516"/>
        <v>33.353068506402145</v>
      </c>
      <c r="CE63" s="402">
        <f t="shared" ca="1" si="516"/>
        <v>33.353068506402145</v>
      </c>
      <c r="CF63" s="402">
        <f t="shared" ca="1" si="516"/>
        <v>33.353068506402145</v>
      </c>
      <c r="CG63" s="402">
        <f t="shared" ca="1" si="516"/>
        <v>33.353068506402145</v>
      </c>
      <c r="CH63" s="402">
        <f t="shared" ca="1" si="516"/>
        <v>33.353068506402145</v>
      </c>
      <c r="CI63" s="402">
        <f t="shared" ca="1" si="516"/>
        <v>33.353068506402145</v>
      </c>
      <c r="CJ63" s="402">
        <f t="shared" ca="1" si="516"/>
        <v>33.353068506402145</v>
      </c>
      <c r="CK63" s="402">
        <f t="shared" ca="1" si="516"/>
        <v>33.353068506402145</v>
      </c>
      <c r="CL63" s="402">
        <f t="shared" ca="1" si="516"/>
        <v>33.353068506402145</v>
      </c>
      <c r="CN63" s="398"/>
      <c r="CO63" s="398"/>
      <c r="CP63" s="398"/>
    </row>
    <row r="64" spans="1:94" hidden="1" outlineLevel="1">
      <c r="A64" s="403" t="s">
        <v>255</v>
      </c>
      <c r="B64" s="403" t="s">
        <v>260</v>
      </c>
      <c r="C64" s="403" t="s">
        <v>339</v>
      </c>
      <c r="D64" s="403"/>
      <c r="E64" s="404" t="str">
        <f t="shared" ref="E64:AJ64" si="517">IF(E58=base,pse,"")</f>
        <v/>
      </c>
      <c r="F64" s="405" t="str">
        <f t="shared" si="517"/>
        <v/>
      </c>
      <c r="G64" s="405" t="str">
        <f t="shared" si="517"/>
        <v/>
      </c>
      <c r="H64" s="405" t="str">
        <f t="shared" si="517"/>
        <v/>
      </c>
      <c r="I64" s="405" t="e">
        <f t="shared" si="517"/>
        <v>#DIV/0!</v>
      </c>
      <c r="J64" s="405" t="str">
        <f t="shared" si="517"/>
        <v/>
      </c>
      <c r="K64" s="405" t="str">
        <f t="shared" si="517"/>
        <v/>
      </c>
      <c r="L64" s="405" t="str">
        <f t="shared" si="517"/>
        <v/>
      </c>
      <c r="M64" s="405" t="str">
        <f t="shared" si="517"/>
        <v/>
      </c>
      <c r="N64" s="405" t="str">
        <f t="shared" si="517"/>
        <v/>
      </c>
      <c r="O64" s="405" t="str">
        <f t="shared" si="517"/>
        <v/>
      </c>
      <c r="P64" s="405" t="str">
        <f t="shared" si="517"/>
        <v/>
      </c>
      <c r="Q64" s="405" t="str">
        <f t="shared" si="517"/>
        <v/>
      </c>
      <c r="R64" s="405" t="str">
        <f t="shared" si="517"/>
        <v/>
      </c>
      <c r="S64" s="405" t="str">
        <f t="shared" si="517"/>
        <v/>
      </c>
      <c r="T64" s="405" t="str">
        <f t="shared" si="517"/>
        <v/>
      </c>
      <c r="U64" s="405" t="str">
        <f t="shared" si="517"/>
        <v/>
      </c>
      <c r="V64" s="405" t="str">
        <f t="shared" si="517"/>
        <v/>
      </c>
      <c r="W64" s="405" t="str">
        <f t="shared" si="517"/>
        <v/>
      </c>
      <c r="X64" s="405" t="str">
        <f t="shared" si="517"/>
        <v/>
      </c>
      <c r="Y64" s="405" t="str">
        <f t="shared" si="517"/>
        <v/>
      </c>
      <c r="Z64" s="405" t="str">
        <f t="shared" si="517"/>
        <v/>
      </c>
      <c r="AA64" s="405" t="str">
        <f t="shared" si="517"/>
        <v/>
      </c>
      <c r="AB64" s="405" t="str">
        <f t="shared" si="517"/>
        <v/>
      </c>
      <c r="AC64" s="405" t="str">
        <f t="shared" si="517"/>
        <v/>
      </c>
      <c r="AD64" s="405" t="str">
        <f t="shared" si="517"/>
        <v/>
      </c>
      <c r="AE64" s="405" t="str">
        <f t="shared" si="517"/>
        <v/>
      </c>
      <c r="AF64" s="405" t="str">
        <f t="shared" si="517"/>
        <v/>
      </c>
      <c r="AG64" s="405" t="str">
        <f t="shared" si="517"/>
        <v/>
      </c>
      <c r="AH64" s="405" t="str">
        <f t="shared" si="517"/>
        <v/>
      </c>
      <c r="AI64" s="405" t="str">
        <f t="shared" si="517"/>
        <v/>
      </c>
      <c r="AJ64" s="405" t="str">
        <f t="shared" si="517"/>
        <v/>
      </c>
      <c r="AK64" s="405" t="str">
        <f t="shared" ref="AK64:BP64" si="518">IF(AK58=base,pse,"")</f>
        <v/>
      </c>
      <c r="AL64" s="405" t="str">
        <f t="shared" si="518"/>
        <v/>
      </c>
      <c r="AM64" s="405" t="str">
        <f t="shared" si="518"/>
        <v/>
      </c>
      <c r="AN64" s="405" t="str">
        <f t="shared" si="518"/>
        <v/>
      </c>
      <c r="AO64" s="405" t="str">
        <f t="shared" si="518"/>
        <v/>
      </c>
      <c r="AP64" s="405" t="str">
        <f t="shared" si="518"/>
        <v/>
      </c>
      <c r="AQ64" s="405" t="str">
        <f t="shared" si="518"/>
        <v/>
      </c>
      <c r="AR64" s="405" t="str">
        <f t="shared" si="518"/>
        <v/>
      </c>
      <c r="AS64" s="405" t="str">
        <f t="shared" si="518"/>
        <v/>
      </c>
      <c r="AT64" s="405" t="str">
        <f t="shared" si="518"/>
        <v/>
      </c>
      <c r="AU64" s="405" t="str">
        <f t="shared" si="518"/>
        <v/>
      </c>
      <c r="AV64" s="405" t="str">
        <f t="shared" si="518"/>
        <v/>
      </c>
      <c r="AW64" s="405" t="str">
        <f t="shared" si="518"/>
        <v/>
      </c>
      <c r="AX64" s="405" t="str">
        <f t="shared" si="518"/>
        <v/>
      </c>
      <c r="AY64" s="405" t="str">
        <f t="shared" si="518"/>
        <v/>
      </c>
      <c r="AZ64" s="405" t="str">
        <f t="shared" si="518"/>
        <v/>
      </c>
      <c r="BA64" s="405" t="str">
        <f t="shared" si="518"/>
        <v/>
      </c>
      <c r="BB64" s="405" t="str">
        <f t="shared" si="518"/>
        <v/>
      </c>
      <c r="BC64" s="405" t="str">
        <f t="shared" si="518"/>
        <v/>
      </c>
      <c r="BD64" s="405" t="str">
        <f t="shared" si="518"/>
        <v/>
      </c>
      <c r="BE64" s="405" t="str">
        <f t="shared" si="518"/>
        <v/>
      </c>
      <c r="BF64" s="405" t="str">
        <f t="shared" si="518"/>
        <v/>
      </c>
      <c r="BG64" s="405" t="str">
        <f t="shared" si="518"/>
        <v/>
      </c>
      <c r="BH64" s="405" t="str">
        <f t="shared" si="518"/>
        <v/>
      </c>
      <c r="BI64" s="405" t="str">
        <f t="shared" si="518"/>
        <v/>
      </c>
      <c r="BJ64" s="405" t="str">
        <f t="shared" si="518"/>
        <v/>
      </c>
      <c r="BK64" s="405" t="str">
        <f t="shared" si="518"/>
        <v/>
      </c>
      <c r="BL64" s="405" t="str">
        <f t="shared" si="518"/>
        <v/>
      </c>
      <c r="BM64" s="405" t="str">
        <f t="shared" si="518"/>
        <v/>
      </c>
      <c r="BN64" s="405" t="str">
        <f t="shared" si="518"/>
        <v/>
      </c>
      <c r="BO64" s="405" t="str">
        <f t="shared" si="518"/>
        <v/>
      </c>
      <c r="BP64" s="405" t="str">
        <f t="shared" si="518"/>
        <v/>
      </c>
      <c r="BQ64" s="405" t="str">
        <f t="shared" ref="BQ64:CL64" si="519">IF(BQ58=base,pse,"")</f>
        <v/>
      </c>
      <c r="BR64" s="405" t="str">
        <f t="shared" si="519"/>
        <v/>
      </c>
      <c r="BS64" s="405" t="str">
        <f t="shared" si="519"/>
        <v/>
      </c>
      <c r="BT64" s="405" t="str">
        <f t="shared" si="519"/>
        <v/>
      </c>
      <c r="BU64" s="405" t="str">
        <f t="shared" si="519"/>
        <v/>
      </c>
      <c r="BV64" s="405" t="str">
        <f t="shared" si="519"/>
        <v/>
      </c>
      <c r="BW64" s="405" t="str">
        <f t="shared" si="519"/>
        <v/>
      </c>
      <c r="BX64" s="405" t="str">
        <f t="shared" si="519"/>
        <v/>
      </c>
      <c r="BY64" s="405" t="str">
        <f t="shared" si="519"/>
        <v/>
      </c>
      <c r="BZ64" s="405" t="str">
        <f t="shared" si="519"/>
        <v/>
      </c>
      <c r="CA64" s="405" t="str">
        <f t="shared" si="519"/>
        <v/>
      </c>
      <c r="CB64" s="405" t="str">
        <f t="shared" si="519"/>
        <v/>
      </c>
      <c r="CC64" s="405" t="str">
        <f t="shared" si="519"/>
        <v/>
      </c>
      <c r="CD64" s="405" t="str">
        <f t="shared" si="519"/>
        <v/>
      </c>
      <c r="CE64" s="405" t="str">
        <f t="shared" si="519"/>
        <v/>
      </c>
      <c r="CF64" s="405" t="str">
        <f t="shared" si="519"/>
        <v/>
      </c>
      <c r="CG64" s="405" t="str">
        <f t="shared" si="519"/>
        <v/>
      </c>
      <c r="CH64" s="405" t="str">
        <f t="shared" si="519"/>
        <v/>
      </c>
      <c r="CI64" s="405" t="str">
        <f t="shared" si="519"/>
        <v/>
      </c>
      <c r="CJ64" s="405" t="str">
        <f t="shared" si="519"/>
        <v/>
      </c>
      <c r="CK64" s="405" t="str">
        <f t="shared" si="519"/>
        <v/>
      </c>
      <c r="CL64" s="405" t="str">
        <f t="shared" si="519"/>
        <v/>
      </c>
      <c r="CN64" s="406" t="str">
        <f t="shared" ref="CN64:CN73" si="520">IFERROR((Y64/H64)^(1/17)-1,"")</f>
        <v/>
      </c>
      <c r="CO64" s="406" t="str">
        <f t="shared" ref="CO64:CO73" si="521">IFERROR((AN64/Y64)^(1/15)-1,"")</f>
        <v/>
      </c>
      <c r="CP64" s="406" t="str">
        <f t="shared" ref="CP64:CP73" si="522">IFERROR((AN64/H64)^(1/32)-1,"")</f>
        <v/>
      </c>
    </row>
    <row r="65" spans="1:94" hidden="1" outlineLevel="1">
      <c r="A65" s="400" t="s">
        <v>255</v>
      </c>
      <c r="B65" s="400" t="s">
        <v>259</v>
      </c>
      <c r="C65" s="400" t="s">
        <v>340</v>
      </c>
      <c r="D65" s="400"/>
      <c r="E65" s="413" t="e">
        <f t="shared" ref="E65:AJ65" si="523">IF(E8&lt;sector_base,NA(),IFERROR(IF(activity_approach="Input Activity Data Manually",IF(E8=base,psa,IF(E8=target,psf,D65+((psf-psa)/(target-base)))),psa*(1+f_CAGR)^(E8-base)),""))</f>
        <v>#N/A</v>
      </c>
      <c r="F65" s="407" t="e">
        <f t="shared" si="523"/>
        <v>#N/A</v>
      </c>
      <c r="G65" s="407" t="e">
        <f t="shared" si="523"/>
        <v>#N/A</v>
      </c>
      <c r="H65" s="407" t="e">
        <f t="shared" si="523"/>
        <v>#N/A</v>
      </c>
      <c r="I65" s="407">
        <f t="shared" si="523"/>
        <v>0</v>
      </c>
      <c r="J65" s="407">
        <f t="shared" si="523"/>
        <v>0</v>
      </c>
      <c r="K65" s="407">
        <f t="shared" si="523"/>
        <v>0</v>
      </c>
      <c r="L65" s="407">
        <f t="shared" si="523"/>
        <v>0</v>
      </c>
      <c r="M65" s="407">
        <f t="shared" si="523"/>
        <v>0</v>
      </c>
      <c r="N65" s="407">
        <f t="shared" si="523"/>
        <v>0</v>
      </c>
      <c r="O65" s="407">
        <f t="shared" si="523"/>
        <v>0</v>
      </c>
      <c r="P65" s="407">
        <f t="shared" si="523"/>
        <v>0</v>
      </c>
      <c r="Q65" s="407">
        <f t="shared" si="523"/>
        <v>0</v>
      </c>
      <c r="R65" s="407">
        <f t="shared" si="523"/>
        <v>0</v>
      </c>
      <c r="S65" s="407">
        <f t="shared" si="523"/>
        <v>0</v>
      </c>
      <c r="T65" s="407">
        <f t="shared" si="523"/>
        <v>0</v>
      </c>
      <c r="U65" s="407">
        <f t="shared" si="523"/>
        <v>0</v>
      </c>
      <c r="V65" s="407">
        <f t="shared" si="523"/>
        <v>0</v>
      </c>
      <c r="W65" s="407">
        <f t="shared" si="523"/>
        <v>0</v>
      </c>
      <c r="X65" s="407">
        <f t="shared" si="523"/>
        <v>0</v>
      </c>
      <c r="Y65" s="407">
        <f t="shared" si="523"/>
        <v>0</v>
      </c>
      <c r="Z65" s="407">
        <f t="shared" si="523"/>
        <v>0</v>
      </c>
      <c r="AA65" s="407">
        <f t="shared" si="523"/>
        <v>0</v>
      </c>
      <c r="AB65" s="407">
        <f t="shared" si="523"/>
        <v>0</v>
      </c>
      <c r="AC65" s="407">
        <f t="shared" si="523"/>
        <v>0</v>
      </c>
      <c r="AD65" s="407">
        <f t="shared" si="523"/>
        <v>0</v>
      </c>
      <c r="AE65" s="407">
        <f t="shared" si="523"/>
        <v>0</v>
      </c>
      <c r="AF65" s="407">
        <f t="shared" si="523"/>
        <v>0</v>
      </c>
      <c r="AG65" s="407">
        <f t="shared" si="523"/>
        <v>0</v>
      </c>
      <c r="AH65" s="407">
        <f t="shared" si="523"/>
        <v>0</v>
      </c>
      <c r="AI65" s="407">
        <f t="shared" si="523"/>
        <v>0</v>
      </c>
      <c r="AJ65" s="407">
        <f t="shared" si="523"/>
        <v>0</v>
      </c>
      <c r="AK65" s="407">
        <f t="shared" ref="AK65:BP65" si="524">IF(AK8&lt;sector_base,NA(),IFERROR(IF(activity_approach="Input Activity Data Manually",IF(AK8=base,psa,IF(AK8=target,psf,AJ65+((psf-psa)/(target-base)))),psa*(1+f_CAGR)^(AK8-base)),""))</f>
        <v>0</v>
      </c>
      <c r="AL65" s="407">
        <f t="shared" si="524"/>
        <v>0</v>
      </c>
      <c r="AM65" s="407">
        <f t="shared" si="524"/>
        <v>0</v>
      </c>
      <c r="AN65" s="407">
        <f t="shared" si="524"/>
        <v>0</v>
      </c>
      <c r="AO65" s="407">
        <f t="shared" si="524"/>
        <v>0</v>
      </c>
      <c r="AP65" s="407">
        <f t="shared" si="524"/>
        <v>0</v>
      </c>
      <c r="AQ65" s="407">
        <f t="shared" si="524"/>
        <v>0</v>
      </c>
      <c r="AR65" s="407">
        <f t="shared" si="524"/>
        <v>0</v>
      </c>
      <c r="AS65" s="407">
        <f t="shared" si="524"/>
        <v>0</v>
      </c>
      <c r="AT65" s="407">
        <f t="shared" si="524"/>
        <v>0</v>
      </c>
      <c r="AU65" s="407">
        <f t="shared" si="524"/>
        <v>0</v>
      </c>
      <c r="AV65" s="407">
        <f t="shared" si="524"/>
        <v>0</v>
      </c>
      <c r="AW65" s="407">
        <f t="shared" si="524"/>
        <v>0</v>
      </c>
      <c r="AX65" s="407">
        <f t="shared" si="524"/>
        <v>0</v>
      </c>
      <c r="AY65" s="407">
        <f t="shared" si="524"/>
        <v>0</v>
      </c>
      <c r="AZ65" s="407">
        <f t="shared" si="524"/>
        <v>0</v>
      </c>
      <c r="BA65" s="407">
        <f t="shared" si="524"/>
        <v>0</v>
      </c>
      <c r="BB65" s="407">
        <f t="shared" si="524"/>
        <v>0</v>
      </c>
      <c r="BC65" s="407">
        <f t="shared" si="524"/>
        <v>0</v>
      </c>
      <c r="BD65" s="407">
        <f t="shared" si="524"/>
        <v>0</v>
      </c>
      <c r="BE65" s="407">
        <f t="shared" si="524"/>
        <v>0</v>
      </c>
      <c r="BF65" s="407">
        <f t="shared" si="524"/>
        <v>0</v>
      </c>
      <c r="BG65" s="407">
        <f t="shared" si="524"/>
        <v>0</v>
      </c>
      <c r="BH65" s="407">
        <f t="shared" si="524"/>
        <v>0</v>
      </c>
      <c r="BI65" s="407">
        <f t="shared" si="524"/>
        <v>0</v>
      </c>
      <c r="BJ65" s="407">
        <f t="shared" si="524"/>
        <v>0</v>
      </c>
      <c r="BK65" s="407">
        <f t="shared" si="524"/>
        <v>0</v>
      </c>
      <c r="BL65" s="407">
        <f t="shared" si="524"/>
        <v>0</v>
      </c>
      <c r="BM65" s="407">
        <f t="shared" si="524"/>
        <v>0</v>
      </c>
      <c r="BN65" s="407">
        <f t="shared" si="524"/>
        <v>0</v>
      </c>
      <c r="BO65" s="407">
        <f t="shared" si="524"/>
        <v>0</v>
      </c>
      <c r="BP65" s="407">
        <f t="shared" si="524"/>
        <v>0</v>
      </c>
      <c r="BQ65" s="407">
        <f t="shared" ref="BQ65:CL65" si="525">IF(BQ8&lt;sector_base,NA(),IFERROR(IF(activity_approach="Input Activity Data Manually",IF(BQ8=base,psa,IF(BQ8=target,psf,BP65+((psf-psa)/(target-base)))),psa*(1+f_CAGR)^(BQ8-base)),""))</f>
        <v>0</v>
      </c>
      <c r="BR65" s="407">
        <f t="shared" si="525"/>
        <v>0</v>
      </c>
      <c r="BS65" s="407">
        <f t="shared" si="525"/>
        <v>0</v>
      </c>
      <c r="BT65" s="407">
        <f t="shared" si="525"/>
        <v>0</v>
      </c>
      <c r="BU65" s="407">
        <f t="shared" si="525"/>
        <v>0</v>
      </c>
      <c r="BV65" s="407">
        <f t="shared" si="525"/>
        <v>0</v>
      </c>
      <c r="BW65" s="407">
        <f t="shared" si="525"/>
        <v>0</v>
      </c>
      <c r="BX65" s="407">
        <f t="shared" si="525"/>
        <v>0</v>
      </c>
      <c r="BY65" s="407">
        <f t="shared" si="525"/>
        <v>0</v>
      </c>
      <c r="BZ65" s="407">
        <f t="shared" si="525"/>
        <v>0</v>
      </c>
      <c r="CA65" s="407">
        <f t="shared" si="525"/>
        <v>0</v>
      </c>
      <c r="CB65" s="407">
        <f t="shared" si="525"/>
        <v>0</v>
      </c>
      <c r="CC65" s="407">
        <f t="shared" si="525"/>
        <v>0</v>
      </c>
      <c r="CD65" s="407">
        <f t="shared" si="525"/>
        <v>0</v>
      </c>
      <c r="CE65" s="407">
        <f t="shared" si="525"/>
        <v>0</v>
      </c>
      <c r="CF65" s="407">
        <f t="shared" si="525"/>
        <v>0</v>
      </c>
      <c r="CG65" s="407">
        <f t="shared" si="525"/>
        <v>0</v>
      </c>
      <c r="CH65" s="407">
        <f t="shared" si="525"/>
        <v>0</v>
      </c>
      <c r="CI65" s="407">
        <f t="shared" si="525"/>
        <v>0</v>
      </c>
      <c r="CJ65" s="407">
        <f t="shared" si="525"/>
        <v>0</v>
      </c>
      <c r="CK65" s="407">
        <f t="shared" si="525"/>
        <v>0</v>
      </c>
      <c r="CL65" s="407">
        <f t="shared" si="525"/>
        <v>0</v>
      </c>
      <c r="CN65" s="408" t="str">
        <f t="shared" si="520"/>
        <v/>
      </c>
      <c r="CO65" s="408" t="str">
        <f t="shared" si="521"/>
        <v/>
      </c>
      <c r="CP65" s="408" t="str">
        <f t="shared" si="522"/>
        <v/>
      </c>
    </row>
    <row r="66" spans="1:94" hidden="1" outlineLevel="1">
      <c r="A66" s="400" t="s">
        <v>255</v>
      </c>
      <c r="B66" s="400" t="s">
        <v>258</v>
      </c>
      <c r="C66" s="400" t="s">
        <v>341</v>
      </c>
      <c r="D66" s="400" t="s">
        <v>342</v>
      </c>
      <c r="E66" s="409" t="str">
        <f>IFERROR((E64/E65)*1000,"")</f>
        <v/>
      </c>
      <c r="F66" s="390" t="str">
        <f t="shared" ref="F66" si="526">IFERROR((F64/F65)*1000,"")</f>
        <v/>
      </c>
      <c r="G66" s="390" t="str">
        <f t="shared" ref="G66" si="527">IFERROR((G64/G65)*1000,"")</f>
        <v/>
      </c>
      <c r="H66" s="390" t="str">
        <f t="shared" ref="H66" si="528">IFERROR((H64/H65)*1000,"")</f>
        <v/>
      </c>
      <c r="I66" s="390" t="str">
        <f t="shared" ref="I66" si="529">IFERROR((I64/I65)*1000,"")</f>
        <v/>
      </c>
      <c r="J66" s="390" t="str">
        <f t="shared" ref="J66" si="530">IFERROR((J64/J65)*1000,"")</f>
        <v/>
      </c>
      <c r="K66" s="390" t="str">
        <f t="shared" ref="K66" si="531">IFERROR((K64/K65)*1000,"")</f>
        <v/>
      </c>
      <c r="L66" s="390" t="str">
        <f t="shared" ref="L66" si="532">IFERROR((L64/L65)*1000,"")</f>
        <v/>
      </c>
      <c r="M66" s="390" t="str">
        <f t="shared" ref="M66" si="533">IFERROR((M64/M65)*1000,"")</f>
        <v/>
      </c>
      <c r="N66" s="390" t="str">
        <f t="shared" ref="N66" si="534">IFERROR((N64/N65)*1000,"")</f>
        <v/>
      </c>
      <c r="O66" s="390" t="str">
        <f t="shared" ref="O66" si="535">IFERROR((O64/O65)*1000,"")</f>
        <v/>
      </c>
      <c r="P66" s="390" t="str">
        <f t="shared" ref="P66" si="536">IFERROR((P64/P65)*1000,"")</f>
        <v/>
      </c>
      <c r="Q66" s="390" t="str">
        <f t="shared" ref="Q66" si="537">IFERROR((Q64/Q65)*1000,"")</f>
        <v/>
      </c>
      <c r="R66" s="390" t="str">
        <f t="shared" ref="R66" si="538">IFERROR((R64/R65)*1000,"")</f>
        <v/>
      </c>
      <c r="S66" s="390" t="str">
        <f t="shared" ref="S66" si="539">IFERROR((S64/S65)*1000,"")</f>
        <v/>
      </c>
      <c r="T66" s="390" t="str">
        <f t="shared" ref="T66" si="540">IFERROR((T64/T65)*1000,"")</f>
        <v/>
      </c>
      <c r="U66" s="390" t="str">
        <f t="shared" ref="U66" si="541">IFERROR((U64/U65)*1000,"")</f>
        <v/>
      </c>
      <c r="V66" s="390" t="str">
        <f t="shared" ref="V66" si="542">IFERROR((V64/V65)*1000,"")</f>
        <v/>
      </c>
      <c r="W66" s="390" t="str">
        <f t="shared" ref="W66" si="543">IFERROR((W64/W65)*1000,"")</f>
        <v/>
      </c>
      <c r="X66" s="390" t="str">
        <f t="shared" ref="X66" si="544">IFERROR((X64/X65)*1000,"")</f>
        <v/>
      </c>
      <c r="Y66" s="390" t="str">
        <f t="shared" ref="Y66" si="545">IFERROR((Y64/Y65)*1000,"")</f>
        <v/>
      </c>
      <c r="Z66" s="390" t="str">
        <f t="shared" ref="Z66" si="546">IFERROR((Z64/Z65)*1000,"")</f>
        <v/>
      </c>
      <c r="AA66" s="390" t="str">
        <f t="shared" ref="AA66" si="547">IFERROR((AA64/AA65)*1000,"")</f>
        <v/>
      </c>
      <c r="AB66" s="390" t="str">
        <f t="shared" ref="AB66" si="548">IFERROR((AB64/AB65)*1000,"")</f>
        <v/>
      </c>
      <c r="AC66" s="390" t="str">
        <f t="shared" ref="AC66" si="549">IFERROR((AC64/AC65)*1000,"")</f>
        <v/>
      </c>
      <c r="AD66" s="390" t="str">
        <f t="shared" ref="AD66" si="550">IFERROR((AD64/AD65)*1000,"")</f>
        <v/>
      </c>
      <c r="AE66" s="390" t="str">
        <f t="shared" ref="AE66" si="551">IFERROR((AE64/AE65)*1000,"")</f>
        <v/>
      </c>
      <c r="AF66" s="390" t="str">
        <f t="shared" ref="AF66" si="552">IFERROR((AF64/AF65)*1000,"")</f>
        <v/>
      </c>
      <c r="AG66" s="390" t="str">
        <f t="shared" ref="AG66" si="553">IFERROR((AG64/AG65)*1000,"")</f>
        <v/>
      </c>
      <c r="AH66" s="390" t="str">
        <f t="shared" ref="AH66" si="554">IFERROR((AH64/AH65)*1000,"")</f>
        <v/>
      </c>
      <c r="AI66" s="390" t="str">
        <f t="shared" ref="AI66" si="555">IFERROR((AI64/AI65)*1000,"")</f>
        <v/>
      </c>
      <c r="AJ66" s="390" t="str">
        <f t="shared" ref="AJ66" si="556">IFERROR((AJ64/AJ65)*1000,"")</f>
        <v/>
      </c>
      <c r="AK66" s="390" t="str">
        <f t="shared" ref="AK66" si="557">IFERROR((AK64/AK65)*1000,"")</f>
        <v/>
      </c>
      <c r="AL66" s="390" t="str">
        <f t="shared" ref="AL66" si="558">IFERROR((AL64/AL65)*1000,"")</f>
        <v/>
      </c>
      <c r="AM66" s="390" t="str">
        <f t="shared" ref="AM66" si="559">IFERROR((AM64/AM65)*1000,"")</f>
        <v/>
      </c>
      <c r="AN66" s="390" t="str">
        <f t="shared" ref="AN66" si="560">IFERROR((AN64/AN65)*1000,"")</f>
        <v/>
      </c>
      <c r="AO66" s="390" t="str">
        <f t="shared" ref="AO66" si="561">IFERROR((AO64/AO65)*1000,"")</f>
        <v/>
      </c>
      <c r="AP66" s="390" t="str">
        <f t="shared" ref="AP66" si="562">IFERROR((AP64/AP65)*1000,"")</f>
        <v/>
      </c>
      <c r="AQ66" s="390" t="str">
        <f t="shared" ref="AQ66" si="563">IFERROR((AQ64/AQ65)*1000,"")</f>
        <v/>
      </c>
      <c r="AR66" s="390" t="str">
        <f t="shared" ref="AR66" si="564">IFERROR((AR64/AR65)*1000,"")</f>
        <v/>
      </c>
      <c r="AS66" s="390" t="str">
        <f t="shared" ref="AS66" si="565">IFERROR((AS64/AS65)*1000,"")</f>
        <v/>
      </c>
      <c r="AT66" s="390" t="str">
        <f t="shared" ref="AT66" si="566">IFERROR((AT64/AT65)*1000,"")</f>
        <v/>
      </c>
      <c r="AU66" s="390" t="str">
        <f t="shared" ref="AU66" si="567">IFERROR((AU64/AU65)*1000,"")</f>
        <v/>
      </c>
      <c r="AV66" s="390" t="str">
        <f t="shared" ref="AV66" si="568">IFERROR((AV64/AV65)*1000,"")</f>
        <v/>
      </c>
      <c r="AW66" s="390" t="str">
        <f t="shared" ref="AW66" si="569">IFERROR((AW64/AW65)*1000,"")</f>
        <v/>
      </c>
      <c r="AX66" s="390" t="str">
        <f t="shared" ref="AX66" si="570">IFERROR((AX64/AX65)*1000,"")</f>
        <v/>
      </c>
      <c r="AY66" s="390" t="str">
        <f t="shared" ref="AY66" si="571">IFERROR((AY64/AY65)*1000,"")</f>
        <v/>
      </c>
      <c r="AZ66" s="390" t="str">
        <f t="shared" ref="AZ66" si="572">IFERROR((AZ64/AZ65)*1000,"")</f>
        <v/>
      </c>
      <c r="BA66" s="390" t="str">
        <f t="shared" ref="BA66" si="573">IFERROR((BA64/BA65)*1000,"")</f>
        <v/>
      </c>
      <c r="BB66" s="390" t="str">
        <f t="shared" ref="BB66" si="574">IFERROR((BB64/BB65)*1000,"")</f>
        <v/>
      </c>
      <c r="BC66" s="390" t="str">
        <f t="shared" ref="BC66" si="575">IFERROR((BC64/BC65)*1000,"")</f>
        <v/>
      </c>
      <c r="BD66" s="390" t="str">
        <f t="shared" ref="BD66" si="576">IFERROR((BD64/BD65)*1000,"")</f>
        <v/>
      </c>
      <c r="BE66" s="390" t="str">
        <f t="shared" ref="BE66" si="577">IFERROR((BE64/BE65)*1000,"")</f>
        <v/>
      </c>
      <c r="BF66" s="390" t="str">
        <f t="shared" ref="BF66" si="578">IFERROR((BF64/BF65)*1000,"")</f>
        <v/>
      </c>
      <c r="BG66" s="390" t="str">
        <f t="shared" ref="BG66" si="579">IFERROR((BG64/BG65)*1000,"")</f>
        <v/>
      </c>
      <c r="BH66" s="390" t="str">
        <f t="shared" ref="BH66" si="580">IFERROR((BH64/BH65)*1000,"")</f>
        <v/>
      </c>
      <c r="BI66" s="390" t="str">
        <f t="shared" ref="BI66" si="581">IFERROR((BI64/BI65)*1000,"")</f>
        <v/>
      </c>
      <c r="BJ66" s="390" t="str">
        <f t="shared" ref="BJ66" si="582">IFERROR((BJ64/BJ65)*1000,"")</f>
        <v/>
      </c>
      <c r="BK66" s="390" t="str">
        <f t="shared" ref="BK66" si="583">IFERROR((BK64/BK65)*1000,"")</f>
        <v/>
      </c>
      <c r="BL66" s="390" t="str">
        <f t="shared" ref="BL66" si="584">IFERROR((BL64/BL65)*1000,"")</f>
        <v/>
      </c>
      <c r="BM66" s="390" t="str">
        <f t="shared" ref="BM66" si="585">IFERROR((BM64/BM65)*1000,"")</f>
        <v/>
      </c>
      <c r="BN66" s="390" t="str">
        <f t="shared" ref="BN66" si="586">IFERROR((BN64/BN65)*1000,"")</f>
        <v/>
      </c>
      <c r="BO66" s="390" t="str">
        <f t="shared" ref="BO66" si="587">IFERROR((BO64/BO65)*1000,"")</f>
        <v/>
      </c>
      <c r="BP66" s="390" t="str">
        <f t="shared" ref="BP66" si="588">IFERROR((BP64/BP65)*1000,"")</f>
        <v/>
      </c>
      <c r="BQ66" s="390" t="str">
        <f t="shared" ref="BQ66" si="589">IFERROR((BQ64/BQ65)*1000,"")</f>
        <v/>
      </c>
      <c r="BR66" s="390" t="str">
        <f t="shared" ref="BR66" si="590">IFERROR((BR64/BR65)*1000,"")</f>
        <v/>
      </c>
      <c r="BS66" s="390" t="str">
        <f t="shared" ref="BS66" si="591">IFERROR((BS64/BS65)*1000,"")</f>
        <v/>
      </c>
      <c r="BT66" s="390" t="str">
        <f t="shared" ref="BT66" si="592">IFERROR((BT64/BT65)*1000,"")</f>
        <v/>
      </c>
      <c r="BU66" s="390" t="str">
        <f t="shared" ref="BU66" si="593">IFERROR((BU64/BU65)*1000,"")</f>
        <v/>
      </c>
      <c r="BV66" s="390" t="str">
        <f t="shared" ref="BV66" si="594">IFERROR((BV64/BV65)*1000,"")</f>
        <v/>
      </c>
      <c r="BW66" s="390" t="str">
        <f t="shared" ref="BW66" si="595">IFERROR((BW64/BW65)*1000,"")</f>
        <v/>
      </c>
      <c r="BX66" s="390" t="str">
        <f t="shared" ref="BX66" si="596">IFERROR((BX64/BX65)*1000,"")</f>
        <v/>
      </c>
      <c r="BY66" s="390" t="str">
        <f t="shared" ref="BY66" si="597">IFERROR((BY64/BY65)*1000,"")</f>
        <v/>
      </c>
      <c r="BZ66" s="390" t="str">
        <f t="shared" ref="BZ66" si="598">IFERROR((BZ64/BZ65)*1000,"")</f>
        <v/>
      </c>
      <c r="CA66" s="390" t="str">
        <f t="shared" ref="CA66" si="599">IFERROR((CA64/CA65)*1000,"")</f>
        <v/>
      </c>
      <c r="CB66" s="390" t="str">
        <f t="shared" ref="CB66" si="600">IFERROR((CB64/CB65)*1000,"")</f>
        <v/>
      </c>
      <c r="CC66" s="390" t="str">
        <f t="shared" ref="CC66" si="601">IFERROR((CC64/CC65)*1000,"")</f>
        <v/>
      </c>
      <c r="CD66" s="390" t="str">
        <f t="shared" ref="CD66" si="602">IFERROR((CD64/CD65)*1000,"")</f>
        <v/>
      </c>
      <c r="CE66" s="390" t="str">
        <f t="shared" ref="CE66" si="603">IFERROR((CE64/CE65)*1000,"")</f>
        <v/>
      </c>
      <c r="CF66" s="390" t="str">
        <f t="shared" ref="CF66" si="604">IFERROR((CF64/CF65)*1000,"")</f>
        <v/>
      </c>
      <c r="CG66" s="390" t="str">
        <f t="shared" ref="CG66" si="605">IFERROR((CG64/CG65)*1000,"")</f>
        <v/>
      </c>
      <c r="CH66" s="390" t="str">
        <f t="shared" ref="CH66" si="606">IFERROR((CH64/CH65)*1000,"")</f>
        <v/>
      </c>
      <c r="CI66" s="390" t="str">
        <f t="shared" ref="CI66" si="607">IFERROR((CI64/CI65)*1000,"")</f>
        <v/>
      </c>
      <c r="CJ66" s="390" t="str">
        <f t="shared" ref="CJ66" si="608">IFERROR((CJ64/CJ65)*1000,"")</f>
        <v/>
      </c>
      <c r="CK66" s="390" t="str">
        <f t="shared" ref="CK66" si="609">IFERROR((CK64/CK65)*1000,"")</f>
        <v/>
      </c>
      <c r="CL66" s="390" t="str">
        <f t="shared" ref="CL66" si="610">IFERROR((CL64/CL65)*1000,"")</f>
        <v/>
      </c>
      <c r="CN66" s="391" t="str">
        <f t="shared" si="520"/>
        <v/>
      </c>
      <c r="CO66" s="391" t="str">
        <f t="shared" si="521"/>
        <v/>
      </c>
      <c r="CP66" s="391" t="str">
        <f t="shared" si="522"/>
        <v/>
      </c>
    </row>
    <row r="67" spans="1:94" hidden="1" outlineLevel="1">
      <c r="A67" s="417"/>
      <c r="B67" s="417" t="s">
        <v>124</v>
      </c>
      <c r="C67" s="410" t="s">
        <v>343</v>
      </c>
      <c r="D67" s="410" t="s">
        <v>344</v>
      </c>
      <c r="E67" s="411" t="str">
        <f t="shared" ref="E67:AJ67" ca="1" si="611">IFERROR(IF((INDEX($E58:$CL65,8,MATCH(base,$E58:$CL58,0))/INDEX($E58:$CL65,3,MATCH(sector_base,$E58:$CL58,0))/(E65/E60))&gt;=1,1,(INDEX($E58:$CL65,8,MATCH(base,$E58:$CL58,0))/INDEX($E58:$CL65,3,MATCH(base,$E58:$CL58,0))/(E65/E60))),"")</f>
        <v/>
      </c>
      <c r="F67" s="412" t="str">
        <f t="shared" ca="1" si="611"/>
        <v/>
      </c>
      <c r="G67" s="412" t="str">
        <f t="shared" ca="1" si="611"/>
        <v/>
      </c>
      <c r="H67" s="412" t="str">
        <f t="shared" ca="1" si="611"/>
        <v/>
      </c>
      <c r="I67" s="412" t="str">
        <f t="shared" ca="1" si="611"/>
        <v/>
      </c>
      <c r="J67" s="412" t="str">
        <f t="shared" ca="1" si="611"/>
        <v/>
      </c>
      <c r="K67" s="412" t="str">
        <f t="shared" ca="1" si="611"/>
        <v/>
      </c>
      <c r="L67" s="412" t="str">
        <f t="shared" ca="1" si="611"/>
        <v/>
      </c>
      <c r="M67" s="412" t="str">
        <f t="shared" ca="1" si="611"/>
        <v/>
      </c>
      <c r="N67" s="412" t="str">
        <f t="shared" ca="1" si="611"/>
        <v/>
      </c>
      <c r="O67" s="412" t="str">
        <f t="shared" ca="1" si="611"/>
        <v/>
      </c>
      <c r="P67" s="412" t="str">
        <f t="shared" ca="1" si="611"/>
        <v/>
      </c>
      <c r="Q67" s="412" t="str">
        <f t="shared" ca="1" si="611"/>
        <v/>
      </c>
      <c r="R67" s="412" t="str">
        <f t="shared" ca="1" si="611"/>
        <v/>
      </c>
      <c r="S67" s="412" t="str">
        <f t="shared" ca="1" si="611"/>
        <v/>
      </c>
      <c r="T67" s="412" t="str">
        <f t="shared" ca="1" si="611"/>
        <v/>
      </c>
      <c r="U67" s="412" t="str">
        <f t="shared" ca="1" si="611"/>
        <v/>
      </c>
      <c r="V67" s="412" t="str">
        <f t="shared" ca="1" si="611"/>
        <v/>
      </c>
      <c r="W67" s="412" t="str">
        <f t="shared" ca="1" si="611"/>
        <v/>
      </c>
      <c r="X67" s="412" t="str">
        <f t="shared" ca="1" si="611"/>
        <v/>
      </c>
      <c r="Y67" s="412" t="str">
        <f t="shared" ca="1" si="611"/>
        <v/>
      </c>
      <c r="Z67" s="412" t="str">
        <f t="shared" ca="1" si="611"/>
        <v/>
      </c>
      <c r="AA67" s="412" t="str">
        <f t="shared" ca="1" si="611"/>
        <v/>
      </c>
      <c r="AB67" s="412" t="str">
        <f t="shared" ca="1" si="611"/>
        <v/>
      </c>
      <c r="AC67" s="412" t="str">
        <f t="shared" ca="1" si="611"/>
        <v/>
      </c>
      <c r="AD67" s="412" t="str">
        <f t="shared" ca="1" si="611"/>
        <v/>
      </c>
      <c r="AE67" s="412" t="str">
        <f t="shared" ca="1" si="611"/>
        <v/>
      </c>
      <c r="AF67" s="412" t="str">
        <f t="shared" ca="1" si="611"/>
        <v/>
      </c>
      <c r="AG67" s="412" t="str">
        <f t="shared" ca="1" si="611"/>
        <v/>
      </c>
      <c r="AH67" s="412" t="str">
        <f t="shared" ca="1" si="611"/>
        <v/>
      </c>
      <c r="AI67" s="412" t="str">
        <f t="shared" ca="1" si="611"/>
        <v/>
      </c>
      <c r="AJ67" s="412" t="str">
        <f t="shared" ca="1" si="611"/>
        <v/>
      </c>
      <c r="AK67" s="412" t="str">
        <f t="shared" ref="AK67:BP67" ca="1" si="612">IFERROR(IF((INDEX($E58:$CL65,8,MATCH(base,$E58:$CL58,0))/INDEX($E58:$CL65,3,MATCH(sector_base,$E58:$CL58,0))/(AK65/AK60))&gt;=1,1,(INDEX($E58:$CL65,8,MATCH(base,$E58:$CL58,0))/INDEX($E58:$CL65,3,MATCH(base,$E58:$CL58,0))/(AK65/AK60))),"")</f>
        <v/>
      </c>
      <c r="AL67" s="412" t="str">
        <f t="shared" ca="1" si="612"/>
        <v/>
      </c>
      <c r="AM67" s="412" t="str">
        <f t="shared" ca="1" si="612"/>
        <v/>
      </c>
      <c r="AN67" s="412" t="str">
        <f t="shared" ca="1" si="612"/>
        <v/>
      </c>
      <c r="AO67" s="412" t="str">
        <f t="shared" ca="1" si="612"/>
        <v/>
      </c>
      <c r="AP67" s="412" t="str">
        <f t="shared" ca="1" si="612"/>
        <v/>
      </c>
      <c r="AQ67" s="412" t="str">
        <f t="shared" ca="1" si="612"/>
        <v/>
      </c>
      <c r="AR67" s="412" t="str">
        <f t="shared" ca="1" si="612"/>
        <v/>
      </c>
      <c r="AS67" s="412" t="str">
        <f t="shared" ca="1" si="612"/>
        <v/>
      </c>
      <c r="AT67" s="412" t="str">
        <f t="shared" ca="1" si="612"/>
        <v/>
      </c>
      <c r="AU67" s="412" t="str">
        <f t="shared" ca="1" si="612"/>
        <v/>
      </c>
      <c r="AV67" s="412" t="str">
        <f t="shared" ca="1" si="612"/>
        <v/>
      </c>
      <c r="AW67" s="412" t="str">
        <f t="shared" ca="1" si="612"/>
        <v/>
      </c>
      <c r="AX67" s="412" t="str">
        <f t="shared" ca="1" si="612"/>
        <v/>
      </c>
      <c r="AY67" s="412" t="str">
        <f t="shared" ca="1" si="612"/>
        <v/>
      </c>
      <c r="AZ67" s="412" t="str">
        <f t="shared" ca="1" si="612"/>
        <v/>
      </c>
      <c r="BA67" s="412" t="str">
        <f t="shared" ca="1" si="612"/>
        <v/>
      </c>
      <c r="BB67" s="412" t="str">
        <f t="shared" ca="1" si="612"/>
        <v/>
      </c>
      <c r="BC67" s="412" t="str">
        <f t="shared" ca="1" si="612"/>
        <v/>
      </c>
      <c r="BD67" s="412" t="str">
        <f t="shared" ca="1" si="612"/>
        <v/>
      </c>
      <c r="BE67" s="412" t="str">
        <f t="shared" ca="1" si="612"/>
        <v/>
      </c>
      <c r="BF67" s="412" t="str">
        <f t="shared" ca="1" si="612"/>
        <v/>
      </c>
      <c r="BG67" s="412" t="str">
        <f t="shared" ca="1" si="612"/>
        <v/>
      </c>
      <c r="BH67" s="412" t="str">
        <f t="shared" ca="1" si="612"/>
        <v/>
      </c>
      <c r="BI67" s="412" t="str">
        <f t="shared" ca="1" si="612"/>
        <v/>
      </c>
      <c r="BJ67" s="412" t="str">
        <f t="shared" ca="1" si="612"/>
        <v/>
      </c>
      <c r="BK67" s="412" t="str">
        <f t="shared" ca="1" si="612"/>
        <v/>
      </c>
      <c r="BL67" s="412" t="str">
        <f t="shared" ca="1" si="612"/>
        <v/>
      </c>
      <c r="BM67" s="412" t="str">
        <f t="shared" ca="1" si="612"/>
        <v/>
      </c>
      <c r="BN67" s="412" t="str">
        <f t="shared" ca="1" si="612"/>
        <v/>
      </c>
      <c r="BO67" s="412" t="str">
        <f t="shared" ca="1" si="612"/>
        <v/>
      </c>
      <c r="BP67" s="412" t="str">
        <f t="shared" ca="1" si="612"/>
        <v/>
      </c>
      <c r="BQ67" s="412" t="str">
        <f t="shared" ref="BQ67:CL67" ca="1" si="613">IFERROR(IF((INDEX($E58:$CL65,8,MATCH(base,$E58:$CL58,0))/INDEX($E58:$CL65,3,MATCH(sector_base,$E58:$CL58,0))/(BQ65/BQ60))&gt;=1,1,(INDEX($E58:$CL65,8,MATCH(base,$E58:$CL58,0))/INDEX($E58:$CL65,3,MATCH(base,$E58:$CL58,0))/(BQ65/BQ60))),"")</f>
        <v/>
      </c>
      <c r="BR67" s="412" t="str">
        <f t="shared" ca="1" si="613"/>
        <v/>
      </c>
      <c r="BS67" s="412" t="str">
        <f t="shared" ca="1" si="613"/>
        <v/>
      </c>
      <c r="BT67" s="412" t="str">
        <f t="shared" ca="1" si="613"/>
        <v/>
      </c>
      <c r="BU67" s="412" t="str">
        <f t="shared" ca="1" si="613"/>
        <v/>
      </c>
      <c r="BV67" s="412" t="str">
        <f t="shared" ca="1" si="613"/>
        <v/>
      </c>
      <c r="BW67" s="412" t="str">
        <f t="shared" ca="1" si="613"/>
        <v/>
      </c>
      <c r="BX67" s="412" t="str">
        <f t="shared" ca="1" si="613"/>
        <v/>
      </c>
      <c r="BY67" s="412" t="str">
        <f t="shared" ca="1" si="613"/>
        <v/>
      </c>
      <c r="BZ67" s="412" t="str">
        <f t="shared" ca="1" si="613"/>
        <v/>
      </c>
      <c r="CA67" s="412" t="str">
        <f t="shared" ca="1" si="613"/>
        <v/>
      </c>
      <c r="CB67" s="412" t="str">
        <f t="shared" ca="1" si="613"/>
        <v/>
      </c>
      <c r="CC67" s="412" t="str">
        <f t="shared" ca="1" si="613"/>
        <v/>
      </c>
      <c r="CD67" s="412" t="str">
        <f t="shared" ca="1" si="613"/>
        <v/>
      </c>
      <c r="CE67" s="412" t="str">
        <f t="shared" ca="1" si="613"/>
        <v/>
      </c>
      <c r="CF67" s="412" t="str">
        <f t="shared" ca="1" si="613"/>
        <v/>
      </c>
      <c r="CG67" s="412" t="str">
        <f t="shared" ca="1" si="613"/>
        <v/>
      </c>
      <c r="CH67" s="412" t="str">
        <f t="shared" ca="1" si="613"/>
        <v/>
      </c>
      <c r="CI67" s="412" t="str">
        <f t="shared" ca="1" si="613"/>
        <v/>
      </c>
      <c r="CJ67" s="412" t="str">
        <f t="shared" ca="1" si="613"/>
        <v/>
      </c>
      <c r="CK67" s="412" t="str">
        <f t="shared" ca="1" si="613"/>
        <v/>
      </c>
      <c r="CL67" s="412" t="str">
        <f t="shared" ca="1" si="613"/>
        <v/>
      </c>
      <c r="CN67" s="406" t="str">
        <f ca="1">IFERROR((Y67/H67)^(1/17)-1,"")</f>
        <v/>
      </c>
      <c r="CO67" s="406" t="str">
        <f ca="1">IFERROR((AN67/Y67)^(1/15)-1,"")</f>
        <v/>
      </c>
      <c r="CP67" s="406" t="str">
        <f ca="1">IFERROR((AN67/H67)^(1/32)-1,"")</f>
        <v/>
      </c>
    </row>
    <row r="68" spans="1:94" hidden="1" outlineLevel="1">
      <c r="A68" s="399"/>
      <c r="B68" s="399" t="s">
        <v>27</v>
      </c>
      <c r="C68" s="399" t="s">
        <v>345</v>
      </c>
      <c r="D68" s="399" t="s">
        <v>346</v>
      </c>
      <c r="E68" s="401" t="str">
        <f t="shared" ref="E68:AJ68" ca="1" si="614">IFERROR(IF(INDEX($E58:$CL67,9,MATCH(base,$E58:$CL58,0))-E63&lt;0,"N/A",INDEX($E58:$CL67,9,MATCH(base,$E58:$CL58,0))-E63),"")</f>
        <v/>
      </c>
      <c r="F68" s="402" t="str">
        <f t="shared" ca="1" si="614"/>
        <v/>
      </c>
      <c r="G68" s="402" t="str">
        <f t="shared" ca="1" si="614"/>
        <v/>
      </c>
      <c r="H68" s="402" t="str">
        <f t="shared" ca="1" si="614"/>
        <v/>
      </c>
      <c r="I68" s="402" t="str">
        <f t="shared" ca="1" si="614"/>
        <v/>
      </c>
      <c r="J68" s="402" t="str">
        <f t="shared" ca="1" si="614"/>
        <v/>
      </c>
      <c r="K68" s="402" t="str">
        <f t="shared" ca="1" si="614"/>
        <v/>
      </c>
      <c r="L68" s="402" t="str">
        <f t="shared" ca="1" si="614"/>
        <v/>
      </c>
      <c r="M68" s="402" t="str">
        <f t="shared" ca="1" si="614"/>
        <v/>
      </c>
      <c r="N68" s="402" t="str">
        <f t="shared" ca="1" si="614"/>
        <v/>
      </c>
      <c r="O68" s="402" t="str">
        <f t="shared" ca="1" si="614"/>
        <v/>
      </c>
      <c r="P68" s="402" t="str">
        <f t="shared" ca="1" si="614"/>
        <v/>
      </c>
      <c r="Q68" s="402" t="str">
        <f t="shared" ca="1" si="614"/>
        <v/>
      </c>
      <c r="R68" s="402" t="str">
        <f t="shared" ca="1" si="614"/>
        <v/>
      </c>
      <c r="S68" s="402" t="str">
        <f t="shared" ca="1" si="614"/>
        <v/>
      </c>
      <c r="T68" s="402" t="str">
        <f t="shared" ca="1" si="614"/>
        <v/>
      </c>
      <c r="U68" s="402" t="str">
        <f t="shared" ca="1" si="614"/>
        <v/>
      </c>
      <c r="V68" s="402" t="str">
        <f t="shared" ca="1" si="614"/>
        <v/>
      </c>
      <c r="W68" s="402" t="str">
        <f t="shared" ca="1" si="614"/>
        <v/>
      </c>
      <c r="X68" s="402" t="str">
        <f t="shared" ca="1" si="614"/>
        <v/>
      </c>
      <c r="Y68" s="402" t="str">
        <f t="shared" ca="1" si="614"/>
        <v/>
      </c>
      <c r="Z68" s="402" t="str">
        <f t="shared" ca="1" si="614"/>
        <v/>
      </c>
      <c r="AA68" s="402" t="str">
        <f t="shared" ca="1" si="614"/>
        <v/>
      </c>
      <c r="AB68" s="402" t="str">
        <f t="shared" ca="1" si="614"/>
        <v/>
      </c>
      <c r="AC68" s="402" t="str">
        <f t="shared" ca="1" si="614"/>
        <v/>
      </c>
      <c r="AD68" s="402" t="str">
        <f t="shared" ca="1" si="614"/>
        <v/>
      </c>
      <c r="AE68" s="402" t="str">
        <f t="shared" ca="1" si="614"/>
        <v/>
      </c>
      <c r="AF68" s="402" t="str">
        <f t="shared" ca="1" si="614"/>
        <v/>
      </c>
      <c r="AG68" s="402" t="str">
        <f t="shared" ca="1" si="614"/>
        <v/>
      </c>
      <c r="AH68" s="402" t="str">
        <f t="shared" ca="1" si="614"/>
        <v/>
      </c>
      <c r="AI68" s="402" t="str">
        <f t="shared" ca="1" si="614"/>
        <v/>
      </c>
      <c r="AJ68" s="402" t="str">
        <f t="shared" ca="1" si="614"/>
        <v/>
      </c>
      <c r="AK68" s="402" t="str">
        <f t="shared" ref="AK68:BP68" ca="1" si="615">IFERROR(IF(INDEX($E58:$CL67,9,MATCH(base,$E58:$CL58,0))-AK63&lt;0,"N/A",INDEX($E58:$CL67,9,MATCH(base,$E58:$CL58,0))-AK63),"")</f>
        <v/>
      </c>
      <c r="AL68" s="402" t="str">
        <f t="shared" ca="1" si="615"/>
        <v/>
      </c>
      <c r="AM68" s="402" t="str">
        <f t="shared" ca="1" si="615"/>
        <v/>
      </c>
      <c r="AN68" s="402" t="str">
        <f t="shared" ca="1" si="615"/>
        <v/>
      </c>
      <c r="AO68" s="402" t="str">
        <f t="shared" ca="1" si="615"/>
        <v/>
      </c>
      <c r="AP68" s="402" t="str">
        <f t="shared" ca="1" si="615"/>
        <v/>
      </c>
      <c r="AQ68" s="402" t="str">
        <f t="shared" ca="1" si="615"/>
        <v/>
      </c>
      <c r="AR68" s="402" t="str">
        <f t="shared" ca="1" si="615"/>
        <v/>
      </c>
      <c r="AS68" s="402" t="str">
        <f t="shared" ca="1" si="615"/>
        <v/>
      </c>
      <c r="AT68" s="402" t="str">
        <f t="shared" ca="1" si="615"/>
        <v/>
      </c>
      <c r="AU68" s="402" t="str">
        <f t="shared" ca="1" si="615"/>
        <v/>
      </c>
      <c r="AV68" s="402" t="str">
        <f t="shared" ca="1" si="615"/>
        <v/>
      </c>
      <c r="AW68" s="402" t="str">
        <f t="shared" ca="1" si="615"/>
        <v/>
      </c>
      <c r="AX68" s="402" t="str">
        <f t="shared" ca="1" si="615"/>
        <v/>
      </c>
      <c r="AY68" s="402" t="str">
        <f t="shared" ca="1" si="615"/>
        <v/>
      </c>
      <c r="AZ68" s="402" t="str">
        <f t="shared" ca="1" si="615"/>
        <v/>
      </c>
      <c r="BA68" s="402" t="str">
        <f t="shared" ca="1" si="615"/>
        <v/>
      </c>
      <c r="BB68" s="402" t="str">
        <f t="shared" ca="1" si="615"/>
        <v/>
      </c>
      <c r="BC68" s="402" t="str">
        <f t="shared" ca="1" si="615"/>
        <v/>
      </c>
      <c r="BD68" s="402" t="str">
        <f t="shared" ca="1" si="615"/>
        <v/>
      </c>
      <c r="BE68" s="402" t="str">
        <f t="shared" ca="1" si="615"/>
        <v/>
      </c>
      <c r="BF68" s="402" t="str">
        <f t="shared" ca="1" si="615"/>
        <v/>
      </c>
      <c r="BG68" s="402" t="str">
        <f t="shared" ca="1" si="615"/>
        <v/>
      </c>
      <c r="BH68" s="402" t="str">
        <f t="shared" ca="1" si="615"/>
        <v/>
      </c>
      <c r="BI68" s="402" t="str">
        <f t="shared" ca="1" si="615"/>
        <v/>
      </c>
      <c r="BJ68" s="402" t="str">
        <f t="shared" ca="1" si="615"/>
        <v/>
      </c>
      <c r="BK68" s="402" t="str">
        <f t="shared" ca="1" si="615"/>
        <v/>
      </c>
      <c r="BL68" s="402" t="str">
        <f t="shared" ca="1" si="615"/>
        <v/>
      </c>
      <c r="BM68" s="402" t="str">
        <f t="shared" ca="1" si="615"/>
        <v/>
      </c>
      <c r="BN68" s="402" t="str">
        <f t="shared" ca="1" si="615"/>
        <v/>
      </c>
      <c r="BO68" s="402" t="str">
        <f t="shared" ca="1" si="615"/>
        <v/>
      </c>
      <c r="BP68" s="402" t="str">
        <f t="shared" ca="1" si="615"/>
        <v/>
      </c>
      <c r="BQ68" s="402" t="str">
        <f t="shared" ref="BQ68:CL68" ca="1" si="616">IFERROR(IF(INDEX($E58:$CL67,9,MATCH(base,$E58:$CL58,0))-BQ63&lt;0,"N/A",INDEX($E58:$CL67,9,MATCH(base,$E58:$CL58,0))-BQ63),"")</f>
        <v/>
      </c>
      <c r="BR68" s="402" t="str">
        <f t="shared" ca="1" si="616"/>
        <v/>
      </c>
      <c r="BS68" s="402" t="str">
        <f t="shared" ca="1" si="616"/>
        <v/>
      </c>
      <c r="BT68" s="402" t="str">
        <f t="shared" ca="1" si="616"/>
        <v/>
      </c>
      <c r="BU68" s="402" t="str">
        <f t="shared" ca="1" si="616"/>
        <v/>
      </c>
      <c r="BV68" s="402" t="str">
        <f t="shared" ca="1" si="616"/>
        <v/>
      </c>
      <c r="BW68" s="402" t="str">
        <f t="shared" ca="1" si="616"/>
        <v/>
      </c>
      <c r="BX68" s="402" t="str">
        <f t="shared" ca="1" si="616"/>
        <v/>
      </c>
      <c r="BY68" s="402" t="str">
        <f t="shared" ca="1" si="616"/>
        <v/>
      </c>
      <c r="BZ68" s="402" t="str">
        <f t="shared" ca="1" si="616"/>
        <v/>
      </c>
      <c r="CA68" s="402" t="str">
        <f t="shared" ca="1" si="616"/>
        <v/>
      </c>
      <c r="CB68" s="402" t="str">
        <f t="shared" ca="1" si="616"/>
        <v/>
      </c>
      <c r="CC68" s="402" t="str">
        <f t="shared" ca="1" si="616"/>
        <v/>
      </c>
      <c r="CD68" s="402" t="str">
        <f t="shared" ca="1" si="616"/>
        <v/>
      </c>
      <c r="CE68" s="402" t="str">
        <f t="shared" ca="1" si="616"/>
        <v/>
      </c>
      <c r="CF68" s="402" t="str">
        <f t="shared" ca="1" si="616"/>
        <v/>
      </c>
      <c r="CG68" s="402" t="str">
        <f t="shared" ca="1" si="616"/>
        <v/>
      </c>
      <c r="CH68" s="402" t="str">
        <f t="shared" ca="1" si="616"/>
        <v/>
      </c>
      <c r="CI68" s="402" t="str">
        <f t="shared" ca="1" si="616"/>
        <v/>
      </c>
      <c r="CJ68" s="402" t="str">
        <f t="shared" ca="1" si="616"/>
        <v/>
      </c>
      <c r="CK68" s="402" t="str">
        <f t="shared" ca="1" si="616"/>
        <v/>
      </c>
      <c r="CL68" s="402" t="str">
        <f t="shared" ca="1" si="616"/>
        <v/>
      </c>
      <c r="CN68" s="398" t="str">
        <f ca="1">IFERROR((Y68/H68)^(1/17)-1,"")</f>
        <v/>
      </c>
      <c r="CO68" s="398" t="str">
        <f ca="1">IFERROR((AN68/Y68)^(1/15)-1,"")</f>
        <v/>
      </c>
      <c r="CP68" s="398" t="str">
        <f ca="1">IFERROR((AN68/H68)^(1/32)-1,"")</f>
        <v/>
      </c>
    </row>
    <row r="69" spans="1:94" hidden="1" outlineLevel="1">
      <c r="A69" s="403" t="s">
        <v>255</v>
      </c>
      <c r="B69" s="403" t="s">
        <v>256</v>
      </c>
      <c r="C69" s="403" t="s">
        <v>347</v>
      </c>
      <c r="D69" s="403" t="s">
        <v>348</v>
      </c>
      <c r="E69" s="405" t="e">
        <f t="shared" ref="E69:N69" si="617">IF(E8&lt;sector_base,NA(),IF($B$6="ON", IF(E8&gt;=covid_start, IF(E8&lt;covid_recovery,NA(),IFERROR(E63+(E62*E68*E67),0)),IFERROR(E63+(E62*E68*E67),0)),IFERROR(E63+(E62*E68*E67),0)))</f>
        <v>#N/A</v>
      </c>
      <c r="F69" s="405" t="e">
        <f t="shared" si="617"/>
        <v>#N/A</v>
      </c>
      <c r="G69" s="405" t="e">
        <f t="shared" si="617"/>
        <v>#N/A</v>
      </c>
      <c r="H69" s="405" t="e">
        <f>IF(H8&lt;sector_base,NA(),IF($B$6="ON", IF(H8&gt;=covid_start, IF(H8&lt;covid_recovery,NA(),IFERROR(H63+(H62*H68*H67),0)),IFERROR(H63+(H62*H68*H67),0)),IFERROR(H63+(H62*H68*H67),0)))</f>
        <v>#N/A</v>
      </c>
      <c r="I69" s="405">
        <f ca="1">IF(I8&lt;sector_base,NA(),IF($B$6="ON", IF(I8&gt;=covid_start, IF(I8&lt;covid_recovery,NA(),IFERROR(I63+(I62*I68*I67),0)),IFERROR(I63+(I62*I68*I67),0)),IFERROR(I63+(I62*I68*I67),0)))</f>
        <v>0</v>
      </c>
      <c r="J69" s="405" t="e">
        <f t="shared" si="617"/>
        <v>#N/A</v>
      </c>
      <c r="K69" s="405" t="e">
        <f t="shared" si="617"/>
        <v>#N/A</v>
      </c>
      <c r="L69" s="405" t="e">
        <f t="shared" si="617"/>
        <v>#N/A</v>
      </c>
      <c r="M69" s="405">
        <f t="shared" ca="1" si="617"/>
        <v>0</v>
      </c>
      <c r="N69" s="405">
        <f t="shared" ca="1" si="617"/>
        <v>0</v>
      </c>
      <c r="O69" s="405">
        <f t="shared" ref="O69:AT69" ca="1" si="618">IF(O8&lt;sector_base,NA(),IF($B$6="ON", IF(O8&gt;=covid_start, IF(O8&lt;covid_recovery,NA(),IFERROR(O63+(O62*O68*O67),0)),IFERROR(O63+(O62*O68*O67),0)),IFERROR(O63+(O62*O68*O67),0)))</f>
        <v>0</v>
      </c>
      <c r="P69" s="405">
        <f t="shared" ca="1" si="618"/>
        <v>0</v>
      </c>
      <c r="Q69" s="405">
        <f t="shared" ca="1" si="618"/>
        <v>0</v>
      </c>
      <c r="R69" s="405">
        <f t="shared" ca="1" si="618"/>
        <v>0</v>
      </c>
      <c r="S69" s="405">
        <f t="shared" ca="1" si="618"/>
        <v>0</v>
      </c>
      <c r="T69" s="405">
        <f t="shared" ca="1" si="618"/>
        <v>0</v>
      </c>
      <c r="U69" s="405">
        <f t="shared" ca="1" si="618"/>
        <v>0</v>
      </c>
      <c r="V69" s="405">
        <f t="shared" ca="1" si="618"/>
        <v>0</v>
      </c>
      <c r="W69" s="405">
        <f t="shared" ca="1" si="618"/>
        <v>0</v>
      </c>
      <c r="X69" s="405">
        <f t="shared" ca="1" si="618"/>
        <v>0</v>
      </c>
      <c r="Y69" s="405">
        <f t="shared" ca="1" si="618"/>
        <v>0</v>
      </c>
      <c r="Z69" s="405">
        <f t="shared" ca="1" si="618"/>
        <v>0</v>
      </c>
      <c r="AA69" s="405">
        <f t="shared" ca="1" si="618"/>
        <v>0</v>
      </c>
      <c r="AB69" s="405">
        <f t="shared" ca="1" si="618"/>
        <v>0</v>
      </c>
      <c r="AC69" s="405">
        <f t="shared" ca="1" si="618"/>
        <v>0</v>
      </c>
      <c r="AD69" s="405">
        <f t="shared" ca="1" si="618"/>
        <v>0</v>
      </c>
      <c r="AE69" s="405">
        <f t="shared" ca="1" si="618"/>
        <v>0</v>
      </c>
      <c r="AF69" s="405">
        <f t="shared" ca="1" si="618"/>
        <v>0</v>
      </c>
      <c r="AG69" s="405">
        <f t="shared" ca="1" si="618"/>
        <v>0</v>
      </c>
      <c r="AH69" s="405">
        <f t="shared" ca="1" si="618"/>
        <v>0</v>
      </c>
      <c r="AI69" s="405">
        <f t="shared" ca="1" si="618"/>
        <v>0</v>
      </c>
      <c r="AJ69" s="405">
        <f t="shared" ca="1" si="618"/>
        <v>0</v>
      </c>
      <c r="AK69" s="405">
        <f t="shared" ca="1" si="618"/>
        <v>0</v>
      </c>
      <c r="AL69" s="405">
        <f t="shared" ca="1" si="618"/>
        <v>0</v>
      </c>
      <c r="AM69" s="405">
        <f t="shared" ca="1" si="618"/>
        <v>0</v>
      </c>
      <c r="AN69" s="405">
        <f t="shared" ca="1" si="618"/>
        <v>0</v>
      </c>
      <c r="AO69" s="405">
        <f t="shared" ca="1" si="618"/>
        <v>0</v>
      </c>
      <c r="AP69" s="405">
        <f t="shared" ca="1" si="618"/>
        <v>0</v>
      </c>
      <c r="AQ69" s="405">
        <f t="shared" ca="1" si="618"/>
        <v>0</v>
      </c>
      <c r="AR69" s="405">
        <f t="shared" ca="1" si="618"/>
        <v>0</v>
      </c>
      <c r="AS69" s="405">
        <f t="shared" ca="1" si="618"/>
        <v>0</v>
      </c>
      <c r="AT69" s="405">
        <f t="shared" ca="1" si="618"/>
        <v>0</v>
      </c>
      <c r="AU69" s="405">
        <f t="shared" ref="AU69:BZ69" ca="1" si="619">IF(AU8&lt;sector_base,NA(),IF($B$6="ON", IF(AU8&gt;=covid_start, IF(AU8&lt;covid_recovery,NA(),IFERROR(AU63+(AU62*AU68*AU67),0)),IFERROR(AU63+(AU62*AU68*AU67),0)),IFERROR(AU63+(AU62*AU68*AU67),0)))</f>
        <v>0</v>
      </c>
      <c r="AV69" s="405">
        <f t="shared" ca="1" si="619"/>
        <v>0</v>
      </c>
      <c r="AW69" s="405">
        <f t="shared" ca="1" si="619"/>
        <v>0</v>
      </c>
      <c r="AX69" s="405">
        <f t="shared" ca="1" si="619"/>
        <v>0</v>
      </c>
      <c r="AY69" s="405">
        <f t="shared" ca="1" si="619"/>
        <v>0</v>
      </c>
      <c r="AZ69" s="405">
        <f t="shared" ca="1" si="619"/>
        <v>0</v>
      </c>
      <c r="BA69" s="405">
        <f t="shared" ca="1" si="619"/>
        <v>0</v>
      </c>
      <c r="BB69" s="405">
        <f t="shared" ca="1" si="619"/>
        <v>0</v>
      </c>
      <c r="BC69" s="405">
        <f t="shared" ca="1" si="619"/>
        <v>0</v>
      </c>
      <c r="BD69" s="405">
        <f t="shared" ca="1" si="619"/>
        <v>0</v>
      </c>
      <c r="BE69" s="405">
        <f t="shared" ca="1" si="619"/>
        <v>0</v>
      </c>
      <c r="BF69" s="405">
        <f t="shared" ca="1" si="619"/>
        <v>0</v>
      </c>
      <c r="BG69" s="405">
        <f t="shared" ca="1" si="619"/>
        <v>0</v>
      </c>
      <c r="BH69" s="405">
        <f t="shared" ca="1" si="619"/>
        <v>0</v>
      </c>
      <c r="BI69" s="405">
        <f t="shared" ca="1" si="619"/>
        <v>0</v>
      </c>
      <c r="BJ69" s="405">
        <f t="shared" ca="1" si="619"/>
        <v>0</v>
      </c>
      <c r="BK69" s="405">
        <f t="shared" ca="1" si="619"/>
        <v>0</v>
      </c>
      <c r="BL69" s="405">
        <f t="shared" ca="1" si="619"/>
        <v>0</v>
      </c>
      <c r="BM69" s="405">
        <f t="shared" ca="1" si="619"/>
        <v>0</v>
      </c>
      <c r="BN69" s="405">
        <f t="shared" ca="1" si="619"/>
        <v>0</v>
      </c>
      <c r="BO69" s="405">
        <f t="shared" ca="1" si="619"/>
        <v>0</v>
      </c>
      <c r="BP69" s="405">
        <f t="shared" ca="1" si="619"/>
        <v>0</v>
      </c>
      <c r="BQ69" s="405">
        <f t="shared" ca="1" si="619"/>
        <v>0</v>
      </c>
      <c r="BR69" s="405">
        <f t="shared" ca="1" si="619"/>
        <v>0</v>
      </c>
      <c r="BS69" s="405">
        <f t="shared" ca="1" si="619"/>
        <v>0</v>
      </c>
      <c r="BT69" s="405">
        <f t="shared" ca="1" si="619"/>
        <v>0</v>
      </c>
      <c r="BU69" s="405">
        <f t="shared" ca="1" si="619"/>
        <v>0</v>
      </c>
      <c r="BV69" s="405">
        <f t="shared" ca="1" si="619"/>
        <v>0</v>
      </c>
      <c r="BW69" s="405">
        <f t="shared" ca="1" si="619"/>
        <v>0</v>
      </c>
      <c r="BX69" s="405">
        <f t="shared" ca="1" si="619"/>
        <v>0</v>
      </c>
      <c r="BY69" s="405">
        <f t="shared" ca="1" si="619"/>
        <v>0</v>
      </c>
      <c r="BZ69" s="405">
        <f t="shared" ca="1" si="619"/>
        <v>0</v>
      </c>
      <c r="CA69" s="405">
        <f t="shared" ref="CA69:CL69" ca="1" si="620">IF(CA8&lt;sector_base,NA(),IF($B$6="ON", IF(CA8&gt;=covid_start, IF(CA8&lt;covid_recovery,NA(),IFERROR(CA63+(CA62*CA68*CA67),0)),IFERROR(CA63+(CA62*CA68*CA67),0)),IFERROR(CA63+(CA62*CA68*CA67),0)))</f>
        <v>0</v>
      </c>
      <c r="CB69" s="405">
        <f t="shared" ca="1" si="620"/>
        <v>0</v>
      </c>
      <c r="CC69" s="405">
        <f t="shared" ca="1" si="620"/>
        <v>0</v>
      </c>
      <c r="CD69" s="405">
        <f t="shared" ca="1" si="620"/>
        <v>0</v>
      </c>
      <c r="CE69" s="405">
        <f t="shared" ca="1" si="620"/>
        <v>0</v>
      </c>
      <c r="CF69" s="405">
        <f t="shared" ca="1" si="620"/>
        <v>0</v>
      </c>
      <c r="CG69" s="405">
        <f t="shared" ca="1" si="620"/>
        <v>0</v>
      </c>
      <c r="CH69" s="405">
        <f t="shared" ca="1" si="620"/>
        <v>0</v>
      </c>
      <c r="CI69" s="405">
        <f t="shared" ca="1" si="620"/>
        <v>0</v>
      </c>
      <c r="CJ69" s="405">
        <f t="shared" ca="1" si="620"/>
        <v>0</v>
      </c>
      <c r="CK69" s="405">
        <f t="shared" ca="1" si="620"/>
        <v>0</v>
      </c>
      <c r="CL69" s="405">
        <f t="shared" ca="1" si="620"/>
        <v>0</v>
      </c>
      <c r="CN69" s="406" t="str">
        <f ca="1">IFERROR((Y69/H69)^(1/17)-1,"")</f>
        <v/>
      </c>
      <c r="CO69" s="406" t="str">
        <f ca="1">IFERROR((AN69/Y69)^(1/15)-1,"")</f>
        <v/>
      </c>
      <c r="CP69" s="406" t="str">
        <f ca="1">IFERROR((AN69/H69)^(1/32)-1,"")</f>
        <v/>
      </c>
    </row>
    <row r="70" spans="1:94" hidden="1" outlineLevel="1">
      <c r="A70" s="400" t="s">
        <v>255</v>
      </c>
      <c r="B70" s="400" t="s">
        <v>129</v>
      </c>
      <c r="C70" s="400" t="s">
        <v>349</v>
      </c>
      <c r="D70" s="400"/>
      <c r="E70" s="413" t="e">
        <f>IF(E58=base,E69, IF(E58=target,E69,#N/A))</f>
        <v>#N/A</v>
      </c>
      <c r="F70" s="407" t="e">
        <f t="shared" ref="F70" si="621">IF(F66=base,F69, IF(F66=target,F69,#N/A))</f>
        <v>#N/A</v>
      </c>
      <c r="G70" s="407" t="e">
        <f t="shared" ref="G70" si="622">IF(G66=base,G69, IF(G66=target,G69,#N/A))</f>
        <v>#N/A</v>
      </c>
      <c r="H70" s="407" t="e">
        <f>IF(H58=base,H69, IF(H58=target,H69,#N/A))</f>
        <v>#N/A</v>
      </c>
      <c r="I70" s="407">
        <f t="shared" ref="I70:AN70" ca="1" si="623">IF(I58=base,I69, IF(I58=target,I69,#N/A))</f>
        <v>0</v>
      </c>
      <c r="J70" s="407" t="e">
        <f t="shared" si="623"/>
        <v>#N/A</v>
      </c>
      <c r="K70" s="407" t="e">
        <f t="shared" si="623"/>
        <v>#N/A</v>
      </c>
      <c r="L70" s="407" t="e">
        <f t="shared" si="623"/>
        <v>#N/A</v>
      </c>
      <c r="M70" s="407" t="e">
        <f t="shared" si="623"/>
        <v>#N/A</v>
      </c>
      <c r="N70" s="407" t="e">
        <f t="shared" si="623"/>
        <v>#N/A</v>
      </c>
      <c r="O70" s="407" t="e">
        <f t="shared" si="623"/>
        <v>#N/A</v>
      </c>
      <c r="P70" s="407" t="e">
        <f t="shared" si="623"/>
        <v>#N/A</v>
      </c>
      <c r="Q70" s="407" t="e">
        <f t="shared" si="623"/>
        <v>#N/A</v>
      </c>
      <c r="R70" s="407" t="e">
        <f t="shared" si="623"/>
        <v>#N/A</v>
      </c>
      <c r="S70" s="407" t="e">
        <f t="shared" si="623"/>
        <v>#N/A</v>
      </c>
      <c r="T70" s="407" t="e">
        <f t="shared" si="623"/>
        <v>#N/A</v>
      </c>
      <c r="U70" s="407" t="e">
        <f t="shared" si="623"/>
        <v>#N/A</v>
      </c>
      <c r="V70" s="407" t="e">
        <f t="shared" si="623"/>
        <v>#N/A</v>
      </c>
      <c r="W70" s="407" t="e">
        <f t="shared" si="623"/>
        <v>#N/A</v>
      </c>
      <c r="X70" s="407" t="e">
        <f t="shared" si="623"/>
        <v>#N/A</v>
      </c>
      <c r="Y70" s="407" t="e">
        <f>IF(Y58=base,Y69, IF(Y58=target,Y69,#N/A))</f>
        <v>#N/A</v>
      </c>
      <c r="Z70" s="407" t="e">
        <f t="shared" si="623"/>
        <v>#N/A</v>
      </c>
      <c r="AA70" s="407" t="e">
        <f t="shared" si="623"/>
        <v>#N/A</v>
      </c>
      <c r="AB70" s="407" t="e">
        <f t="shared" si="623"/>
        <v>#N/A</v>
      </c>
      <c r="AC70" s="407" t="e">
        <f t="shared" si="623"/>
        <v>#N/A</v>
      </c>
      <c r="AD70" s="407" t="e">
        <f t="shared" si="623"/>
        <v>#N/A</v>
      </c>
      <c r="AE70" s="407" t="e">
        <f t="shared" si="623"/>
        <v>#N/A</v>
      </c>
      <c r="AF70" s="407" t="e">
        <f t="shared" si="623"/>
        <v>#N/A</v>
      </c>
      <c r="AG70" s="407" t="e">
        <f t="shared" si="623"/>
        <v>#N/A</v>
      </c>
      <c r="AH70" s="407" t="e">
        <f t="shared" si="623"/>
        <v>#N/A</v>
      </c>
      <c r="AI70" s="407" t="e">
        <f t="shared" si="623"/>
        <v>#N/A</v>
      </c>
      <c r="AJ70" s="407" t="e">
        <f t="shared" si="623"/>
        <v>#N/A</v>
      </c>
      <c r="AK70" s="407" t="e">
        <f t="shared" si="623"/>
        <v>#N/A</v>
      </c>
      <c r="AL70" s="407" t="e">
        <f t="shared" si="623"/>
        <v>#N/A</v>
      </c>
      <c r="AM70" s="407" t="e">
        <f t="shared" si="623"/>
        <v>#N/A</v>
      </c>
      <c r="AN70" s="407" t="e">
        <f t="shared" si="623"/>
        <v>#N/A</v>
      </c>
      <c r="AO70" s="407">
        <f t="shared" ref="AO70" ca="1" si="624">IF(AO66=base,AO69, IF(AO66=target,AO69,#N/A))</f>
        <v>0</v>
      </c>
      <c r="AP70" s="407">
        <f t="shared" ref="AP70" ca="1" si="625">IF(AP66=base,AP69, IF(AP66=target,AP69,#N/A))</f>
        <v>0</v>
      </c>
      <c r="AQ70" s="407">
        <f t="shared" ref="AQ70" ca="1" si="626">IF(AQ66=base,AQ69, IF(AQ66=target,AQ69,#N/A))</f>
        <v>0</v>
      </c>
      <c r="AR70" s="407">
        <f t="shared" ref="AR70" ca="1" si="627">IF(AR66=base,AR69, IF(AR66=target,AR69,#N/A))</f>
        <v>0</v>
      </c>
      <c r="AS70" s="407">
        <f t="shared" ref="AS70" ca="1" si="628">IF(AS66=base,AS69, IF(AS66=target,AS69,#N/A))</f>
        <v>0</v>
      </c>
      <c r="AT70" s="407">
        <f t="shared" ref="AT70" ca="1" si="629">IF(AT66=base,AT69, IF(AT66=target,AT69,#N/A))</f>
        <v>0</v>
      </c>
      <c r="AU70" s="407">
        <f t="shared" ref="AU70" ca="1" si="630">IF(AU66=base,AU69, IF(AU66=target,AU69,#N/A))</f>
        <v>0</v>
      </c>
      <c r="AV70" s="407">
        <f t="shared" ref="AV70" ca="1" si="631">IF(AV66=base,AV69, IF(AV66=target,AV69,#N/A))</f>
        <v>0</v>
      </c>
      <c r="AW70" s="407">
        <f t="shared" ref="AW70" ca="1" si="632">IF(AW66=base,AW69, IF(AW66=target,AW69,#N/A))</f>
        <v>0</v>
      </c>
      <c r="AX70" s="407">
        <f t="shared" ref="AX70" ca="1" si="633">IF(AX66=base,AX69, IF(AX66=target,AX69,#N/A))</f>
        <v>0</v>
      </c>
      <c r="AY70" s="407">
        <f t="shared" ref="AY70" ca="1" si="634">IF(AY66=base,AY69, IF(AY66=target,AY69,#N/A))</f>
        <v>0</v>
      </c>
      <c r="AZ70" s="407">
        <f t="shared" ref="AZ70" ca="1" si="635">IF(AZ66=base,AZ69, IF(AZ66=target,AZ69,#N/A))</f>
        <v>0</v>
      </c>
      <c r="BA70" s="407">
        <f t="shared" ref="BA70" ca="1" si="636">IF(BA66=base,BA69, IF(BA66=target,BA69,#N/A))</f>
        <v>0</v>
      </c>
      <c r="BB70" s="407">
        <f t="shared" ref="BB70" ca="1" si="637">IF(BB66=base,BB69, IF(BB66=target,BB69,#N/A))</f>
        <v>0</v>
      </c>
      <c r="BC70" s="407">
        <f t="shared" ref="BC70" ca="1" si="638">IF(BC66=base,BC69, IF(BC66=target,BC69,#N/A))</f>
        <v>0</v>
      </c>
      <c r="BD70" s="407">
        <f t="shared" ref="BD70" ca="1" si="639">IF(BD66=base,BD69, IF(BD66=target,BD69,#N/A))</f>
        <v>0</v>
      </c>
      <c r="BE70" s="407">
        <f t="shared" ref="BE70" ca="1" si="640">IF(BE66=base,BE69, IF(BE66=target,BE69,#N/A))</f>
        <v>0</v>
      </c>
      <c r="BF70" s="407">
        <f t="shared" ref="BF70" ca="1" si="641">IF(BF66=base,BF69, IF(BF66=target,BF69,#N/A))</f>
        <v>0</v>
      </c>
      <c r="BG70" s="407">
        <f t="shared" ref="BG70" ca="1" si="642">IF(BG66=base,BG69, IF(BG66=target,BG69,#N/A))</f>
        <v>0</v>
      </c>
      <c r="BH70" s="407">
        <f t="shared" ref="BH70" ca="1" si="643">IF(BH66=base,BH69, IF(BH66=target,BH69,#N/A))</f>
        <v>0</v>
      </c>
      <c r="BI70" s="407">
        <f t="shared" ref="BI70" ca="1" si="644">IF(BI66=base,BI69, IF(BI66=target,BI69,#N/A))</f>
        <v>0</v>
      </c>
      <c r="BJ70" s="407">
        <f t="shared" ref="BJ70" ca="1" si="645">IF(BJ66=base,BJ69, IF(BJ66=target,BJ69,#N/A))</f>
        <v>0</v>
      </c>
      <c r="BK70" s="407">
        <f t="shared" ref="BK70" ca="1" si="646">IF(BK66=base,BK69, IF(BK66=target,BK69,#N/A))</f>
        <v>0</v>
      </c>
      <c r="BL70" s="407">
        <f t="shared" ref="BL70" ca="1" si="647">IF(BL66=base,BL69, IF(BL66=target,BL69,#N/A))</f>
        <v>0</v>
      </c>
      <c r="BM70" s="407">
        <f t="shared" ref="BM70" ca="1" si="648">IF(BM66=base,BM69, IF(BM66=target,BM69,#N/A))</f>
        <v>0</v>
      </c>
      <c r="BN70" s="407">
        <f t="shared" ref="BN70" ca="1" si="649">IF(BN66=base,BN69, IF(BN66=target,BN69,#N/A))</f>
        <v>0</v>
      </c>
      <c r="BO70" s="407">
        <f t="shared" ref="BO70" ca="1" si="650">IF(BO66=base,BO69, IF(BO66=target,BO69,#N/A))</f>
        <v>0</v>
      </c>
      <c r="BP70" s="407">
        <f t="shared" ref="BP70" ca="1" si="651">IF(BP66=base,BP69, IF(BP66=target,BP69,#N/A))</f>
        <v>0</v>
      </c>
      <c r="BQ70" s="407">
        <f t="shared" ref="BQ70" ca="1" si="652">IF(BQ66=base,BQ69, IF(BQ66=target,BQ69,#N/A))</f>
        <v>0</v>
      </c>
      <c r="BR70" s="407">
        <f t="shared" ref="BR70" ca="1" si="653">IF(BR66=base,BR69, IF(BR66=target,BR69,#N/A))</f>
        <v>0</v>
      </c>
      <c r="BS70" s="407">
        <f t="shared" ref="BS70" ca="1" si="654">IF(BS66=base,BS69, IF(BS66=target,BS69,#N/A))</f>
        <v>0</v>
      </c>
      <c r="BT70" s="407">
        <f t="shared" ref="BT70" ca="1" si="655">IF(BT66=base,BT69, IF(BT66=target,BT69,#N/A))</f>
        <v>0</v>
      </c>
      <c r="BU70" s="407">
        <f t="shared" ref="BU70" ca="1" si="656">IF(BU66=base,BU69, IF(BU66=target,BU69,#N/A))</f>
        <v>0</v>
      </c>
      <c r="BV70" s="407">
        <f t="shared" ref="BV70" ca="1" si="657">IF(BV66=base,BV69, IF(BV66=target,BV69,#N/A))</f>
        <v>0</v>
      </c>
      <c r="BW70" s="407">
        <f t="shared" ref="BW70" ca="1" si="658">IF(BW66=base,BW69, IF(BW66=target,BW69,#N/A))</f>
        <v>0</v>
      </c>
      <c r="BX70" s="407">
        <f t="shared" ref="BX70" ca="1" si="659">IF(BX66=base,BX69, IF(BX66=target,BX69,#N/A))</f>
        <v>0</v>
      </c>
      <c r="BY70" s="407">
        <f t="shared" ref="BY70" ca="1" si="660">IF(BY66=base,BY69, IF(BY66=target,BY69,#N/A))</f>
        <v>0</v>
      </c>
      <c r="BZ70" s="407">
        <f t="shared" ref="BZ70" ca="1" si="661">IF(BZ66=base,BZ69, IF(BZ66=target,BZ69,#N/A))</f>
        <v>0</v>
      </c>
      <c r="CA70" s="407">
        <f t="shared" ref="CA70" ca="1" si="662">IF(CA66=base,CA69, IF(CA66=target,CA69,#N/A))</f>
        <v>0</v>
      </c>
      <c r="CB70" s="407">
        <f t="shared" ref="CB70" ca="1" si="663">IF(CB66=base,CB69, IF(CB66=target,CB69,#N/A))</f>
        <v>0</v>
      </c>
      <c r="CC70" s="407">
        <f t="shared" ref="CC70" ca="1" si="664">IF(CC66=base,CC69, IF(CC66=target,CC69,#N/A))</f>
        <v>0</v>
      </c>
      <c r="CD70" s="407">
        <f t="shared" ref="CD70" ca="1" si="665">IF(CD66=base,CD69, IF(CD66=target,CD69,#N/A))</f>
        <v>0</v>
      </c>
      <c r="CE70" s="407">
        <f t="shared" ref="CE70" ca="1" si="666">IF(CE66=base,CE69, IF(CE66=target,CE69,#N/A))</f>
        <v>0</v>
      </c>
      <c r="CF70" s="407">
        <f t="shared" ref="CF70" ca="1" si="667">IF(CF66=base,CF69, IF(CF66=target,CF69,#N/A))</f>
        <v>0</v>
      </c>
      <c r="CG70" s="407">
        <f t="shared" ref="CG70" ca="1" si="668">IF(CG66=base,CG69, IF(CG66=target,CG69,#N/A))</f>
        <v>0</v>
      </c>
      <c r="CH70" s="407">
        <f t="shared" ref="CH70" ca="1" si="669">IF(CH66=base,CH69, IF(CH66=target,CH69,#N/A))</f>
        <v>0</v>
      </c>
      <c r="CI70" s="407">
        <f t="shared" ref="CI70" ca="1" si="670">IF(CI66=base,CI69, IF(CI66=target,CI69,#N/A))</f>
        <v>0</v>
      </c>
      <c r="CJ70" s="407">
        <f t="shared" ref="CJ70" ca="1" si="671">IF(CJ66=base,CJ69, IF(CJ66=target,CJ69,#N/A))</f>
        <v>0</v>
      </c>
      <c r="CK70" s="407">
        <f t="shared" ref="CK70" ca="1" si="672">IF(CK66=base,CK69, IF(CK66=target,CK69,#N/A))</f>
        <v>0</v>
      </c>
      <c r="CL70" s="407">
        <f t="shared" ref="CL70" ca="1" si="673">IF(CL66=base,CL69, IF(CL66=target,CL69,#N/A))</f>
        <v>0</v>
      </c>
      <c r="CN70" s="408" t="str">
        <f>IFERROR((Y70/H70)^(1/17)-1,"")</f>
        <v/>
      </c>
      <c r="CO70" s="408" t="str">
        <f>IFERROR((AN70/Y70)^(1/15)-1,"")</f>
        <v/>
      </c>
      <c r="CP70" s="408" t="str">
        <f>IFERROR((AN70/H70)^(1/32)-1,"")</f>
        <v/>
      </c>
    </row>
    <row r="71" spans="1:94" hidden="1" outlineLevel="1">
      <c r="A71" s="403" t="s">
        <v>255</v>
      </c>
      <c r="B71" s="403" t="s">
        <v>257</v>
      </c>
      <c r="C71" s="403" t="s">
        <v>350</v>
      </c>
      <c r="D71" s="403" t="s">
        <v>351</v>
      </c>
      <c r="E71" s="404">
        <f>IFERROR((E69*E65)/1000,0)</f>
        <v>0</v>
      </c>
      <c r="F71" s="405">
        <f t="shared" ref="F71" si="674">IFERROR((F69*F65)/1000,0)</f>
        <v>0</v>
      </c>
      <c r="G71" s="405">
        <f t="shared" ref="G71" si="675">IFERROR((G69*G65)/1000,0)</f>
        <v>0</v>
      </c>
      <c r="H71" s="405">
        <f>IFERROR((H69*H65)/1000,0)</f>
        <v>0</v>
      </c>
      <c r="I71" s="405">
        <f ca="1">IFERROR((I69*I65)/1000,0)</f>
        <v>0</v>
      </c>
      <c r="J71" s="405">
        <f t="shared" ref="J71" si="676">IFERROR((J69*J65)/1000,0)</f>
        <v>0</v>
      </c>
      <c r="K71" s="405">
        <f t="shared" ref="K71" si="677">IFERROR((K69*K65)/1000,0)</f>
        <v>0</v>
      </c>
      <c r="L71" s="405">
        <f t="shared" ref="L71" si="678">IFERROR((L69*L65)/1000,0)</f>
        <v>0</v>
      </c>
      <c r="M71" s="405">
        <f t="shared" ref="M71" ca="1" si="679">IFERROR((M69*M65)/1000,0)</f>
        <v>0</v>
      </c>
      <c r="N71" s="405">
        <f t="shared" ref="N71" ca="1" si="680">IFERROR((N69*N65)/1000,0)</f>
        <v>0</v>
      </c>
      <c r="O71" s="405">
        <f t="shared" ref="O71:AT71" ca="1" si="681">IFERROR((O69*O65)/1000,0)</f>
        <v>0</v>
      </c>
      <c r="P71" s="405">
        <f t="shared" ca="1" si="681"/>
        <v>0</v>
      </c>
      <c r="Q71" s="405">
        <f t="shared" ca="1" si="681"/>
        <v>0</v>
      </c>
      <c r="R71" s="405">
        <f t="shared" ca="1" si="681"/>
        <v>0</v>
      </c>
      <c r="S71" s="418">
        <f t="shared" ca="1" si="681"/>
        <v>0</v>
      </c>
      <c r="T71" s="418">
        <f t="shared" ca="1" si="681"/>
        <v>0</v>
      </c>
      <c r="U71" s="418">
        <f t="shared" ca="1" si="681"/>
        <v>0</v>
      </c>
      <c r="V71" s="405">
        <f t="shared" ca="1" si="681"/>
        <v>0</v>
      </c>
      <c r="W71" s="405">
        <f t="shared" ca="1" si="681"/>
        <v>0</v>
      </c>
      <c r="X71" s="405">
        <f t="shared" ca="1" si="681"/>
        <v>0</v>
      </c>
      <c r="Y71" s="405">
        <f t="shared" ca="1" si="681"/>
        <v>0</v>
      </c>
      <c r="Z71" s="405">
        <f t="shared" ca="1" si="681"/>
        <v>0</v>
      </c>
      <c r="AA71" s="405">
        <f t="shared" ca="1" si="681"/>
        <v>0</v>
      </c>
      <c r="AB71" s="405">
        <f t="shared" ca="1" si="681"/>
        <v>0</v>
      </c>
      <c r="AC71" s="405">
        <f t="shared" ca="1" si="681"/>
        <v>0</v>
      </c>
      <c r="AD71" s="405">
        <f t="shared" ca="1" si="681"/>
        <v>0</v>
      </c>
      <c r="AE71" s="405">
        <f t="shared" ca="1" si="681"/>
        <v>0</v>
      </c>
      <c r="AF71" s="405">
        <f t="shared" ca="1" si="681"/>
        <v>0</v>
      </c>
      <c r="AG71" s="405">
        <f t="shared" ca="1" si="681"/>
        <v>0</v>
      </c>
      <c r="AH71" s="405">
        <f t="shared" ca="1" si="681"/>
        <v>0</v>
      </c>
      <c r="AI71" s="405">
        <f t="shared" ca="1" si="681"/>
        <v>0</v>
      </c>
      <c r="AJ71" s="405">
        <f t="shared" ca="1" si="681"/>
        <v>0</v>
      </c>
      <c r="AK71" s="405">
        <f t="shared" ca="1" si="681"/>
        <v>0</v>
      </c>
      <c r="AL71" s="405">
        <f t="shared" ca="1" si="681"/>
        <v>0</v>
      </c>
      <c r="AM71" s="405">
        <f t="shared" ca="1" si="681"/>
        <v>0</v>
      </c>
      <c r="AN71" s="405">
        <f t="shared" ca="1" si="681"/>
        <v>0</v>
      </c>
      <c r="AO71" s="405">
        <f t="shared" ca="1" si="681"/>
        <v>0</v>
      </c>
      <c r="AP71" s="405">
        <f t="shared" ca="1" si="681"/>
        <v>0</v>
      </c>
      <c r="AQ71" s="405">
        <f t="shared" ca="1" si="681"/>
        <v>0</v>
      </c>
      <c r="AR71" s="405">
        <f t="shared" ca="1" si="681"/>
        <v>0</v>
      </c>
      <c r="AS71" s="405">
        <f t="shared" ca="1" si="681"/>
        <v>0</v>
      </c>
      <c r="AT71" s="405">
        <f t="shared" ca="1" si="681"/>
        <v>0</v>
      </c>
      <c r="AU71" s="405">
        <f t="shared" ref="AU71:BZ71" ca="1" si="682">IFERROR((AU69*AU65)/1000,0)</f>
        <v>0</v>
      </c>
      <c r="AV71" s="405">
        <f t="shared" ca="1" si="682"/>
        <v>0</v>
      </c>
      <c r="AW71" s="405">
        <f t="shared" ca="1" si="682"/>
        <v>0</v>
      </c>
      <c r="AX71" s="405">
        <f t="shared" ca="1" si="682"/>
        <v>0</v>
      </c>
      <c r="AY71" s="405">
        <f t="shared" ca="1" si="682"/>
        <v>0</v>
      </c>
      <c r="AZ71" s="405">
        <f t="shared" ca="1" si="682"/>
        <v>0</v>
      </c>
      <c r="BA71" s="405">
        <f t="shared" ca="1" si="682"/>
        <v>0</v>
      </c>
      <c r="BB71" s="405">
        <f t="shared" ca="1" si="682"/>
        <v>0</v>
      </c>
      <c r="BC71" s="405">
        <f t="shared" ca="1" si="682"/>
        <v>0</v>
      </c>
      <c r="BD71" s="405">
        <f t="shared" ca="1" si="682"/>
        <v>0</v>
      </c>
      <c r="BE71" s="405">
        <f t="shared" ca="1" si="682"/>
        <v>0</v>
      </c>
      <c r="BF71" s="405">
        <f t="shared" ca="1" si="682"/>
        <v>0</v>
      </c>
      <c r="BG71" s="405">
        <f t="shared" ca="1" si="682"/>
        <v>0</v>
      </c>
      <c r="BH71" s="405">
        <f t="shared" ca="1" si="682"/>
        <v>0</v>
      </c>
      <c r="BI71" s="405">
        <f t="shared" ca="1" si="682"/>
        <v>0</v>
      </c>
      <c r="BJ71" s="405">
        <f t="shared" ca="1" si="682"/>
        <v>0</v>
      </c>
      <c r="BK71" s="405">
        <f t="shared" ca="1" si="682"/>
        <v>0</v>
      </c>
      <c r="BL71" s="405">
        <f t="shared" ca="1" si="682"/>
        <v>0</v>
      </c>
      <c r="BM71" s="405">
        <f t="shared" ca="1" si="682"/>
        <v>0</v>
      </c>
      <c r="BN71" s="405">
        <f t="shared" ca="1" si="682"/>
        <v>0</v>
      </c>
      <c r="BO71" s="405">
        <f t="shared" ca="1" si="682"/>
        <v>0</v>
      </c>
      <c r="BP71" s="405">
        <f t="shared" ca="1" si="682"/>
        <v>0</v>
      </c>
      <c r="BQ71" s="405">
        <f t="shared" ca="1" si="682"/>
        <v>0</v>
      </c>
      <c r="BR71" s="405">
        <f t="shared" ca="1" si="682"/>
        <v>0</v>
      </c>
      <c r="BS71" s="405">
        <f t="shared" ca="1" si="682"/>
        <v>0</v>
      </c>
      <c r="BT71" s="405">
        <f t="shared" ca="1" si="682"/>
        <v>0</v>
      </c>
      <c r="BU71" s="405">
        <f t="shared" ca="1" si="682"/>
        <v>0</v>
      </c>
      <c r="BV71" s="405">
        <f t="shared" ca="1" si="682"/>
        <v>0</v>
      </c>
      <c r="BW71" s="405">
        <f t="shared" ca="1" si="682"/>
        <v>0</v>
      </c>
      <c r="BX71" s="405">
        <f t="shared" ca="1" si="682"/>
        <v>0</v>
      </c>
      <c r="BY71" s="405">
        <f t="shared" ca="1" si="682"/>
        <v>0</v>
      </c>
      <c r="BZ71" s="405">
        <f t="shared" ca="1" si="682"/>
        <v>0</v>
      </c>
      <c r="CA71" s="405">
        <f t="shared" ref="CA71:CL71" ca="1" si="683">IFERROR((CA69*CA65)/1000,0)</f>
        <v>0</v>
      </c>
      <c r="CB71" s="405">
        <f t="shared" ca="1" si="683"/>
        <v>0</v>
      </c>
      <c r="CC71" s="405">
        <f t="shared" ca="1" si="683"/>
        <v>0</v>
      </c>
      <c r="CD71" s="405">
        <f t="shared" ca="1" si="683"/>
        <v>0</v>
      </c>
      <c r="CE71" s="405">
        <f t="shared" ca="1" si="683"/>
        <v>0</v>
      </c>
      <c r="CF71" s="405">
        <f t="shared" ca="1" si="683"/>
        <v>0</v>
      </c>
      <c r="CG71" s="405">
        <f t="shared" ca="1" si="683"/>
        <v>0</v>
      </c>
      <c r="CH71" s="405">
        <f t="shared" ca="1" si="683"/>
        <v>0</v>
      </c>
      <c r="CI71" s="405">
        <f t="shared" ca="1" si="683"/>
        <v>0</v>
      </c>
      <c r="CJ71" s="405">
        <f t="shared" ca="1" si="683"/>
        <v>0</v>
      </c>
      <c r="CK71" s="405">
        <f t="shared" ca="1" si="683"/>
        <v>0</v>
      </c>
      <c r="CL71" s="405">
        <f t="shared" ca="1" si="683"/>
        <v>0</v>
      </c>
      <c r="CN71" s="406" t="str">
        <f ca="1">IFERROR((Y71/H71)^(1/17)-1,"")</f>
        <v/>
      </c>
      <c r="CO71" s="406" t="str">
        <f ca="1">IFERROR((AN71/Y71)^(1/15)-1,"")</f>
        <v/>
      </c>
      <c r="CP71" s="406" t="str">
        <f ca="1">IFERROR((AN71/H71)^(1/32)-1,"")</f>
        <v/>
      </c>
    </row>
    <row r="72" spans="1:94" hidden="1" outlineLevel="1">
      <c r="A72" s="414" t="s">
        <v>382</v>
      </c>
      <c r="B72" s="414" t="s">
        <v>384</v>
      </c>
      <c r="C72" s="414"/>
      <c r="D72" s="414"/>
      <c r="E72" s="415" t="e">
        <f t="shared" ref="E72:AN72" si="684">IF($B$6="ON",IF(E58=covid_start-1,E61,IF(E58=covid_recovery,E61,IF(E58&gt;=covid_start,IF(E58&lt;covid_recovery,D72-(INDEX($E58:$CH71,4,MATCH(covid_start-1,$E58:$CL58,0))-INDEX($E58:$CL71,4,MATCH(covid_recovery,$E58:$CL58,0)))/(covid_recovery-covid_start+1),NA()),NA()))),NA())</f>
        <v>#N/A</v>
      </c>
      <c r="F72" s="415" t="e">
        <f t="shared" si="684"/>
        <v>#N/A</v>
      </c>
      <c r="G72" s="415" t="e">
        <f t="shared" si="684"/>
        <v>#N/A</v>
      </c>
      <c r="H72" s="415" t="e">
        <f t="shared" si="684"/>
        <v>#N/A</v>
      </c>
      <c r="I72" s="415">
        <f t="shared" ref="I72:O72" ca="1" si="685">IF($B$6="ON",IF(I58=covid_start-1,I61,IF(I58=covid_recovery,I61,IF(I58&gt;=covid_start,IF(I58&lt;covid_recovery,H72-(INDEX($E58:$CH71,4,MATCH(covid_start-1,$E58:$CL58,0))-INDEX($E58:$CL71,4,MATCH(covid_recovery,$E58:$CL58,0)))/(covid_recovery-covid_start+1),NA()),NA()))),NA())</f>
        <v>1303.1682659292971</v>
      </c>
      <c r="J72" s="415">
        <f t="shared" ca="1" si="685"/>
        <v>1261.0945441670488</v>
      </c>
      <c r="K72" s="415">
        <f t="shared" ca="1" si="685"/>
        <v>1219.0208224048004</v>
      </c>
      <c r="L72" s="415">
        <f t="shared" ca="1" si="685"/>
        <v>1176.947100642552</v>
      </c>
      <c r="M72" s="415">
        <f t="shared" ca="1" si="685"/>
        <v>1134.8733788803036</v>
      </c>
      <c r="N72" s="415" t="e">
        <f t="shared" si="685"/>
        <v>#N/A</v>
      </c>
      <c r="O72" s="415" t="e">
        <f t="shared" si="685"/>
        <v>#N/A</v>
      </c>
      <c r="P72" s="415" t="e">
        <f t="shared" si="684"/>
        <v>#N/A</v>
      </c>
      <c r="Q72" s="415" t="e">
        <f t="shared" si="684"/>
        <v>#N/A</v>
      </c>
      <c r="R72" s="415" t="e">
        <f t="shared" si="684"/>
        <v>#N/A</v>
      </c>
      <c r="S72" s="415" t="e">
        <f t="shared" si="684"/>
        <v>#N/A</v>
      </c>
      <c r="T72" s="415" t="e">
        <f t="shared" si="684"/>
        <v>#N/A</v>
      </c>
      <c r="U72" s="415" t="e">
        <f t="shared" si="684"/>
        <v>#N/A</v>
      </c>
      <c r="V72" s="415" t="e">
        <f t="shared" si="684"/>
        <v>#N/A</v>
      </c>
      <c r="W72" s="415" t="e">
        <f t="shared" si="684"/>
        <v>#N/A</v>
      </c>
      <c r="X72" s="415" t="e">
        <f t="shared" si="684"/>
        <v>#N/A</v>
      </c>
      <c r="Y72" s="415" t="e">
        <f t="shared" si="684"/>
        <v>#N/A</v>
      </c>
      <c r="Z72" s="415" t="e">
        <f t="shared" si="684"/>
        <v>#N/A</v>
      </c>
      <c r="AA72" s="415" t="e">
        <f t="shared" si="684"/>
        <v>#N/A</v>
      </c>
      <c r="AB72" s="415" t="e">
        <f t="shared" si="684"/>
        <v>#N/A</v>
      </c>
      <c r="AC72" s="415" t="e">
        <f t="shared" si="684"/>
        <v>#N/A</v>
      </c>
      <c r="AD72" s="415" t="e">
        <f t="shared" si="684"/>
        <v>#N/A</v>
      </c>
      <c r="AE72" s="415" t="e">
        <f t="shared" si="684"/>
        <v>#N/A</v>
      </c>
      <c r="AF72" s="415" t="e">
        <f t="shared" si="684"/>
        <v>#N/A</v>
      </c>
      <c r="AG72" s="415" t="e">
        <f t="shared" si="684"/>
        <v>#N/A</v>
      </c>
      <c r="AH72" s="415" t="e">
        <f t="shared" si="684"/>
        <v>#N/A</v>
      </c>
      <c r="AI72" s="415" t="e">
        <f t="shared" si="684"/>
        <v>#N/A</v>
      </c>
      <c r="AJ72" s="415" t="e">
        <f t="shared" si="684"/>
        <v>#N/A</v>
      </c>
      <c r="AK72" s="415" t="e">
        <f t="shared" si="684"/>
        <v>#N/A</v>
      </c>
      <c r="AL72" s="415" t="e">
        <f t="shared" si="684"/>
        <v>#N/A</v>
      </c>
      <c r="AM72" s="415" t="e">
        <f t="shared" si="684"/>
        <v>#N/A</v>
      </c>
      <c r="AN72" s="415" t="e">
        <f t="shared" si="684"/>
        <v>#N/A</v>
      </c>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c r="BW72" s="407"/>
      <c r="BX72" s="407"/>
      <c r="BY72" s="407"/>
      <c r="BZ72" s="407"/>
      <c r="CA72" s="407"/>
      <c r="CB72" s="407"/>
      <c r="CC72" s="407"/>
      <c r="CD72" s="407"/>
      <c r="CE72" s="407"/>
      <c r="CF72" s="407"/>
      <c r="CG72" s="407"/>
      <c r="CH72" s="407"/>
      <c r="CI72" s="407"/>
      <c r="CJ72" s="407"/>
      <c r="CK72" s="407"/>
      <c r="CL72" s="407"/>
      <c r="CN72" s="416" t="str">
        <f t="shared" si="520"/>
        <v/>
      </c>
      <c r="CO72" s="416" t="str">
        <f t="shared" si="521"/>
        <v/>
      </c>
      <c r="CP72" s="416" t="str">
        <f t="shared" si="522"/>
        <v/>
      </c>
    </row>
    <row r="73" spans="1:94" hidden="1" outlineLevel="1">
      <c r="A73" s="400" t="s">
        <v>383</v>
      </c>
      <c r="B73" s="400" t="s">
        <v>384</v>
      </c>
      <c r="C73" s="400"/>
      <c r="D73" s="400"/>
      <c r="E73" s="407" t="e">
        <f t="shared" ref="E73:AN73" si="686">IF($B$6="ON",IF(E58=covid_start-1,E69,IF(E58=covid_recovery,E69,IF(E58&gt;=covid_start,IF(E58&lt;covid_recovery,D73-(INDEX($E58:$CH71,12,MATCH(covid_start-1,$E58:$CL58,0))-INDEX($E58:$CL71,12,MATCH(covid_recovery,$E58:$CL58,0)))/(covid_recovery-covid_start+1),NA()),NA()))),NA())</f>
        <v>#N/A</v>
      </c>
      <c r="F73" s="407" t="e">
        <f t="shared" si="686"/>
        <v>#N/A</v>
      </c>
      <c r="G73" s="407" t="e">
        <f t="shared" si="686"/>
        <v>#N/A</v>
      </c>
      <c r="H73" s="407" t="e">
        <f t="shared" si="686"/>
        <v>#N/A</v>
      </c>
      <c r="I73" s="407">
        <f t="shared" ref="I73:O73" ca="1" si="687">IF($B$6="ON",IF(I58=covid_start-1,I69,IF(I58=covid_recovery,I69,IF(I58&gt;=covid_start,IF(I58&lt;covid_recovery,H73-(INDEX($E58:$CH71,12,MATCH(covid_start-1,$E58:$CL58,0))-INDEX($E58:$CL71,12,MATCH(covid_recovery,$E58:$CL58,0)))/(covid_recovery-covid_start+1),NA()),NA()))),NA())</f>
        <v>0</v>
      </c>
      <c r="J73" s="407">
        <f t="shared" ca="1" si="687"/>
        <v>0</v>
      </c>
      <c r="K73" s="407">
        <f t="shared" ca="1" si="687"/>
        <v>0</v>
      </c>
      <c r="L73" s="407">
        <f t="shared" ca="1" si="687"/>
        <v>0</v>
      </c>
      <c r="M73" s="407">
        <f t="shared" ca="1" si="687"/>
        <v>0</v>
      </c>
      <c r="N73" s="407" t="e">
        <f t="shared" si="687"/>
        <v>#N/A</v>
      </c>
      <c r="O73" s="407" t="e">
        <f t="shared" si="687"/>
        <v>#N/A</v>
      </c>
      <c r="P73" s="407" t="e">
        <f t="shared" si="686"/>
        <v>#N/A</v>
      </c>
      <c r="Q73" s="407" t="e">
        <f t="shared" si="686"/>
        <v>#N/A</v>
      </c>
      <c r="R73" s="407" t="e">
        <f t="shared" si="686"/>
        <v>#N/A</v>
      </c>
      <c r="S73" s="407" t="e">
        <f t="shared" si="686"/>
        <v>#N/A</v>
      </c>
      <c r="T73" s="407" t="e">
        <f t="shared" si="686"/>
        <v>#N/A</v>
      </c>
      <c r="U73" s="407" t="e">
        <f t="shared" si="686"/>
        <v>#N/A</v>
      </c>
      <c r="V73" s="407" t="e">
        <f t="shared" si="686"/>
        <v>#N/A</v>
      </c>
      <c r="W73" s="407" t="e">
        <f t="shared" si="686"/>
        <v>#N/A</v>
      </c>
      <c r="X73" s="407" t="e">
        <f t="shared" si="686"/>
        <v>#N/A</v>
      </c>
      <c r="Y73" s="407" t="e">
        <f t="shared" si="686"/>
        <v>#N/A</v>
      </c>
      <c r="Z73" s="407" t="e">
        <f t="shared" si="686"/>
        <v>#N/A</v>
      </c>
      <c r="AA73" s="407" t="e">
        <f t="shared" si="686"/>
        <v>#N/A</v>
      </c>
      <c r="AB73" s="407" t="e">
        <f t="shared" si="686"/>
        <v>#N/A</v>
      </c>
      <c r="AC73" s="407" t="e">
        <f t="shared" si="686"/>
        <v>#N/A</v>
      </c>
      <c r="AD73" s="407" t="e">
        <f t="shared" si="686"/>
        <v>#N/A</v>
      </c>
      <c r="AE73" s="407" t="e">
        <f t="shared" si="686"/>
        <v>#N/A</v>
      </c>
      <c r="AF73" s="407" t="e">
        <f t="shared" si="686"/>
        <v>#N/A</v>
      </c>
      <c r="AG73" s="407" t="e">
        <f t="shared" si="686"/>
        <v>#N/A</v>
      </c>
      <c r="AH73" s="407" t="e">
        <f t="shared" si="686"/>
        <v>#N/A</v>
      </c>
      <c r="AI73" s="407" t="e">
        <f t="shared" si="686"/>
        <v>#N/A</v>
      </c>
      <c r="AJ73" s="407" t="e">
        <f t="shared" si="686"/>
        <v>#N/A</v>
      </c>
      <c r="AK73" s="407" t="e">
        <f t="shared" si="686"/>
        <v>#N/A</v>
      </c>
      <c r="AL73" s="407" t="e">
        <f t="shared" si="686"/>
        <v>#N/A</v>
      </c>
      <c r="AM73" s="407" t="e">
        <f t="shared" si="686"/>
        <v>#N/A</v>
      </c>
      <c r="AN73" s="407" t="e">
        <f t="shared" si="686"/>
        <v>#N/A</v>
      </c>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c r="BW73" s="407"/>
      <c r="BX73" s="407"/>
      <c r="BY73" s="407"/>
      <c r="BZ73" s="407"/>
      <c r="CA73" s="407"/>
      <c r="CB73" s="407"/>
      <c r="CC73" s="407"/>
      <c r="CD73" s="407"/>
      <c r="CE73" s="407"/>
      <c r="CF73" s="407"/>
      <c r="CG73" s="407"/>
      <c r="CH73" s="407"/>
      <c r="CI73" s="407"/>
      <c r="CJ73" s="407"/>
      <c r="CK73" s="407"/>
      <c r="CL73" s="407"/>
      <c r="CN73" s="408" t="str">
        <f t="shared" si="520"/>
        <v/>
      </c>
      <c r="CO73" s="408" t="str">
        <f t="shared" si="521"/>
        <v/>
      </c>
      <c r="CP73" s="408" t="str">
        <f t="shared" si="522"/>
        <v/>
      </c>
    </row>
    <row r="74" spans="1:94" ht="17.25" collapsed="1" thickTop="1" thickBot="1">
      <c r="A74" s="383" t="s">
        <v>156</v>
      </c>
      <c r="B74" s="383"/>
      <c r="C74" s="383"/>
      <c r="D74" s="383"/>
      <c r="E74" s="385">
        <v>2015</v>
      </c>
      <c r="F74" s="386">
        <f>E74+1</f>
        <v>2016</v>
      </c>
      <c r="G74" s="386">
        <f t="shared" ref="G74:I74" si="688">F74+1</f>
        <v>2017</v>
      </c>
      <c r="H74" s="386">
        <f t="shared" si="688"/>
        <v>2018</v>
      </c>
      <c r="I74" s="386">
        <f t="shared" si="688"/>
        <v>2019</v>
      </c>
      <c r="J74" s="386">
        <f>E74+5</f>
        <v>2020</v>
      </c>
      <c r="K74" s="386">
        <f>J74+1</f>
        <v>2021</v>
      </c>
      <c r="L74" s="386">
        <f t="shared" ref="L74:N74" si="689">K74+1</f>
        <v>2022</v>
      </c>
      <c r="M74" s="386">
        <f t="shared" si="689"/>
        <v>2023</v>
      </c>
      <c r="N74" s="386">
        <f t="shared" si="689"/>
        <v>2024</v>
      </c>
      <c r="O74" s="386">
        <f>J74+5</f>
        <v>2025</v>
      </c>
      <c r="P74" s="386">
        <f>O74+1</f>
        <v>2026</v>
      </c>
      <c r="Q74" s="386">
        <f t="shared" ref="Q74:S74" si="690">P74+1</f>
        <v>2027</v>
      </c>
      <c r="R74" s="386">
        <f t="shared" si="690"/>
        <v>2028</v>
      </c>
      <c r="S74" s="386">
        <f t="shared" si="690"/>
        <v>2029</v>
      </c>
      <c r="T74" s="386">
        <f>O74+5</f>
        <v>2030</v>
      </c>
      <c r="U74" s="386">
        <f>T74+1</f>
        <v>2031</v>
      </c>
      <c r="V74" s="386">
        <f t="shared" ref="V74:X74" si="691">U74+1</f>
        <v>2032</v>
      </c>
      <c r="W74" s="386">
        <f t="shared" si="691"/>
        <v>2033</v>
      </c>
      <c r="X74" s="386">
        <f t="shared" si="691"/>
        <v>2034</v>
      </c>
      <c r="Y74" s="386">
        <f>T74+5</f>
        <v>2035</v>
      </c>
      <c r="Z74" s="386">
        <f>Y74+1</f>
        <v>2036</v>
      </c>
      <c r="AA74" s="386">
        <f t="shared" ref="AA74:AC74" si="692">Z74+1</f>
        <v>2037</v>
      </c>
      <c r="AB74" s="386">
        <f t="shared" si="692"/>
        <v>2038</v>
      </c>
      <c r="AC74" s="386">
        <f t="shared" si="692"/>
        <v>2039</v>
      </c>
      <c r="AD74" s="386">
        <f>Y74+5</f>
        <v>2040</v>
      </c>
      <c r="AE74" s="386">
        <f>AD74+1</f>
        <v>2041</v>
      </c>
      <c r="AF74" s="386">
        <f t="shared" ref="AF74:AH74" si="693">AE74+1</f>
        <v>2042</v>
      </c>
      <c r="AG74" s="386">
        <f t="shared" si="693"/>
        <v>2043</v>
      </c>
      <c r="AH74" s="386">
        <f t="shared" si="693"/>
        <v>2044</v>
      </c>
      <c r="AI74" s="386">
        <f>AD74+5</f>
        <v>2045</v>
      </c>
      <c r="AJ74" s="386">
        <f>AI74+1</f>
        <v>2046</v>
      </c>
      <c r="AK74" s="386">
        <f t="shared" ref="AK74:AM74" si="694">AJ74+1</f>
        <v>2047</v>
      </c>
      <c r="AL74" s="386">
        <f t="shared" si="694"/>
        <v>2048</v>
      </c>
      <c r="AM74" s="386">
        <f t="shared" si="694"/>
        <v>2049</v>
      </c>
      <c r="AN74" s="386">
        <f>AI74+5</f>
        <v>2050</v>
      </c>
      <c r="AO74" s="386">
        <f>AN74+1</f>
        <v>2051</v>
      </c>
      <c r="AP74" s="386">
        <f t="shared" ref="AP74:AR74" si="695">AO74+1</f>
        <v>2052</v>
      </c>
      <c r="AQ74" s="386">
        <f t="shared" si="695"/>
        <v>2053</v>
      </c>
      <c r="AR74" s="386">
        <f t="shared" si="695"/>
        <v>2054</v>
      </c>
      <c r="AS74" s="386">
        <f>AN74+5</f>
        <v>2055</v>
      </c>
      <c r="AT74" s="386">
        <f>AS74+1</f>
        <v>2056</v>
      </c>
      <c r="AU74" s="386">
        <f t="shared" ref="AU74:AW74" si="696">AT74+1</f>
        <v>2057</v>
      </c>
      <c r="AV74" s="386">
        <f t="shared" si="696"/>
        <v>2058</v>
      </c>
      <c r="AW74" s="386">
        <f t="shared" si="696"/>
        <v>2059</v>
      </c>
      <c r="AX74" s="386">
        <f>AS74+5</f>
        <v>2060</v>
      </c>
      <c r="AY74" s="386">
        <f>AX74+1</f>
        <v>2061</v>
      </c>
      <c r="AZ74" s="386">
        <f t="shared" ref="AZ74:BB74" si="697">AY74+1</f>
        <v>2062</v>
      </c>
      <c r="BA74" s="386">
        <f t="shared" si="697"/>
        <v>2063</v>
      </c>
      <c r="BB74" s="386">
        <f t="shared" si="697"/>
        <v>2064</v>
      </c>
      <c r="BC74" s="386">
        <f>AX74+5</f>
        <v>2065</v>
      </c>
      <c r="BD74" s="386">
        <f>BC74+1</f>
        <v>2066</v>
      </c>
      <c r="BE74" s="386">
        <f t="shared" ref="BE74:BG74" si="698">BD74+1</f>
        <v>2067</v>
      </c>
      <c r="BF74" s="386">
        <f t="shared" si="698"/>
        <v>2068</v>
      </c>
      <c r="BG74" s="386">
        <f t="shared" si="698"/>
        <v>2069</v>
      </c>
      <c r="BH74" s="386">
        <f>BC74+5</f>
        <v>2070</v>
      </c>
      <c r="BI74" s="386">
        <f>BH74+1</f>
        <v>2071</v>
      </c>
      <c r="BJ74" s="386">
        <f t="shared" ref="BJ74:BL74" si="699">BI74+1</f>
        <v>2072</v>
      </c>
      <c r="BK74" s="386">
        <f t="shared" si="699"/>
        <v>2073</v>
      </c>
      <c r="BL74" s="386">
        <f t="shared" si="699"/>
        <v>2074</v>
      </c>
      <c r="BM74" s="386">
        <f>BH74+5</f>
        <v>2075</v>
      </c>
      <c r="BN74" s="386">
        <f>BM74+1</f>
        <v>2076</v>
      </c>
      <c r="BO74" s="386">
        <f t="shared" ref="BO74:BQ74" si="700">BN74+1</f>
        <v>2077</v>
      </c>
      <c r="BP74" s="386">
        <f t="shared" si="700"/>
        <v>2078</v>
      </c>
      <c r="BQ74" s="386">
        <f t="shared" si="700"/>
        <v>2079</v>
      </c>
      <c r="BR74" s="386">
        <f>BM74+5</f>
        <v>2080</v>
      </c>
      <c r="BS74" s="386">
        <f>BR74+1</f>
        <v>2081</v>
      </c>
      <c r="BT74" s="386">
        <f t="shared" ref="BT74:BV74" si="701">BS74+1</f>
        <v>2082</v>
      </c>
      <c r="BU74" s="386">
        <f t="shared" si="701"/>
        <v>2083</v>
      </c>
      <c r="BV74" s="386">
        <f t="shared" si="701"/>
        <v>2084</v>
      </c>
      <c r="BW74" s="386">
        <f>BR74+5</f>
        <v>2085</v>
      </c>
      <c r="BX74" s="386">
        <f>BW74+1</f>
        <v>2086</v>
      </c>
      <c r="BY74" s="386">
        <f t="shared" ref="BY74:CA74" si="702">BX74+1</f>
        <v>2087</v>
      </c>
      <c r="BZ74" s="386">
        <f t="shared" si="702"/>
        <v>2088</v>
      </c>
      <c r="CA74" s="386">
        <f t="shared" si="702"/>
        <v>2089</v>
      </c>
      <c r="CB74" s="386">
        <f>BW74+5</f>
        <v>2090</v>
      </c>
      <c r="CC74" s="386">
        <f>CB74+1</f>
        <v>2091</v>
      </c>
      <c r="CD74" s="386">
        <f t="shared" ref="CD74:CF74" si="703">CC74+1</f>
        <v>2092</v>
      </c>
      <c r="CE74" s="386">
        <f t="shared" si="703"/>
        <v>2093</v>
      </c>
      <c r="CF74" s="386">
        <f t="shared" si="703"/>
        <v>2094</v>
      </c>
      <c r="CG74" s="386">
        <f>CB74+5</f>
        <v>2095</v>
      </c>
      <c r="CH74" s="386">
        <f>CG74+1</f>
        <v>2096</v>
      </c>
      <c r="CI74" s="386">
        <f t="shared" ref="CI74:CK74" si="704">CH74+1</f>
        <v>2097</v>
      </c>
      <c r="CJ74" s="386">
        <f t="shared" si="704"/>
        <v>2098</v>
      </c>
      <c r="CK74" s="386">
        <f t="shared" si="704"/>
        <v>2099</v>
      </c>
      <c r="CL74" s="386">
        <f>CG74+5</f>
        <v>2100</v>
      </c>
      <c r="CN74" s="387" t="s">
        <v>409</v>
      </c>
      <c r="CO74" s="387" t="s">
        <v>411</v>
      </c>
      <c r="CP74" s="387" t="s">
        <v>410</v>
      </c>
    </row>
    <row r="75" spans="1:94" ht="16.5" hidden="1" outlineLevel="1" thickTop="1">
      <c r="A75" s="388" t="s">
        <v>152</v>
      </c>
      <c r="B75" s="388" t="str">
        <f>$A$74</f>
        <v>Pax-long</v>
      </c>
      <c r="C75" s="389" t="s">
        <v>352</v>
      </c>
      <c r="D75" s="389"/>
      <c r="E75" s="390">
        <f ca="1">'SDS Calc'!E75</f>
        <v>542.4993111722265</v>
      </c>
      <c r="F75" s="531">
        <f ca="1">'SDS Calc'!F75</f>
        <v>570.88341156544902</v>
      </c>
      <c r="G75" s="531">
        <f ca="1">'SDS Calc'!G75</f>
        <v>599.26751195867155</v>
      </c>
      <c r="H75" s="531">
        <f ca="1">'SDS Calc'!H75</f>
        <v>627.65161235189419</v>
      </c>
      <c r="I75" s="531">
        <f ca="1">'SDS Calc'!I75</f>
        <v>642.89365131656564</v>
      </c>
      <c r="J75" s="531" t="e">
        <f ca="1">'SDS Calc'!J75</f>
        <v>#N/A</v>
      </c>
      <c r="K75" s="531" t="e">
        <f ca="1">'SDS Calc'!K75</f>
        <v>#N/A</v>
      </c>
      <c r="L75" s="531" t="e">
        <f ca="1">'SDS Calc'!L75</f>
        <v>#N/A</v>
      </c>
      <c r="M75" s="531">
        <f ca="1">'SDS Calc'!M75</f>
        <v>632.64899336255462</v>
      </c>
      <c r="N75" s="531">
        <f ca="1">'SDS Calc'!N75</f>
        <v>630.08782887405209</v>
      </c>
      <c r="O75" s="531">
        <f ca="1">'SDS Calc'!O75</f>
        <v>627.52666438554934</v>
      </c>
      <c r="P75" s="531">
        <f ca="1">'SDS Calc'!P75</f>
        <v>624.9654998970467</v>
      </c>
      <c r="Q75" s="531">
        <f ca="1">'SDS Calc'!Q75</f>
        <v>622.40433540854383</v>
      </c>
      <c r="R75" s="531">
        <f ca="1">'SDS Calc'!R75</f>
        <v>619.84317092004108</v>
      </c>
      <c r="S75" s="531">
        <f ca="1">'SDS Calc'!S75</f>
        <v>617.28200643153832</v>
      </c>
      <c r="T75" s="531">
        <f ca="1">'SDS Calc'!T75</f>
        <v>614.72084194303511</v>
      </c>
      <c r="U75" s="531">
        <f ca="1">'SDS Calc'!U75</f>
        <v>608.26157131479715</v>
      </c>
      <c r="V75" s="531">
        <f ca="1">IF($B$6="ON", IF(V74&gt;=covid_start, IF(V74&lt;covid_recovery,NA(),SUMIFS(INDIRECT("Data_main"&amp;"["&amp;V$8&amp;"]"),Data_main[Data],$A75, Data_main[Segment],$B75, Data_main[Scenario],$B$3)),SUMIFS(INDIRECT("Data_main"&amp;"["&amp;V$8&amp;"]"),Data_main[Data],$A75, Data_main[Segment],$B75, Data_main[Scenario],$B$3)),SUMIFS(INDIRECT("Data_main"&amp;"["&amp;V$8&amp;"]"),Data_main[Data],$A75, Data_main[Segment],$B75, Data_main[Scenario],$B$3))</f>
        <v>577.13921474657036</v>
      </c>
      <c r="W75" s="390">
        <f ca="1">IF($B$6="ON", IF(W74&gt;=covid_start, IF(W74&lt;covid_recovery,NA(),SUMIFS(INDIRECT("Data_main"&amp;"["&amp;W$8&amp;"]"),Data_main[Data],$A75, Data_main[Segment],$B75, Data_main[Scenario],$B$3)),SUMIFS(INDIRECT("Data_main"&amp;"["&amp;W$8&amp;"]"),Data_main[Data],$A75, Data_main[Segment],$B75, Data_main[Scenario],$B$3)),SUMIFS(INDIRECT("Data_main"&amp;"["&amp;W$8&amp;"]"),Data_main[Data],$A75, Data_main[Segment],$B75, Data_main[Scenario],$B$3))</f>
        <v>551.99822146543011</v>
      </c>
      <c r="X75" s="390">
        <f ca="1">IF($B$6="ON", IF(X74&gt;=covid_start, IF(X74&lt;covid_recovery,NA(),SUMIFS(INDIRECT("Data_main"&amp;"["&amp;X$8&amp;"]"),Data_main[Data],$A75, Data_main[Segment],$B75, Data_main[Scenario],$B$3)),SUMIFS(INDIRECT("Data_main"&amp;"["&amp;X$8&amp;"]"),Data_main[Data],$A75, Data_main[Segment],$B75, Data_main[Scenario],$B$3)),SUMIFS(INDIRECT("Data_main"&amp;"["&amp;X$8&amp;"]"),Data_main[Data],$A75, Data_main[Segment],$B75, Data_main[Scenario],$B$3))</f>
        <v>526.50495437225277</v>
      </c>
      <c r="Y75" s="390">
        <f ca="1">IF($B$6="ON", IF(Y74&gt;=covid_start, IF(Y74&lt;covid_recovery,NA(),SUMIFS(INDIRECT("Data_main"&amp;"["&amp;Y$8&amp;"]"),Data_main[Data],$A75, Data_main[Segment],$B75, Data_main[Scenario],$B$3)),SUMIFS(INDIRECT("Data_main"&amp;"["&amp;Y$8&amp;"]"),Data_main[Data],$A75, Data_main[Segment],$B75, Data_main[Scenario],$B$3)),SUMIFS(INDIRECT("Data_main"&amp;"["&amp;Y$8&amp;"]"),Data_main[Data],$A75, Data_main[Segment],$B75, Data_main[Scenario],$B$3))</f>
        <v>489.81312930980209</v>
      </c>
      <c r="Z75" s="390">
        <f ca="1">IF($B$6="ON", IF(Z74&gt;=covid_start, IF(Z74&lt;covid_recovery,NA(),SUMIFS(INDIRECT("Data_main"&amp;"["&amp;Z$8&amp;"]"),Data_main[Data],$A75, Data_main[Segment],$B75, Data_main[Scenario],$B$3)),SUMIFS(INDIRECT("Data_main"&amp;"["&amp;Z$8&amp;"]"),Data_main[Data],$A75, Data_main[Segment],$B75, Data_main[Scenario],$B$3)),SUMIFS(INDIRECT("Data_main"&amp;"["&amp;Z$8&amp;"]"),Data_main[Data],$A75, Data_main[Segment],$B75, Data_main[Scenario],$B$3))</f>
        <v>452.28325184321523</v>
      </c>
      <c r="AA75" s="390">
        <f ca="1">IF($B$6="ON", IF(AA74&gt;=covid_start, IF(AA74&lt;covid_recovery,NA(),SUMIFS(INDIRECT("Data_main"&amp;"["&amp;AA$8&amp;"]"),Data_main[Data],$A75, Data_main[Segment],$B75, Data_main[Scenario],$B$3)),SUMIFS(INDIRECT("Data_main"&amp;"["&amp;AA$8&amp;"]"),Data_main[Data],$A75, Data_main[Segment],$B75, Data_main[Scenario],$B$3)),SUMIFS(INDIRECT("Data_main"&amp;"["&amp;AA$8&amp;"]"),Data_main[Data],$A75, Data_main[Segment],$B75, Data_main[Scenario],$B$3))</f>
        <v>414.73112323991478</v>
      </c>
      <c r="AB75" s="390">
        <f ca="1">IF($B$6="ON", IF(AB74&gt;=covid_start, IF(AB74&lt;covid_recovery,NA(),SUMIFS(INDIRECT("Data_main"&amp;"["&amp;AB$8&amp;"]"),Data_main[Data],$A75, Data_main[Segment],$B75, Data_main[Scenario],$B$3)),SUMIFS(INDIRECT("Data_main"&amp;"["&amp;AB$8&amp;"]"),Data_main[Data],$A75, Data_main[Segment],$B75, Data_main[Scenario],$B$3)),SUMIFS(INDIRECT("Data_main"&amp;"["&amp;AB$8&amp;"]"),Data_main[Data],$A75, Data_main[Segment],$B75, Data_main[Scenario],$B$3))</f>
        <v>377.34254828102257</v>
      </c>
      <c r="AC75" s="390">
        <f ca="1">IF($B$6="ON", IF(AC74&gt;=covid_start, IF(AC74&lt;covid_recovery,NA(),SUMIFS(INDIRECT("Data_main"&amp;"["&amp;AC$8&amp;"]"),Data_main[Data],$A75, Data_main[Segment],$B75, Data_main[Scenario],$B$3)),SUMIFS(INDIRECT("Data_main"&amp;"["&amp;AC$8&amp;"]"),Data_main[Data],$A75, Data_main[Segment],$B75, Data_main[Scenario],$B$3)),SUMIFS(INDIRECT("Data_main"&amp;"["&amp;AC$8&amp;"]"),Data_main[Data],$A75, Data_main[Segment],$B75, Data_main[Scenario],$B$3))</f>
        <v>340.29627256474748</v>
      </c>
      <c r="AD75" s="390">
        <f ca="1">IF($B$6="ON", IF(AD74&gt;=covid_start, IF(AD74&lt;covid_recovery,NA(),SUMIFS(INDIRECT("Data_main"&amp;"["&amp;AD$8&amp;"]"),Data_main[Data],$A75, Data_main[Segment],$B75, Data_main[Scenario],$B$3)),SUMIFS(INDIRECT("Data_main"&amp;"["&amp;AD$8&amp;"]"),Data_main[Data],$A75, Data_main[Segment],$B75, Data_main[Scenario],$B$3)),SUMIFS(INDIRECT("Data_main"&amp;"["&amp;AD$8&amp;"]"),Data_main[Data],$A75, Data_main[Segment],$B75, Data_main[Scenario],$B$3))</f>
        <v>303.71627325628674</v>
      </c>
      <c r="AE75" s="390">
        <f ca="1">IF($B$6="ON", IF(AE74&gt;=covid_start, IF(AE74&lt;covid_recovery,NA(),SUMIFS(INDIRECT("Data_main"&amp;"["&amp;AE$8&amp;"]"),Data_main[Data],$A75, Data_main[Segment],$B75, Data_main[Scenario],$B$3)),SUMIFS(INDIRECT("Data_main"&amp;"["&amp;AE$8&amp;"]"),Data_main[Data],$A75, Data_main[Segment],$B75, Data_main[Scenario],$B$3)),SUMIFS(INDIRECT("Data_main"&amp;"["&amp;AE$8&amp;"]"),Data_main[Data],$A75, Data_main[Segment],$B75, Data_main[Scenario],$B$3))</f>
        <v>271.53369478642509</v>
      </c>
      <c r="AF75" s="390">
        <f ca="1">IF($B$6="ON", IF(AF74&gt;=covid_start, IF(AF74&lt;covid_recovery,NA(),SUMIFS(INDIRECT("Data_main"&amp;"["&amp;AF$8&amp;"]"),Data_main[Data],$A75, Data_main[Segment],$B75, Data_main[Scenario],$B$3)),SUMIFS(INDIRECT("Data_main"&amp;"["&amp;AF$8&amp;"]"),Data_main[Data],$A75, Data_main[Segment],$B75, Data_main[Scenario],$B$3)),SUMIFS(INDIRECT("Data_main"&amp;"["&amp;AF$8&amp;"]"),Data_main[Data],$A75, Data_main[Segment],$B75, Data_main[Scenario],$B$3))</f>
        <v>239.8665940787462</v>
      </c>
      <c r="AG75" s="390">
        <f ca="1">IF($B$6="ON", IF(AG74&gt;=covid_start, IF(AG74&lt;covid_recovery,NA(),SUMIFS(INDIRECT("Data_main"&amp;"["&amp;AG$8&amp;"]"),Data_main[Data],$A75, Data_main[Segment],$B75, Data_main[Scenario],$B$3)),SUMIFS(INDIRECT("Data_main"&amp;"["&amp;AG$8&amp;"]"),Data_main[Data],$A75, Data_main[Segment],$B75, Data_main[Scenario],$B$3)),SUMIFS(INDIRECT("Data_main"&amp;"["&amp;AG$8&amp;"]"),Data_main[Data],$A75, Data_main[Segment],$B75, Data_main[Scenario],$B$3))</f>
        <v>208.63370147865243</v>
      </c>
      <c r="AH75" s="390">
        <f ca="1">IF($B$6="ON", IF(AH74&gt;=covid_start, IF(AH74&lt;covid_recovery,NA(),SUMIFS(INDIRECT("Data_main"&amp;"["&amp;AH$8&amp;"]"),Data_main[Data],$A75, Data_main[Segment],$B75, Data_main[Scenario],$B$3)),SUMIFS(INDIRECT("Data_main"&amp;"["&amp;AH$8&amp;"]"),Data_main[Data],$A75, Data_main[Segment],$B75, Data_main[Scenario],$B$3)),SUMIFS(INDIRECT("Data_main"&amp;"["&amp;AH$8&amp;"]"),Data_main[Data],$A75, Data_main[Segment],$B75, Data_main[Scenario],$B$3))</f>
        <v>177.71192222819533</v>
      </c>
      <c r="AI75" s="390">
        <f ca="1">IF($B$6="ON", IF(AI74&gt;=covid_start, IF(AI74&lt;covid_recovery,NA(),SUMIFS(INDIRECT("Data_main"&amp;"["&amp;AI$8&amp;"]"),Data_main[Data],$A75, Data_main[Segment],$B75, Data_main[Scenario],$B$3)),SUMIFS(INDIRECT("Data_main"&amp;"["&amp;AI$8&amp;"]"),Data_main[Data],$A75, Data_main[Segment],$B75, Data_main[Scenario],$B$3)),SUMIFS(INDIRECT("Data_main"&amp;"["&amp;AI$8&amp;"]"),Data_main[Data],$A75, Data_main[Segment],$B75, Data_main[Scenario],$B$3))</f>
        <v>146.95423197031977</v>
      </c>
      <c r="AJ75" s="390">
        <f ca="1">IF($B$6="ON", IF(AJ74&gt;=covid_start, IF(AJ74&lt;covid_recovery,NA(),SUMIFS(INDIRECT("Data_main"&amp;"["&amp;AJ$8&amp;"]"),Data_main[Data],$A75, Data_main[Segment],$B75, Data_main[Scenario],$B$3)),SUMIFS(INDIRECT("Data_main"&amp;"["&amp;AJ$8&amp;"]"),Data_main[Data],$A75, Data_main[Segment],$B75, Data_main[Scenario],$B$3)),SUMIFS(INDIRECT("Data_main"&amp;"["&amp;AJ$8&amp;"]"),Data_main[Data],$A75, Data_main[Segment],$B75, Data_main[Scenario],$B$3))</f>
        <v>115.87947535455201</v>
      </c>
      <c r="AK75" s="390">
        <f ca="1">IF($B$6="ON", IF(AK74&gt;=covid_start, IF(AK74&lt;covid_recovery,NA(),SUMIFS(INDIRECT("Data_main"&amp;"["&amp;AK$8&amp;"]"),Data_main[Data],$A75, Data_main[Segment],$B75, Data_main[Scenario],$B$3)),SUMIFS(INDIRECT("Data_main"&amp;"["&amp;AK$8&amp;"]"),Data_main[Data],$A75, Data_main[Segment],$B75, Data_main[Scenario],$B$3)),SUMIFS(INDIRECT("Data_main"&amp;"["&amp;AK$8&amp;"]"),Data_main[Data],$A75, Data_main[Segment],$B75, Data_main[Scenario],$B$3))</f>
        <v>84.674593184525662</v>
      </c>
      <c r="AL75" s="390">
        <f ca="1">IF($B$6="ON", IF(AL74&gt;=covid_start, IF(AL74&lt;covid_recovery,NA(),SUMIFS(INDIRECT("Data_main"&amp;"["&amp;AL$8&amp;"]"),Data_main[Data],$A75, Data_main[Segment],$B75, Data_main[Scenario],$B$3)),SUMIFS(INDIRECT("Data_main"&amp;"["&amp;AL$8&amp;"]"),Data_main[Data],$A75, Data_main[Segment],$B75, Data_main[Scenario],$B$3)),SUMIFS(INDIRECT("Data_main"&amp;"["&amp;AL$8&amp;"]"),Data_main[Data],$A75, Data_main[Segment],$B75, Data_main[Scenario],$B$3))</f>
        <v>53.210756471542453</v>
      </c>
      <c r="AM75" s="390">
        <f ca="1">IF($B$6="ON", IF(AM74&gt;=covid_start, IF(AM74&lt;covid_recovery,NA(),SUMIFS(INDIRECT("Data_main"&amp;"["&amp;AM$8&amp;"]"),Data_main[Data],$A75, Data_main[Segment],$B75, Data_main[Scenario],$B$3)),SUMIFS(INDIRECT("Data_main"&amp;"["&amp;AM$8&amp;"]"),Data_main[Data],$A75, Data_main[Segment],$B75, Data_main[Scenario],$B$3)),SUMIFS(INDIRECT("Data_main"&amp;"["&amp;AM$8&amp;"]"),Data_main[Data],$A75, Data_main[Segment],$B75, Data_main[Scenario],$B$3))</f>
        <v>42.355948908912758</v>
      </c>
      <c r="AN75" s="390">
        <f ca="1">IF($B$6="ON", IF(AN74&gt;=covid_start, IF(AN74&lt;covid_recovery,NA(),SUMIFS(INDIRECT("Data_main"&amp;"["&amp;AN$8&amp;"]"),Data_main[Data],$A75, Data_main[Segment],$B75, Data_main[Scenario],$B$3)),SUMIFS(INDIRECT("Data_main"&amp;"["&amp;AN$8&amp;"]"),Data_main[Data],$A75, Data_main[Segment],$B75, Data_main[Scenario],$B$3)),SUMIFS(INDIRECT("Data_main"&amp;"["&amp;AN$8&amp;"]"),Data_main[Data],$A75, Data_main[Segment],$B75, Data_main[Scenario],$B$3))</f>
        <v>37.229689774770591</v>
      </c>
      <c r="AO75" s="390">
        <f ca="1">IF($B$6="ON", IF(AO74&gt;=covid_start, IF(AO74&lt;covid_recovery,NA(),SUMIFS(INDIRECT("Data_main"&amp;"["&amp;AO$8&amp;"]"),Data_main[Data],$A75, Data_main[Segment],$B75, Data_main[Scenario],$B$3)),SUMIFS(INDIRECT("Data_main"&amp;"["&amp;AO$8&amp;"]"),Data_main[Data],$A75, Data_main[Segment],$B75, Data_main[Scenario],$B$3)),SUMIFS(INDIRECT("Data_main"&amp;"["&amp;AO$8&amp;"]"),Data_main[Data],$A75, Data_main[Segment],$B75, Data_main[Scenario],$B$3))</f>
        <v>0</v>
      </c>
      <c r="AP75" s="390">
        <f ca="1">IF($B$6="ON", IF(AP74&gt;=covid_start, IF(AP74&lt;covid_recovery,NA(),SUMIFS(INDIRECT("Data_main"&amp;"["&amp;AP$8&amp;"]"),Data_main[Data],$A75, Data_main[Segment],$B75, Data_main[Scenario],$B$3)),SUMIFS(INDIRECT("Data_main"&amp;"["&amp;AP$8&amp;"]"),Data_main[Data],$A75, Data_main[Segment],$B75, Data_main[Scenario],$B$3)),SUMIFS(INDIRECT("Data_main"&amp;"["&amp;AP$8&amp;"]"),Data_main[Data],$A75, Data_main[Segment],$B75, Data_main[Scenario],$B$3))</f>
        <v>0</v>
      </c>
      <c r="AQ75" s="390">
        <f ca="1">IF($B$6="ON", IF(AQ74&gt;=covid_start, IF(AQ74&lt;covid_recovery,NA(),SUMIFS(INDIRECT("Data_main"&amp;"["&amp;AQ$8&amp;"]"),Data_main[Data],$A75, Data_main[Segment],$B75, Data_main[Scenario],$B$3)),SUMIFS(INDIRECT("Data_main"&amp;"["&amp;AQ$8&amp;"]"),Data_main[Data],$A75, Data_main[Segment],$B75, Data_main[Scenario],$B$3)),SUMIFS(INDIRECT("Data_main"&amp;"["&amp;AQ$8&amp;"]"),Data_main[Data],$A75, Data_main[Segment],$B75, Data_main[Scenario],$B$3))</f>
        <v>0</v>
      </c>
      <c r="AR75" s="390">
        <f ca="1">IF($B$6="ON", IF(AR74&gt;=covid_start, IF(AR74&lt;covid_recovery,NA(),SUMIFS(INDIRECT("Data_main"&amp;"["&amp;AR$8&amp;"]"),Data_main[Data],$A75, Data_main[Segment],$B75, Data_main[Scenario],$B$3)),SUMIFS(INDIRECT("Data_main"&amp;"["&amp;AR$8&amp;"]"),Data_main[Data],$A75, Data_main[Segment],$B75, Data_main[Scenario],$B$3)),SUMIFS(INDIRECT("Data_main"&amp;"["&amp;AR$8&amp;"]"),Data_main[Data],$A75, Data_main[Segment],$B75, Data_main[Scenario],$B$3))</f>
        <v>0</v>
      </c>
      <c r="AS75" s="390">
        <f ca="1">IF($B$6="ON", IF(AS74&gt;=covid_start, IF(AS74&lt;covid_recovery,NA(),SUMIFS(INDIRECT("Data_main"&amp;"["&amp;AS$8&amp;"]"),Data_main[Data],$A75, Data_main[Segment],$B75, Data_main[Scenario],$B$3)),SUMIFS(INDIRECT("Data_main"&amp;"["&amp;AS$8&amp;"]"),Data_main[Data],$A75, Data_main[Segment],$B75, Data_main[Scenario],$B$3)),SUMIFS(INDIRECT("Data_main"&amp;"["&amp;AS$8&amp;"]"),Data_main[Data],$A75, Data_main[Segment],$B75, Data_main[Scenario],$B$3))</f>
        <v>0</v>
      </c>
      <c r="AT75" s="390">
        <f ca="1">IF($B$6="ON", IF(AT74&gt;=covid_start, IF(AT74&lt;covid_recovery,NA(),SUMIFS(INDIRECT("Data_main"&amp;"["&amp;AT$8&amp;"]"),Data_main[Data],$A75, Data_main[Segment],$B75, Data_main[Scenario],$B$3)),SUMIFS(INDIRECT("Data_main"&amp;"["&amp;AT$8&amp;"]"),Data_main[Data],$A75, Data_main[Segment],$B75, Data_main[Scenario],$B$3)),SUMIFS(INDIRECT("Data_main"&amp;"["&amp;AT$8&amp;"]"),Data_main[Data],$A75, Data_main[Segment],$B75, Data_main[Scenario],$B$3))</f>
        <v>0</v>
      </c>
      <c r="AU75" s="390">
        <f ca="1">IF($B$6="ON", IF(AU74&gt;=covid_start, IF(AU74&lt;covid_recovery,NA(),SUMIFS(INDIRECT("Data_main"&amp;"["&amp;AU$8&amp;"]"),Data_main[Data],$A75, Data_main[Segment],$B75, Data_main[Scenario],$B$3)),SUMIFS(INDIRECT("Data_main"&amp;"["&amp;AU$8&amp;"]"),Data_main[Data],$A75, Data_main[Segment],$B75, Data_main[Scenario],$B$3)),SUMIFS(INDIRECT("Data_main"&amp;"["&amp;AU$8&amp;"]"),Data_main[Data],$A75, Data_main[Segment],$B75, Data_main[Scenario],$B$3))</f>
        <v>0</v>
      </c>
      <c r="AV75" s="390">
        <f ca="1">IF($B$6="ON", IF(AV74&gt;=covid_start, IF(AV74&lt;covid_recovery,NA(),SUMIFS(INDIRECT("Data_main"&amp;"["&amp;AV$8&amp;"]"),Data_main[Data],$A75, Data_main[Segment],$B75, Data_main[Scenario],$B$3)),SUMIFS(INDIRECT("Data_main"&amp;"["&amp;AV$8&amp;"]"),Data_main[Data],$A75, Data_main[Segment],$B75, Data_main[Scenario],$B$3)),SUMIFS(INDIRECT("Data_main"&amp;"["&amp;AV$8&amp;"]"),Data_main[Data],$A75, Data_main[Segment],$B75, Data_main[Scenario],$B$3))</f>
        <v>0</v>
      </c>
      <c r="AW75" s="390">
        <f ca="1">IF($B$6="ON", IF(AW74&gt;=covid_start, IF(AW74&lt;covid_recovery,NA(),SUMIFS(INDIRECT("Data_main"&amp;"["&amp;AW$8&amp;"]"),Data_main[Data],$A75, Data_main[Segment],$B75, Data_main[Scenario],$B$3)),SUMIFS(INDIRECT("Data_main"&amp;"["&amp;AW$8&amp;"]"),Data_main[Data],$A75, Data_main[Segment],$B75, Data_main[Scenario],$B$3)),SUMIFS(INDIRECT("Data_main"&amp;"["&amp;AW$8&amp;"]"),Data_main[Data],$A75, Data_main[Segment],$B75, Data_main[Scenario],$B$3))</f>
        <v>0</v>
      </c>
      <c r="AX75" s="390">
        <f ca="1">IF($B$6="ON", IF(AX74&gt;=covid_start, IF(AX74&lt;covid_recovery,NA(),SUMIFS(INDIRECT("Data_main"&amp;"["&amp;AX$8&amp;"]"),Data_main[Data],$A75, Data_main[Segment],$B75, Data_main[Scenario],$B$3)),SUMIFS(INDIRECT("Data_main"&amp;"["&amp;AX$8&amp;"]"),Data_main[Data],$A75, Data_main[Segment],$B75, Data_main[Scenario],$B$3)),SUMIFS(INDIRECT("Data_main"&amp;"["&amp;AX$8&amp;"]"),Data_main[Data],$A75, Data_main[Segment],$B75, Data_main[Scenario],$B$3))</f>
        <v>0</v>
      </c>
      <c r="AY75" s="390">
        <f ca="1">IF($B$6="ON", IF(AY74&gt;=covid_start, IF(AY74&lt;covid_recovery,NA(),SUMIFS(INDIRECT("Data_main"&amp;"["&amp;AY$8&amp;"]"),Data_main[Data],$A75, Data_main[Segment],$B75, Data_main[Scenario],$B$3)),SUMIFS(INDIRECT("Data_main"&amp;"["&amp;AY$8&amp;"]"),Data_main[Data],$A75, Data_main[Segment],$B75, Data_main[Scenario],$B$3)),SUMIFS(INDIRECT("Data_main"&amp;"["&amp;AY$8&amp;"]"),Data_main[Data],$A75, Data_main[Segment],$B75, Data_main[Scenario],$B$3))</f>
        <v>0</v>
      </c>
      <c r="AZ75" s="390">
        <f ca="1">IF($B$6="ON", IF(AZ74&gt;=covid_start, IF(AZ74&lt;covid_recovery,NA(),SUMIFS(INDIRECT("Data_main"&amp;"["&amp;AZ$8&amp;"]"),Data_main[Data],$A75, Data_main[Segment],$B75, Data_main[Scenario],$B$3)),SUMIFS(INDIRECT("Data_main"&amp;"["&amp;AZ$8&amp;"]"),Data_main[Data],$A75, Data_main[Segment],$B75, Data_main[Scenario],$B$3)),SUMIFS(INDIRECT("Data_main"&amp;"["&amp;AZ$8&amp;"]"),Data_main[Data],$A75, Data_main[Segment],$B75, Data_main[Scenario],$B$3))</f>
        <v>0</v>
      </c>
      <c r="BA75" s="390">
        <f ca="1">IF($B$6="ON", IF(BA74&gt;=covid_start, IF(BA74&lt;covid_recovery,NA(),SUMIFS(INDIRECT("Data_main"&amp;"["&amp;BA$8&amp;"]"),Data_main[Data],$A75, Data_main[Segment],$B75, Data_main[Scenario],$B$3)),SUMIFS(INDIRECT("Data_main"&amp;"["&amp;BA$8&amp;"]"),Data_main[Data],$A75, Data_main[Segment],$B75, Data_main[Scenario],$B$3)),SUMIFS(INDIRECT("Data_main"&amp;"["&amp;BA$8&amp;"]"),Data_main[Data],$A75, Data_main[Segment],$B75, Data_main[Scenario],$B$3))</f>
        <v>0</v>
      </c>
      <c r="BB75" s="390">
        <f ca="1">IF($B$6="ON", IF(BB74&gt;=covid_start, IF(BB74&lt;covid_recovery,NA(),SUMIFS(INDIRECT("Data_main"&amp;"["&amp;BB$8&amp;"]"),Data_main[Data],$A75, Data_main[Segment],$B75, Data_main[Scenario],$B$3)),SUMIFS(INDIRECT("Data_main"&amp;"["&amp;BB$8&amp;"]"),Data_main[Data],$A75, Data_main[Segment],$B75, Data_main[Scenario],$B$3)),SUMIFS(INDIRECT("Data_main"&amp;"["&amp;BB$8&amp;"]"),Data_main[Data],$A75, Data_main[Segment],$B75, Data_main[Scenario],$B$3))</f>
        <v>0</v>
      </c>
      <c r="BC75" s="390">
        <f ca="1">IF($B$6="ON", IF(BC74&gt;=covid_start, IF(BC74&lt;covid_recovery,NA(),SUMIFS(INDIRECT("Data_main"&amp;"["&amp;BC$8&amp;"]"),Data_main[Data],$A75, Data_main[Segment],$B75, Data_main[Scenario],$B$3)),SUMIFS(INDIRECT("Data_main"&amp;"["&amp;BC$8&amp;"]"),Data_main[Data],$A75, Data_main[Segment],$B75, Data_main[Scenario],$B$3)),SUMIFS(INDIRECT("Data_main"&amp;"["&amp;BC$8&amp;"]"),Data_main[Data],$A75, Data_main[Segment],$B75, Data_main[Scenario],$B$3))</f>
        <v>0</v>
      </c>
      <c r="BD75" s="390">
        <f ca="1">IF($B$6="ON", IF(BD74&gt;=covid_start, IF(BD74&lt;covid_recovery,NA(),SUMIFS(INDIRECT("Data_main"&amp;"["&amp;BD$8&amp;"]"),Data_main[Data],$A75, Data_main[Segment],$B75, Data_main[Scenario],$B$3)),SUMIFS(INDIRECT("Data_main"&amp;"["&amp;BD$8&amp;"]"),Data_main[Data],$A75, Data_main[Segment],$B75, Data_main[Scenario],$B$3)),SUMIFS(INDIRECT("Data_main"&amp;"["&amp;BD$8&amp;"]"),Data_main[Data],$A75, Data_main[Segment],$B75, Data_main[Scenario],$B$3))</f>
        <v>0</v>
      </c>
      <c r="BE75" s="390">
        <f ca="1">IF($B$6="ON", IF(BE74&gt;=covid_start, IF(BE74&lt;covid_recovery,NA(),SUMIFS(INDIRECT("Data_main"&amp;"["&amp;BE$8&amp;"]"),Data_main[Data],$A75, Data_main[Segment],$B75, Data_main[Scenario],$B$3)),SUMIFS(INDIRECT("Data_main"&amp;"["&amp;BE$8&amp;"]"),Data_main[Data],$A75, Data_main[Segment],$B75, Data_main[Scenario],$B$3)),SUMIFS(INDIRECT("Data_main"&amp;"["&amp;BE$8&amp;"]"),Data_main[Data],$A75, Data_main[Segment],$B75, Data_main[Scenario],$B$3))</f>
        <v>0</v>
      </c>
      <c r="BF75" s="390">
        <f ca="1">IF($B$6="ON", IF(BF74&gt;=covid_start, IF(BF74&lt;covid_recovery,NA(),SUMIFS(INDIRECT("Data_main"&amp;"["&amp;BF$8&amp;"]"),Data_main[Data],$A75, Data_main[Segment],$B75, Data_main[Scenario],$B$3)),SUMIFS(INDIRECT("Data_main"&amp;"["&amp;BF$8&amp;"]"),Data_main[Data],$A75, Data_main[Segment],$B75, Data_main[Scenario],$B$3)),SUMIFS(INDIRECT("Data_main"&amp;"["&amp;BF$8&amp;"]"),Data_main[Data],$A75, Data_main[Segment],$B75, Data_main[Scenario],$B$3))</f>
        <v>0</v>
      </c>
      <c r="BG75" s="390">
        <f ca="1">IF($B$6="ON", IF(BG74&gt;=covid_start, IF(BG74&lt;covid_recovery,NA(),SUMIFS(INDIRECT("Data_main"&amp;"["&amp;BG$8&amp;"]"),Data_main[Data],$A75, Data_main[Segment],$B75, Data_main[Scenario],$B$3)),SUMIFS(INDIRECT("Data_main"&amp;"["&amp;BG$8&amp;"]"),Data_main[Data],$A75, Data_main[Segment],$B75, Data_main[Scenario],$B$3)),SUMIFS(INDIRECT("Data_main"&amp;"["&amp;BG$8&amp;"]"),Data_main[Data],$A75, Data_main[Segment],$B75, Data_main[Scenario],$B$3))</f>
        <v>0</v>
      </c>
      <c r="BH75" s="390">
        <f ca="1">IF($B$6="ON", IF(BH74&gt;=covid_start, IF(BH74&lt;covid_recovery,NA(),SUMIFS(INDIRECT("Data_main"&amp;"["&amp;BH$8&amp;"]"),Data_main[Data],$A75, Data_main[Segment],$B75, Data_main[Scenario],$B$3)),SUMIFS(INDIRECT("Data_main"&amp;"["&amp;BH$8&amp;"]"),Data_main[Data],$A75, Data_main[Segment],$B75, Data_main[Scenario],$B$3)),SUMIFS(INDIRECT("Data_main"&amp;"["&amp;BH$8&amp;"]"),Data_main[Data],$A75, Data_main[Segment],$B75, Data_main[Scenario],$B$3))</f>
        <v>0</v>
      </c>
      <c r="BI75" s="390">
        <f ca="1">IF($B$6="ON", IF(BI74&gt;=covid_start, IF(BI74&lt;covid_recovery,NA(),SUMIFS(INDIRECT("Data_main"&amp;"["&amp;BI$8&amp;"]"),Data_main[Data],$A75, Data_main[Segment],$B75, Data_main[Scenario],$B$3)),SUMIFS(INDIRECT("Data_main"&amp;"["&amp;BI$8&amp;"]"),Data_main[Data],$A75, Data_main[Segment],$B75, Data_main[Scenario],$B$3)),SUMIFS(INDIRECT("Data_main"&amp;"["&amp;BI$8&amp;"]"),Data_main[Data],$A75, Data_main[Segment],$B75, Data_main[Scenario],$B$3))</f>
        <v>0</v>
      </c>
      <c r="BJ75" s="390">
        <f ca="1">IF($B$6="ON", IF(BJ74&gt;=covid_start, IF(BJ74&lt;covid_recovery,NA(),SUMIFS(INDIRECT("Data_main"&amp;"["&amp;BJ$8&amp;"]"),Data_main[Data],$A75, Data_main[Segment],$B75, Data_main[Scenario],$B$3)),SUMIFS(INDIRECT("Data_main"&amp;"["&amp;BJ$8&amp;"]"),Data_main[Data],$A75, Data_main[Segment],$B75, Data_main[Scenario],$B$3)),SUMIFS(INDIRECT("Data_main"&amp;"["&amp;BJ$8&amp;"]"),Data_main[Data],$A75, Data_main[Segment],$B75, Data_main[Scenario],$B$3))</f>
        <v>0</v>
      </c>
      <c r="BK75" s="390">
        <f ca="1">IF($B$6="ON", IF(BK74&gt;=covid_start, IF(BK74&lt;covid_recovery,NA(),SUMIFS(INDIRECT("Data_main"&amp;"["&amp;BK$8&amp;"]"),Data_main[Data],$A75, Data_main[Segment],$B75, Data_main[Scenario],$B$3)),SUMIFS(INDIRECT("Data_main"&amp;"["&amp;BK$8&amp;"]"),Data_main[Data],$A75, Data_main[Segment],$B75, Data_main[Scenario],$B$3)),SUMIFS(INDIRECT("Data_main"&amp;"["&amp;BK$8&amp;"]"),Data_main[Data],$A75, Data_main[Segment],$B75, Data_main[Scenario],$B$3))</f>
        <v>0</v>
      </c>
      <c r="BL75" s="390">
        <f ca="1">IF($B$6="ON", IF(BL74&gt;=covid_start, IF(BL74&lt;covid_recovery,NA(),SUMIFS(INDIRECT("Data_main"&amp;"["&amp;BL$8&amp;"]"),Data_main[Data],$A75, Data_main[Segment],$B75, Data_main[Scenario],$B$3)),SUMIFS(INDIRECT("Data_main"&amp;"["&amp;BL$8&amp;"]"),Data_main[Data],$A75, Data_main[Segment],$B75, Data_main[Scenario],$B$3)),SUMIFS(INDIRECT("Data_main"&amp;"["&amp;BL$8&amp;"]"),Data_main[Data],$A75, Data_main[Segment],$B75, Data_main[Scenario],$B$3))</f>
        <v>0</v>
      </c>
      <c r="BM75" s="390">
        <f ca="1">IF($B$6="ON", IF(BM74&gt;=covid_start, IF(BM74&lt;covid_recovery,NA(),SUMIFS(INDIRECT("Data_main"&amp;"["&amp;BM$8&amp;"]"),Data_main[Data],$A75, Data_main[Segment],$B75, Data_main[Scenario],$B$3)),SUMIFS(INDIRECT("Data_main"&amp;"["&amp;BM$8&amp;"]"),Data_main[Data],$A75, Data_main[Segment],$B75, Data_main[Scenario],$B$3)),SUMIFS(INDIRECT("Data_main"&amp;"["&amp;BM$8&amp;"]"),Data_main[Data],$A75, Data_main[Segment],$B75, Data_main[Scenario],$B$3))</f>
        <v>0</v>
      </c>
      <c r="BN75" s="390">
        <f ca="1">IF($B$6="ON", IF(BN74&gt;=covid_start, IF(BN74&lt;covid_recovery,NA(),SUMIFS(INDIRECT("Data_main"&amp;"["&amp;BN$8&amp;"]"),Data_main[Data],$A75, Data_main[Segment],$B75, Data_main[Scenario],$B$3)),SUMIFS(INDIRECT("Data_main"&amp;"["&amp;BN$8&amp;"]"),Data_main[Data],$A75, Data_main[Segment],$B75, Data_main[Scenario],$B$3)),SUMIFS(INDIRECT("Data_main"&amp;"["&amp;BN$8&amp;"]"),Data_main[Data],$A75, Data_main[Segment],$B75, Data_main[Scenario],$B$3))</f>
        <v>0</v>
      </c>
      <c r="BO75" s="390">
        <f ca="1">IF($B$6="ON", IF(BO74&gt;=covid_start, IF(BO74&lt;covid_recovery,NA(),SUMIFS(INDIRECT("Data_main"&amp;"["&amp;BO$8&amp;"]"),Data_main[Data],$A75, Data_main[Segment],$B75, Data_main[Scenario],$B$3)),SUMIFS(INDIRECT("Data_main"&amp;"["&amp;BO$8&amp;"]"),Data_main[Data],$A75, Data_main[Segment],$B75, Data_main[Scenario],$B$3)),SUMIFS(INDIRECT("Data_main"&amp;"["&amp;BO$8&amp;"]"),Data_main[Data],$A75, Data_main[Segment],$B75, Data_main[Scenario],$B$3))</f>
        <v>0</v>
      </c>
      <c r="BP75" s="390">
        <f ca="1">IF($B$6="ON", IF(BP74&gt;=covid_start, IF(BP74&lt;covid_recovery,NA(),SUMIFS(INDIRECT("Data_main"&amp;"["&amp;BP$8&amp;"]"),Data_main[Data],$A75, Data_main[Segment],$B75, Data_main[Scenario],$B$3)),SUMIFS(INDIRECT("Data_main"&amp;"["&amp;BP$8&amp;"]"),Data_main[Data],$A75, Data_main[Segment],$B75, Data_main[Scenario],$B$3)),SUMIFS(INDIRECT("Data_main"&amp;"["&amp;BP$8&amp;"]"),Data_main[Data],$A75, Data_main[Segment],$B75, Data_main[Scenario],$B$3))</f>
        <v>0</v>
      </c>
      <c r="BQ75" s="390">
        <f ca="1">IF($B$6="ON", IF(BQ74&gt;=covid_start, IF(BQ74&lt;covid_recovery,NA(),SUMIFS(INDIRECT("Data_main"&amp;"["&amp;BQ$8&amp;"]"),Data_main[Data],$A75, Data_main[Segment],$B75, Data_main[Scenario],$B$3)),SUMIFS(INDIRECT("Data_main"&amp;"["&amp;BQ$8&amp;"]"),Data_main[Data],$A75, Data_main[Segment],$B75, Data_main[Scenario],$B$3)),SUMIFS(INDIRECT("Data_main"&amp;"["&amp;BQ$8&amp;"]"),Data_main[Data],$A75, Data_main[Segment],$B75, Data_main[Scenario],$B$3))</f>
        <v>0</v>
      </c>
      <c r="BR75" s="390">
        <f ca="1">IF($B$6="ON", IF(BR74&gt;=covid_start, IF(BR74&lt;covid_recovery,NA(),SUMIFS(INDIRECT("Data_main"&amp;"["&amp;BR$8&amp;"]"),Data_main[Data],$A75, Data_main[Segment],$B75, Data_main[Scenario],$B$3)),SUMIFS(INDIRECT("Data_main"&amp;"["&amp;BR$8&amp;"]"),Data_main[Data],$A75, Data_main[Segment],$B75, Data_main[Scenario],$B$3)),SUMIFS(INDIRECT("Data_main"&amp;"["&amp;BR$8&amp;"]"),Data_main[Data],$A75, Data_main[Segment],$B75, Data_main[Scenario],$B$3))</f>
        <v>0</v>
      </c>
      <c r="BS75" s="390">
        <f ca="1">IF($B$6="ON", IF(BS74&gt;=covid_start, IF(BS74&lt;covid_recovery,NA(),SUMIFS(INDIRECT("Data_main"&amp;"["&amp;BS$8&amp;"]"),Data_main[Data],$A75, Data_main[Segment],$B75, Data_main[Scenario],$B$3)),SUMIFS(INDIRECT("Data_main"&amp;"["&amp;BS$8&amp;"]"),Data_main[Data],$A75, Data_main[Segment],$B75, Data_main[Scenario],$B$3)),SUMIFS(INDIRECT("Data_main"&amp;"["&amp;BS$8&amp;"]"),Data_main[Data],$A75, Data_main[Segment],$B75, Data_main[Scenario],$B$3))</f>
        <v>0</v>
      </c>
      <c r="BT75" s="390">
        <f ca="1">IF($B$6="ON", IF(BT74&gt;=covid_start, IF(BT74&lt;covid_recovery,NA(),SUMIFS(INDIRECT("Data_main"&amp;"["&amp;BT$8&amp;"]"),Data_main[Data],$A75, Data_main[Segment],$B75, Data_main[Scenario],$B$3)),SUMIFS(INDIRECT("Data_main"&amp;"["&amp;BT$8&amp;"]"),Data_main[Data],$A75, Data_main[Segment],$B75, Data_main[Scenario],$B$3)),SUMIFS(INDIRECT("Data_main"&amp;"["&amp;BT$8&amp;"]"),Data_main[Data],$A75, Data_main[Segment],$B75, Data_main[Scenario],$B$3))</f>
        <v>0</v>
      </c>
      <c r="BU75" s="390">
        <f ca="1">IF($B$6="ON", IF(BU74&gt;=covid_start, IF(BU74&lt;covid_recovery,NA(),SUMIFS(INDIRECT("Data_main"&amp;"["&amp;BU$8&amp;"]"),Data_main[Data],$A75, Data_main[Segment],$B75, Data_main[Scenario],$B$3)),SUMIFS(INDIRECT("Data_main"&amp;"["&amp;BU$8&amp;"]"),Data_main[Data],$A75, Data_main[Segment],$B75, Data_main[Scenario],$B$3)),SUMIFS(INDIRECT("Data_main"&amp;"["&amp;BU$8&amp;"]"),Data_main[Data],$A75, Data_main[Segment],$B75, Data_main[Scenario],$B$3))</f>
        <v>0</v>
      </c>
      <c r="BV75" s="390">
        <f ca="1">IF($B$6="ON", IF(BV74&gt;=covid_start, IF(BV74&lt;covid_recovery,NA(),SUMIFS(INDIRECT("Data_main"&amp;"["&amp;BV$8&amp;"]"),Data_main[Data],$A75, Data_main[Segment],$B75, Data_main[Scenario],$B$3)),SUMIFS(INDIRECT("Data_main"&amp;"["&amp;BV$8&amp;"]"),Data_main[Data],$A75, Data_main[Segment],$B75, Data_main[Scenario],$B$3)),SUMIFS(INDIRECT("Data_main"&amp;"["&amp;BV$8&amp;"]"),Data_main[Data],$A75, Data_main[Segment],$B75, Data_main[Scenario],$B$3))</f>
        <v>0</v>
      </c>
      <c r="BW75" s="390">
        <f ca="1">IF($B$6="ON", IF(BW74&gt;=covid_start, IF(BW74&lt;covid_recovery,NA(),SUMIFS(INDIRECT("Data_main"&amp;"["&amp;BW$8&amp;"]"),Data_main[Data],$A75, Data_main[Segment],$B75, Data_main[Scenario],$B$3)),SUMIFS(INDIRECT("Data_main"&amp;"["&amp;BW$8&amp;"]"),Data_main[Data],$A75, Data_main[Segment],$B75, Data_main[Scenario],$B$3)),SUMIFS(INDIRECT("Data_main"&amp;"["&amp;BW$8&amp;"]"),Data_main[Data],$A75, Data_main[Segment],$B75, Data_main[Scenario],$B$3))</f>
        <v>0</v>
      </c>
      <c r="BX75" s="390">
        <f ca="1">IF($B$6="ON", IF(BX74&gt;=covid_start, IF(BX74&lt;covid_recovery,NA(),SUMIFS(INDIRECT("Data_main"&amp;"["&amp;BX$8&amp;"]"),Data_main[Data],$A75, Data_main[Segment],$B75, Data_main[Scenario],$B$3)),SUMIFS(INDIRECT("Data_main"&amp;"["&amp;BX$8&amp;"]"),Data_main[Data],$A75, Data_main[Segment],$B75, Data_main[Scenario],$B$3)),SUMIFS(INDIRECT("Data_main"&amp;"["&amp;BX$8&amp;"]"),Data_main[Data],$A75, Data_main[Segment],$B75, Data_main[Scenario],$B$3))</f>
        <v>0</v>
      </c>
      <c r="BY75" s="390">
        <f ca="1">IF($B$6="ON", IF(BY74&gt;=covid_start, IF(BY74&lt;covid_recovery,NA(),SUMIFS(INDIRECT("Data_main"&amp;"["&amp;BY$8&amp;"]"),Data_main[Data],$A75, Data_main[Segment],$B75, Data_main[Scenario],$B$3)),SUMIFS(INDIRECT("Data_main"&amp;"["&amp;BY$8&amp;"]"),Data_main[Data],$A75, Data_main[Segment],$B75, Data_main[Scenario],$B$3)),SUMIFS(INDIRECT("Data_main"&amp;"["&amp;BY$8&amp;"]"),Data_main[Data],$A75, Data_main[Segment],$B75, Data_main[Scenario],$B$3))</f>
        <v>0</v>
      </c>
      <c r="BZ75" s="390">
        <f ca="1">IF($B$6="ON", IF(BZ74&gt;=covid_start, IF(BZ74&lt;covid_recovery,NA(),SUMIFS(INDIRECT("Data_main"&amp;"["&amp;BZ$8&amp;"]"),Data_main[Data],$A75, Data_main[Segment],$B75, Data_main[Scenario],$B$3)),SUMIFS(INDIRECT("Data_main"&amp;"["&amp;BZ$8&amp;"]"),Data_main[Data],$A75, Data_main[Segment],$B75, Data_main[Scenario],$B$3)),SUMIFS(INDIRECT("Data_main"&amp;"["&amp;BZ$8&amp;"]"),Data_main[Data],$A75, Data_main[Segment],$B75, Data_main[Scenario],$B$3))</f>
        <v>0</v>
      </c>
      <c r="CA75" s="390">
        <f ca="1">IF($B$6="ON", IF(CA74&gt;=covid_start, IF(CA74&lt;covid_recovery,NA(),SUMIFS(INDIRECT("Data_main"&amp;"["&amp;CA$8&amp;"]"),Data_main[Data],$A75, Data_main[Segment],$B75, Data_main[Scenario],$B$3)),SUMIFS(INDIRECT("Data_main"&amp;"["&amp;CA$8&amp;"]"),Data_main[Data],$A75, Data_main[Segment],$B75, Data_main[Scenario],$B$3)),SUMIFS(INDIRECT("Data_main"&amp;"["&amp;CA$8&amp;"]"),Data_main[Data],$A75, Data_main[Segment],$B75, Data_main[Scenario],$B$3))</f>
        <v>0</v>
      </c>
      <c r="CB75" s="390">
        <f ca="1">IF($B$6="ON", IF(CB74&gt;=covid_start, IF(CB74&lt;covid_recovery,NA(),SUMIFS(INDIRECT("Data_main"&amp;"["&amp;CB$8&amp;"]"),Data_main[Data],$A75, Data_main[Segment],$B75, Data_main[Scenario],$B$3)),SUMIFS(INDIRECT("Data_main"&amp;"["&amp;CB$8&amp;"]"),Data_main[Data],$A75, Data_main[Segment],$B75, Data_main[Scenario],$B$3)),SUMIFS(INDIRECT("Data_main"&amp;"["&amp;CB$8&amp;"]"),Data_main[Data],$A75, Data_main[Segment],$B75, Data_main[Scenario],$B$3))</f>
        <v>0</v>
      </c>
      <c r="CC75" s="390">
        <f ca="1">IF($B$6="ON", IF(CC74&gt;=covid_start, IF(CC74&lt;covid_recovery,NA(),SUMIFS(INDIRECT("Data_main"&amp;"["&amp;CC$8&amp;"]"),Data_main[Data],$A75, Data_main[Segment],$B75, Data_main[Scenario],$B$3)),SUMIFS(INDIRECT("Data_main"&amp;"["&amp;CC$8&amp;"]"),Data_main[Data],$A75, Data_main[Segment],$B75, Data_main[Scenario],$B$3)),SUMIFS(INDIRECT("Data_main"&amp;"["&amp;CC$8&amp;"]"),Data_main[Data],$A75, Data_main[Segment],$B75, Data_main[Scenario],$B$3))</f>
        <v>0</v>
      </c>
      <c r="CD75" s="390">
        <f ca="1">IF($B$6="ON", IF(CD74&gt;=covid_start, IF(CD74&lt;covid_recovery,NA(),SUMIFS(INDIRECT("Data_main"&amp;"["&amp;CD$8&amp;"]"),Data_main[Data],$A75, Data_main[Segment],$B75, Data_main[Scenario],$B$3)),SUMIFS(INDIRECT("Data_main"&amp;"["&amp;CD$8&amp;"]"),Data_main[Data],$A75, Data_main[Segment],$B75, Data_main[Scenario],$B$3)),SUMIFS(INDIRECT("Data_main"&amp;"["&amp;CD$8&amp;"]"),Data_main[Data],$A75, Data_main[Segment],$B75, Data_main[Scenario],$B$3))</f>
        <v>0</v>
      </c>
      <c r="CE75" s="390">
        <f ca="1">IF($B$6="ON", IF(CE74&gt;=covid_start, IF(CE74&lt;covid_recovery,NA(),SUMIFS(INDIRECT("Data_main"&amp;"["&amp;CE$8&amp;"]"),Data_main[Data],$A75, Data_main[Segment],$B75, Data_main[Scenario],$B$3)),SUMIFS(INDIRECT("Data_main"&amp;"["&amp;CE$8&amp;"]"),Data_main[Data],$A75, Data_main[Segment],$B75, Data_main[Scenario],$B$3)),SUMIFS(INDIRECT("Data_main"&amp;"["&amp;CE$8&amp;"]"),Data_main[Data],$A75, Data_main[Segment],$B75, Data_main[Scenario],$B$3))</f>
        <v>0</v>
      </c>
      <c r="CF75" s="390">
        <f ca="1">IF($B$6="ON", IF(CF74&gt;=covid_start, IF(CF74&lt;covid_recovery,NA(),SUMIFS(INDIRECT("Data_main"&amp;"["&amp;CF$8&amp;"]"),Data_main[Data],$A75, Data_main[Segment],$B75, Data_main[Scenario],$B$3)),SUMIFS(INDIRECT("Data_main"&amp;"["&amp;CF$8&amp;"]"),Data_main[Data],$A75, Data_main[Segment],$B75, Data_main[Scenario],$B$3)),SUMIFS(INDIRECT("Data_main"&amp;"["&amp;CF$8&amp;"]"),Data_main[Data],$A75, Data_main[Segment],$B75, Data_main[Scenario],$B$3))</f>
        <v>0</v>
      </c>
      <c r="CG75" s="390">
        <f ca="1">IF($B$6="ON", IF(CG74&gt;=covid_start, IF(CG74&lt;covid_recovery,NA(),SUMIFS(INDIRECT("Data_main"&amp;"["&amp;CG$8&amp;"]"),Data_main[Data],$A75, Data_main[Segment],$B75, Data_main[Scenario],$B$3)),SUMIFS(INDIRECT("Data_main"&amp;"["&amp;CG$8&amp;"]"),Data_main[Data],$A75, Data_main[Segment],$B75, Data_main[Scenario],$B$3)),SUMIFS(INDIRECT("Data_main"&amp;"["&amp;CG$8&amp;"]"),Data_main[Data],$A75, Data_main[Segment],$B75, Data_main[Scenario],$B$3))</f>
        <v>0</v>
      </c>
      <c r="CH75" s="390">
        <f ca="1">IF($B$6="ON", IF(CH74&gt;=covid_start, IF(CH74&lt;covid_recovery,NA(),SUMIFS(INDIRECT("Data_main"&amp;"["&amp;CH$8&amp;"]"),Data_main[Data],$A75, Data_main[Segment],$B75, Data_main[Scenario],$B$3)),SUMIFS(INDIRECT("Data_main"&amp;"["&amp;CH$8&amp;"]"),Data_main[Data],$A75, Data_main[Segment],$B75, Data_main[Scenario],$B$3)),SUMIFS(INDIRECT("Data_main"&amp;"["&amp;CH$8&amp;"]"),Data_main[Data],$A75, Data_main[Segment],$B75, Data_main[Scenario],$B$3))</f>
        <v>0</v>
      </c>
      <c r="CI75" s="390">
        <f ca="1">IF($B$6="ON", IF(CI74&gt;=covid_start, IF(CI74&lt;covid_recovery,NA(),SUMIFS(INDIRECT("Data_main"&amp;"["&amp;CI$8&amp;"]"),Data_main[Data],$A75, Data_main[Segment],$B75, Data_main[Scenario],$B$3)),SUMIFS(INDIRECT("Data_main"&amp;"["&amp;CI$8&amp;"]"),Data_main[Data],$A75, Data_main[Segment],$B75, Data_main[Scenario],$B$3)),SUMIFS(INDIRECT("Data_main"&amp;"["&amp;CI$8&amp;"]"),Data_main[Data],$A75, Data_main[Segment],$B75, Data_main[Scenario],$B$3))</f>
        <v>0</v>
      </c>
      <c r="CJ75" s="390">
        <f ca="1">IF($B$6="ON", IF(CJ74&gt;=covid_start, IF(CJ74&lt;covid_recovery,NA(),SUMIFS(INDIRECT("Data_main"&amp;"["&amp;CJ$8&amp;"]"),Data_main[Data],$A75, Data_main[Segment],$B75, Data_main[Scenario],$B$3)),SUMIFS(INDIRECT("Data_main"&amp;"["&amp;CJ$8&amp;"]"),Data_main[Data],$A75, Data_main[Segment],$B75, Data_main[Scenario],$B$3)),SUMIFS(INDIRECT("Data_main"&amp;"["&amp;CJ$8&amp;"]"),Data_main[Data],$A75, Data_main[Segment],$B75, Data_main[Scenario],$B$3))</f>
        <v>0</v>
      </c>
      <c r="CK75" s="390">
        <f ca="1">IF($B$6="ON", IF(CK74&gt;=covid_start, IF(CK74&lt;covid_recovery,NA(),SUMIFS(INDIRECT("Data_main"&amp;"["&amp;CK$8&amp;"]"),Data_main[Data],$A75, Data_main[Segment],$B75, Data_main[Scenario],$B$3)),SUMIFS(INDIRECT("Data_main"&amp;"["&amp;CK$8&amp;"]"),Data_main[Data],$A75, Data_main[Segment],$B75, Data_main[Scenario],$B$3)),SUMIFS(INDIRECT("Data_main"&amp;"["&amp;CK$8&amp;"]"),Data_main[Data],$A75, Data_main[Segment],$B75, Data_main[Scenario],$B$3))</f>
        <v>0</v>
      </c>
      <c r="CL75" s="390">
        <f ca="1">IF($B$6="ON", IF(CL74&gt;=covid_start, IF(CL74&lt;covid_recovery,NA(),SUMIFS(INDIRECT("Data_main"&amp;"["&amp;CL$8&amp;"]"),Data_main[Data],$A75, Data_main[Segment],$B75, Data_main[Scenario],$B$3)),SUMIFS(INDIRECT("Data_main"&amp;"["&amp;CL$8&amp;"]"),Data_main[Data],$A75, Data_main[Segment],$B75, Data_main[Scenario],$B$3)),SUMIFS(INDIRECT("Data_main"&amp;"["&amp;CL$8&amp;"]"),Data_main[Data],$A75, Data_main[Segment],$B75, Data_main[Scenario],$B$3))</f>
        <v>0</v>
      </c>
      <c r="CN75" s="391">
        <f ca="1">IFERROR((Y75/H75)^(1/17)-1,"")</f>
        <v>-1.4480099360075882E-2</v>
      </c>
      <c r="CO75" s="391">
        <f ca="1">IFERROR((AN75/Y75)^(1/15)-1,"")</f>
        <v>-0.15784777640450376</v>
      </c>
      <c r="CP75" s="391">
        <f ca="1">IFERROR((AN75/H75)^(1/32)-1,"")</f>
        <v>-8.4493174469676968E-2</v>
      </c>
    </row>
    <row r="76" spans="1:94" hidden="1" outlineLevel="1">
      <c r="A76" s="392" t="s">
        <v>157</v>
      </c>
      <c r="B76" s="392" t="str">
        <f t="shared" ref="B76:B77" si="705">$A$74</f>
        <v>Pax-long</v>
      </c>
      <c r="C76" s="393" t="s">
        <v>353</v>
      </c>
      <c r="D76" s="389"/>
      <c r="E76" s="390">
        <f ca="1">'SDS Calc'!E76</f>
        <v>494.96320380295487</v>
      </c>
      <c r="F76" s="531">
        <f ca="1">'SDS Calc'!F76</f>
        <v>530.91844618743505</v>
      </c>
      <c r="G76" s="531">
        <f ca="1">'SDS Calc'!G76</f>
        <v>566.87368857191518</v>
      </c>
      <c r="H76" s="531">
        <f ca="1">'SDS Calc'!H76</f>
        <v>602.8289309563952</v>
      </c>
      <c r="I76" s="531">
        <f ca="1">'SDS Calc'!I76</f>
        <v>630.62713848133626</v>
      </c>
      <c r="J76" s="531" t="e">
        <f ca="1">'SDS Calc'!J76</f>
        <v>#N/A</v>
      </c>
      <c r="K76" s="531" t="e">
        <f ca="1">'SDS Calc'!K76</f>
        <v>#N/A</v>
      </c>
      <c r="L76" s="531" t="e">
        <f ca="1">'SDS Calc'!L76</f>
        <v>#N/A</v>
      </c>
      <c r="M76" s="531">
        <f ca="1">'SDS Calc'!M76</f>
        <v>712.60592266940046</v>
      </c>
      <c r="N76" s="531">
        <f ca="1">'SDS Calc'!N76</f>
        <v>733.10061871641653</v>
      </c>
      <c r="O76" s="531">
        <f ca="1">'SDS Calc'!O76</f>
        <v>753.5953147634325</v>
      </c>
      <c r="P76" s="531">
        <f ca="1">'SDS Calc'!P76</f>
        <v>774.09001081044858</v>
      </c>
      <c r="Q76" s="531">
        <f ca="1">'SDS Calc'!Q76</f>
        <v>794.58470685746454</v>
      </c>
      <c r="R76" s="531">
        <f ca="1">'SDS Calc'!R76</f>
        <v>815.0794029044805</v>
      </c>
      <c r="S76" s="531">
        <f ca="1">'SDS Calc'!S76</f>
        <v>835.57409895149658</v>
      </c>
      <c r="T76" s="531">
        <f ca="1">'SDS Calc'!T76</f>
        <v>856.06879499851311</v>
      </c>
      <c r="U76" s="531">
        <f ca="1">'SDS Calc'!U76</f>
        <v>882.0575134186189</v>
      </c>
      <c r="V76" s="531">
        <f ca="1">IF($B$6="ON", IF(V74&gt;=covid_start, IF(V74&lt;covid_recovery,NA(),SUMIFS(INDIRECT("Data_main"&amp;"["&amp;V$8&amp;"]"),Data_main[Data],$A76, Data_main[Segment],$B76, Data_main[Scenario],$B$3)),SUMIFS(INDIRECT("Data_main"&amp;"["&amp;V$8&amp;"]"),Data_main[Data],$A76, Data_main[Segment],$B76, Data_main[Scenario],$B$3)),SUMIFS(INDIRECT("Data_main"&amp;"["&amp;V$8&amp;"]"),Data_main[Data],$A76, Data_main[Segment],$B76, Data_main[Scenario],$B$3))</f>
        <v>894.2507187674081</v>
      </c>
      <c r="W76" s="390">
        <f ca="1">IF($B$6="ON", IF(W74&gt;=covid_start, IF(W74&lt;covid_recovery,NA(),SUMIFS(INDIRECT("Data_main"&amp;"["&amp;W$8&amp;"]"),Data_main[Data],$A76, Data_main[Segment],$B76, Data_main[Scenario],$B$3)),SUMIFS(INDIRECT("Data_main"&amp;"["&amp;W$8&amp;"]"),Data_main[Data],$A76, Data_main[Segment],$B76, Data_main[Scenario],$B$3)),SUMIFS(INDIRECT("Data_main"&amp;"["&amp;W$8&amp;"]"),Data_main[Data],$A76, Data_main[Segment],$B76, Data_main[Scenario],$B$3))</f>
        <v>918.07047617332216</v>
      </c>
      <c r="X76" s="390">
        <f ca="1">IF($B$6="ON", IF(X74&gt;=covid_start, IF(X74&lt;covid_recovery,NA(),SUMIFS(INDIRECT("Data_main"&amp;"["&amp;X$8&amp;"]"),Data_main[Data],$A76, Data_main[Segment],$B76, Data_main[Scenario],$B$3)),SUMIFS(INDIRECT("Data_main"&amp;"["&amp;X$8&amp;"]"),Data_main[Data],$A76, Data_main[Segment],$B76, Data_main[Scenario],$B$3)),SUMIFS(INDIRECT("Data_main"&amp;"["&amp;X$8&amp;"]"),Data_main[Data],$A76, Data_main[Segment],$B76, Data_main[Scenario],$B$3))</f>
        <v>942.52887673202395</v>
      </c>
      <c r="Y76" s="390">
        <f ca="1">IF($B$6="ON", IF(Y74&gt;=covid_start, IF(Y74&lt;covid_recovery,NA(),SUMIFS(INDIRECT("Data_main"&amp;"["&amp;Y$8&amp;"]"),Data_main[Data],$A76, Data_main[Segment],$B76, Data_main[Scenario],$B$3)),SUMIFS(INDIRECT("Data_main"&amp;"["&amp;Y$8&amp;"]"),Data_main[Data],$A76, Data_main[Segment],$B76, Data_main[Scenario],$B$3)),SUMIFS(INDIRECT("Data_main"&amp;"["&amp;Y$8&amp;"]"),Data_main[Data],$A76, Data_main[Segment],$B76, Data_main[Scenario],$B$3))</f>
        <v>967.41870265441651</v>
      </c>
      <c r="Z76" s="390">
        <f ca="1">IF($B$6="ON", IF(Z74&gt;=covid_start, IF(Z74&lt;covid_recovery,NA(),SUMIFS(INDIRECT("Data_main"&amp;"["&amp;Z$8&amp;"]"),Data_main[Data],$A76, Data_main[Segment],$B76, Data_main[Scenario],$B$3)),SUMIFS(INDIRECT("Data_main"&amp;"["&amp;Z$8&amp;"]"),Data_main[Data],$A76, Data_main[Segment],$B76, Data_main[Scenario],$B$3)),SUMIFS(INDIRECT("Data_main"&amp;"["&amp;Z$8&amp;"]"),Data_main[Data],$A76, Data_main[Segment],$B76, Data_main[Scenario],$B$3))</f>
        <v>992.95311983438467</v>
      </c>
      <c r="AA76" s="390">
        <f ca="1">IF($B$6="ON", IF(AA74&gt;=covid_start, IF(AA74&lt;covid_recovery,NA(),SUMIFS(INDIRECT("Data_main"&amp;"["&amp;AA$8&amp;"]"),Data_main[Data],$A76, Data_main[Segment],$B76, Data_main[Scenario],$B$3)),SUMIFS(INDIRECT("Data_main"&amp;"["&amp;AA$8&amp;"]"),Data_main[Data],$A76, Data_main[Segment],$B76, Data_main[Scenario],$B$3)),SUMIFS(INDIRECT("Data_main"&amp;"["&amp;AA$8&amp;"]"),Data_main[Data],$A76, Data_main[Segment],$B76, Data_main[Scenario],$B$3))</f>
        <v>1019.0820911283868</v>
      </c>
      <c r="AB76" s="390">
        <f ca="1">IF($B$6="ON", IF(AB74&gt;=covid_start, IF(AB74&lt;covid_recovery,NA(),SUMIFS(INDIRECT("Data_main"&amp;"["&amp;AB$8&amp;"]"),Data_main[Data],$A76, Data_main[Segment],$B76, Data_main[Scenario],$B$3)),SUMIFS(INDIRECT("Data_main"&amp;"["&amp;AB$8&amp;"]"),Data_main[Data],$A76, Data_main[Segment],$B76, Data_main[Scenario],$B$3)),SUMIFS(INDIRECT("Data_main"&amp;"["&amp;AB$8&amp;"]"),Data_main[Data],$A76, Data_main[Segment],$B76, Data_main[Scenario],$B$3))</f>
        <v>1045.8309850500841</v>
      </c>
      <c r="AC76" s="390">
        <f ca="1">IF($B$6="ON", IF(AC74&gt;=covid_start, IF(AC74&lt;covid_recovery,NA(),SUMIFS(INDIRECT("Data_main"&amp;"["&amp;AC$8&amp;"]"),Data_main[Data],$A76, Data_main[Segment],$B76, Data_main[Scenario],$B$3)),SUMIFS(INDIRECT("Data_main"&amp;"["&amp;AC$8&amp;"]"),Data_main[Data],$A76, Data_main[Segment],$B76, Data_main[Scenario],$B$3)),SUMIFS(INDIRECT("Data_main"&amp;"["&amp;AC$8&amp;"]"),Data_main[Data],$A76, Data_main[Segment],$B76, Data_main[Scenario],$B$3))</f>
        <v>1073.2265130159681</v>
      </c>
      <c r="AD76" s="390">
        <f ca="1">IF($B$6="ON", IF(AD74&gt;=covid_start, IF(AD74&lt;covid_recovery,NA(),SUMIFS(INDIRECT("Data_main"&amp;"["&amp;AD$8&amp;"]"),Data_main[Data],$A76, Data_main[Segment],$B76, Data_main[Scenario],$B$3)),SUMIFS(INDIRECT("Data_main"&amp;"["&amp;AD$8&amp;"]"),Data_main[Data],$A76, Data_main[Segment],$B76, Data_main[Scenario],$B$3)),SUMIFS(INDIRECT("Data_main"&amp;"["&amp;AD$8&amp;"]"),Data_main[Data],$A76, Data_main[Segment],$B76, Data_main[Scenario],$B$3))</f>
        <v>1101.2967010414873</v>
      </c>
      <c r="AE76" s="390">
        <f ca="1">IF($B$6="ON", IF(AE74&gt;=covid_start, IF(AE74&lt;covid_recovery,NA(),SUMIFS(INDIRECT("Data_main"&amp;"["&amp;AE$8&amp;"]"),Data_main[Data],$A76, Data_main[Segment],$B76, Data_main[Scenario],$B$3)),SUMIFS(INDIRECT("Data_main"&amp;"["&amp;AE$8&amp;"]"),Data_main[Data],$A76, Data_main[Segment],$B76, Data_main[Scenario],$B$3)),SUMIFS(INDIRECT("Data_main"&amp;"["&amp;AE$8&amp;"]"),Data_main[Data],$A76, Data_main[Segment],$B76, Data_main[Scenario],$B$3))</f>
        <v>1130.0707143208763</v>
      </c>
      <c r="AF76" s="390">
        <f ca="1">IF($B$6="ON", IF(AF74&gt;=covid_start, IF(AF74&lt;covid_recovery,NA(),SUMIFS(INDIRECT("Data_main"&amp;"["&amp;AF$8&amp;"]"),Data_main[Data],$A76, Data_main[Segment],$B76, Data_main[Scenario],$B$3)),SUMIFS(INDIRECT("Data_main"&amp;"["&amp;AF$8&amp;"]"),Data_main[Data],$A76, Data_main[Segment],$B76, Data_main[Scenario],$B$3)),SUMIFS(INDIRECT("Data_main"&amp;"["&amp;AF$8&amp;"]"),Data_main[Data],$A76, Data_main[Segment],$B76, Data_main[Scenario],$B$3))</f>
        <v>1159.5835817042073</v>
      </c>
      <c r="AG76" s="390">
        <f ca="1">IF($B$6="ON", IF(AG74&gt;=covid_start, IF(AG74&lt;covid_recovery,NA(),SUMIFS(INDIRECT("Data_main"&amp;"["&amp;AG$8&amp;"]"),Data_main[Data],$A76, Data_main[Segment],$B76, Data_main[Scenario],$B$3)),SUMIFS(INDIRECT("Data_main"&amp;"["&amp;AG$8&amp;"]"),Data_main[Data],$A76, Data_main[Segment],$B76, Data_main[Scenario],$B$3)),SUMIFS(INDIRECT("Data_main"&amp;"["&amp;AG$8&amp;"]"),Data_main[Data],$A76, Data_main[Segment],$B76, Data_main[Scenario],$B$3))</f>
        <v>1189.8707203985405</v>
      </c>
      <c r="AH76" s="390">
        <f ca="1">IF($B$6="ON", IF(AH74&gt;=covid_start, IF(AH74&lt;covid_recovery,NA(),SUMIFS(INDIRECT("Data_main"&amp;"["&amp;AH$8&amp;"]"),Data_main[Data],$A76, Data_main[Segment],$B76, Data_main[Scenario],$B$3)),SUMIFS(INDIRECT("Data_main"&amp;"["&amp;AH$8&amp;"]"),Data_main[Data],$A76, Data_main[Segment],$B76, Data_main[Scenario],$B$3)),SUMIFS(INDIRECT("Data_main"&amp;"["&amp;AH$8&amp;"]"),Data_main[Data],$A76, Data_main[Segment],$B76, Data_main[Scenario],$B$3))</f>
        <v>1220.9684301051361</v>
      </c>
      <c r="AI76" s="390">
        <f ca="1">IF($B$6="ON", IF(AI74&gt;=covid_start, IF(AI74&lt;covid_recovery,NA(),SUMIFS(INDIRECT("Data_main"&amp;"["&amp;AI$8&amp;"]"),Data_main[Data],$A76, Data_main[Segment],$B76, Data_main[Scenario],$B$3)),SUMIFS(INDIRECT("Data_main"&amp;"["&amp;AI$8&amp;"]"),Data_main[Data],$A76, Data_main[Segment],$B76, Data_main[Scenario],$B$3)),SUMIFS(INDIRECT("Data_main"&amp;"["&amp;AI$8&amp;"]"),Data_main[Data],$A76, Data_main[Segment],$B76, Data_main[Scenario],$B$3))</f>
        <v>1252.9140214518929</v>
      </c>
      <c r="AJ76" s="390">
        <f ca="1">IF($B$6="ON", IF(AJ74&gt;=covid_start, IF(AJ74&lt;covid_recovery,NA(),SUMIFS(INDIRECT("Data_main"&amp;"["&amp;AJ$8&amp;"]"),Data_main[Data],$A76, Data_main[Segment],$B76, Data_main[Scenario],$B$3)),SUMIFS(INDIRECT("Data_main"&amp;"["&amp;AJ$8&amp;"]"),Data_main[Data],$A76, Data_main[Segment],$B76, Data_main[Scenario],$B$3)),SUMIFS(INDIRECT("Data_main"&amp;"["&amp;AJ$8&amp;"]"),Data_main[Data],$A76, Data_main[Segment],$B76, Data_main[Scenario],$B$3))</f>
        <v>1285.7461113530817</v>
      </c>
      <c r="AK76" s="390">
        <f ca="1">IF($B$6="ON", IF(AK74&gt;=covid_start, IF(AK74&lt;covid_recovery,NA(),SUMIFS(INDIRECT("Data_main"&amp;"["&amp;AK$8&amp;"]"),Data_main[Data],$A76, Data_main[Segment],$B76, Data_main[Scenario],$B$3)),SUMIFS(INDIRECT("Data_main"&amp;"["&amp;AK$8&amp;"]"),Data_main[Data],$A76, Data_main[Segment],$B76, Data_main[Scenario],$B$3)),SUMIFS(INDIRECT("Data_main"&amp;"["&amp;AK$8&amp;"]"),Data_main[Data],$A76, Data_main[Segment],$B76, Data_main[Scenario],$B$3))</f>
        <v>1319.5052197913528</v>
      </c>
      <c r="AL76" s="390">
        <f ca="1">IF($B$6="ON", IF(AL74&gt;=covid_start, IF(AL74&lt;covid_recovery,NA(),SUMIFS(INDIRECT("Data_main"&amp;"["&amp;AL$8&amp;"]"),Data_main[Data],$A76, Data_main[Segment],$B76, Data_main[Scenario],$B$3)),SUMIFS(INDIRECT("Data_main"&amp;"["&amp;AL$8&amp;"]"),Data_main[Data],$A76, Data_main[Segment],$B76, Data_main[Scenario],$B$3)),SUMIFS(INDIRECT("Data_main"&amp;"["&amp;AL$8&amp;"]"),Data_main[Data],$A76, Data_main[Segment],$B76, Data_main[Scenario],$B$3))</f>
        <v>1354.2341940787903</v>
      </c>
      <c r="AM76" s="390">
        <f ca="1">IF($B$6="ON", IF(AM74&gt;=covid_start, IF(AM74&lt;covid_recovery,NA(),SUMIFS(INDIRECT("Data_main"&amp;"["&amp;AM$8&amp;"]"),Data_main[Data],$A76, Data_main[Segment],$B76, Data_main[Scenario],$B$3)),SUMIFS(INDIRECT("Data_main"&amp;"["&amp;AM$8&amp;"]"),Data_main[Data],$A76, Data_main[Segment],$B76, Data_main[Scenario],$B$3)),SUMIFS(INDIRECT("Data_main"&amp;"["&amp;AM$8&amp;"]"),Data_main[Data],$A76, Data_main[Segment],$B76, Data_main[Scenario],$B$3))</f>
        <v>1389.9788320591383</v>
      </c>
      <c r="AN76" s="390">
        <f ca="1">IF($B$6="ON", IF(AN74&gt;=covid_start, IF(AN74&lt;covid_recovery,NA(),SUMIFS(INDIRECT("Data_main"&amp;"["&amp;AN$8&amp;"]"),Data_main[Data],$A76, Data_main[Segment],$B76, Data_main[Scenario],$B$3)),SUMIFS(INDIRECT("Data_main"&amp;"["&amp;AN$8&amp;"]"),Data_main[Data],$A76, Data_main[Segment],$B76, Data_main[Scenario],$B$3)),SUMIFS(INDIRECT("Data_main"&amp;"["&amp;AN$8&amp;"]"),Data_main[Data],$A76, Data_main[Segment],$B76, Data_main[Scenario],$B$3))</f>
        <v>1426.8806116465446</v>
      </c>
      <c r="AO76" s="390">
        <f ca="1">IF($B$6="ON", IF(AO74&gt;=covid_start, IF(AO74&lt;covid_recovery,NA(),SUMIFS(INDIRECT("Data_main"&amp;"["&amp;AO$8&amp;"]"),Data_main[Data],$A76, Data_main[Segment],$B76, Data_main[Scenario],$B$3)),SUMIFS(INDIRECT("Data_main"&amp;"["&amp;AO$8&amp;"]"),Data_main[Data],$A76, Data_main[Segment],$B76, Data_main[Scenario],$B$3)),SUMIFS(INDIRECT("Data_main"&amp;"["&amp;AO$8&amp;"]"),Data_main[Data],$A76, Data_main[Segment],$B76, Data_main[Scenario],$B$3))</f>
        <v>0</v>
      </c>
      <c r="AP76" s="390">
        <f ca="1">IF($B$6="ON", IF(AP74&gt;=covid_start, IF(AP74&lt;covid_recovery,NA(),SUMIFS(INDIRECT("Data_main"&amp;"["&amp;AP$8&amp;"]"),Data_main[Data],$A76, Data_main[Segment],$B76, Data_main[Scenario],$B$3)),SUMIFS(INDIRECT("Data_main"&amp;"["&amp;AP$8&amp;"]"),Data_main[Data],$A76, Data_main[Segment],$B76, Data_main[Scenario],$B$3)),SUMIFS(INDIRECT("Data_main"&amp;"["&amp;AP$8&amp;"]"),Data_main[Data],$A76, Data_main[Segment],$B76, Data_main[Scenario],$B$3))</f>
        <v>0</v>
      </c>
      <c r="AQ76" s="390">
        <f ca="1">IF($B$6="ON", IF(AQ74&gt;=covid_start, IF(AQ74&lt;covid_recovery,NA(),SUMIFS(INDIRECT("Data_main"&amp;"["&amp;AQ$8&amp;"]"),Data_main[Data],$A76, Data_main[Segment],$B76, Data_main[Scenario],$B$3)),SUMIFS(INDIRECT("Data_main"&amp;"["&amp;AQ$8&amp;"]"),Data_main[Data],$A76, Data_main[Segment],$B76, Data_main[Scenario],$B$3)),SUMIFS(INDIRECT("Data_main"&amp;"["&amp;AQ$8&amp;"]"),Data_main[Data],$A76, Data_main[Segment],$B76, Data_main[Scenario],$B$3))</f>
        <v>0</v>
      </c>
      <c r="AR76" s="390">
        <f ca="1">IF($B$6="ON", IF(AR74&gt;=covid_start, IF(AR74&lt;covid_recovery,NA(),SUMIFS(INDIRECT("Data_main"&amp;"["&amp;AR$8&amp;"]"),Data_main[Data],$A76, Data_main[Segment],$B76, Data_main[Scenario],$B$3)),SUMIFS(INDIRECT("Data_main"&amp;"["&amp;AR$8&amp;"]"),Data_main[Data],$A76, Data_main[Segment],$B76, Data_main[Scenario],$B$3)),SUMIFS(INDIRECT("Data_main"&amp;"["&amp;AR$8&amp;"]"),Data_main[Data],$A76, Data_main[Segment],$B76, Data_main[Scenario],$B$3))</f>
        <v>0</v>
      </c>
      <c r="AS76" s="390">
        <f ca="1">IF($B$6="ON", IF(AS74&gt;=covid_start, IF(AS74&lt;covid_recovery,NA(),SUMIFS(INDIRECT("Data_main"&amp;"["&amp;AS$8&amp;"]"),Data_main[Data],$A76, Data_main[Segment],$B76, Data_main[Scenario],$B$3)),SUMIFS(INDIRECT("Data_main"&amp;"["&amp;AS$8&amp;"]"),Data_main[Data],$A76, Data_main[Segment],$B76, Data_main[Scenario],$B$3)),SUMIFS(INDIRECT("Data_main"&amp;"["&amp;AS$8&amp;"]"),Data_main[Data],$A76, Data_main[Segment],$B76, Data_main[Scenario],$B$3))</f>
        <v>0</v>
      </c>
      <c r="AT76" s="390">
        <f ca="1">IF($B$6="ON", IF(AT74&gt;=covid_start, IF(AT74&lt;covid_recovery,NA(),SUMIFS(INDIRECT("Data_main"&amp;"["&amp;AT$8&amp;"]"),Data_main[Data],$A76, Data_main[Segment],$B76, Data_main[Scenario],$B$3)),SUMIFS(INDIRECT("Data_main"&amp;"["&amp;AT$8&amp;"]"),Data_main[Data],$A76, Data_main[Segment],$B76, Data_main[Scenario],$B$3)),SUMIFS(INDIRECT("Data_main"&amp;"["&amp;AT$8&amp;"]"),Data_main[Data],$A76, Data_main[Segment],$B76, Data_main[Scenario],$B$3))</f>
        <v>0</v>
      </c>
      <c r="AU76" s="390">
        <f ca="1">IF($B$6="ON", IF(AU74&gt;=covid_start, IF(AU74&lt;covid_recovery,NA(),SUMIFS(INDIRECT("Data_main"&amp;"["&amp;AU$8&amp;"]"),Data_main[Data],$A76, Data_main[Segment],$B76, Data_main[Scenario],$B$3)),SUMIFS(INDIRECT("Data_main"&amp;"["&amp;AU$8&amp;"]"),Data_main[Data],$A76, Data_main[Segment],$B76, Data_main[Scenario],$B$3)),SUMIFS(INDIRECT("Data_main"&amp;"["&amp;AU$8&amp;"]"),Data_main[Data],$A76, Data_main[Segment],$B76, Data_main[Scenario],$B$3))</f>
        <v>0</v>
      </c>
      <c r="AV76" s="390">
        <f ca="1">IF($B$6="ON", IF(AV74&gt;=covid_start, IF(AV74&lt;covid_recovery,NA(),SUMIFS(INDIRECT("Data_main"&amp;"["&amp;AV$8&amp;"]"),Data_main[Data],$A76, Data_main[Segment],$B76, Data_main[Scenario],$B$3)),SUMIFS(INDIRECT("Data_main"&amp;"["&amp;AV$8&amp;"]"),Data_main[Data],$A76, Data_main[Segment],$B76, Data_main[Scenario],$B$3)),SUMIFS(INDIRECT("Data_main"&amp;"["&amp;AV$8&amp;"]"),Data_main[Data],$A76, Data_main[Segment],$B76, Data_main[Scenario],$B$3))</f>
        <v>0</v>
      </c>
      <c r="AW76" s="390">
        <f ca="1">IF($B$6="ON", IF(AW74&gt;=covid_start, IF(AW74&lt;covid_recovery,NA(),SUMIFS(INDIRECT("Data_main"&amp;"["&amp;AW$8&amp;"]"),Data_main[Data],$A76, Data_main[Segment],$B76, Data_main[Scenario],$B$3)),SUMIFS(INDIRECT("Data_main"&amp;"["&amp;AW$8&amp;"]"),Data_main[Data],$A76, Data_main[Segment],$B76, Data_main[Scenario],$B$3)),SUMIFS(INDIRECT("Data_main"&amp;"["&amp;AW$8&amp;"]"),Data_main[Data],$A76, Data_main[Segment],$B76, Data_main[Scenario],$B$3))</f>
        <v>0</v>
      </c>
      <c r="AX76" s="390">
        <f ca="1">IF($B$6="ON", IF(AX74&gt;=covid_start, IF(AX74&lt;covid_recovery,NA(),SUMIFS(INDIRECT("Data_main"&amp;"["&amp;AX$8&amp;"]"),Data_main[Data],$A76, Data_main[Segment],$B76, Data_main[Scenario],$B$3)),SUMIFS(INDIRECT("Data_main"&amp;"["&amp;AX$8&amp;"]"),Data_main[Data],$A76, Data_main[Segment],$B76, Data_main[Scenario],$B$3)),SUMIFS(INDIRECT("Data_main"&amp;"["&amp;AX$8&amp;"]"),Data_main[Data],$A76, Data_main[Segment],$B76, Data_main[Scenario],$B$3))</f>
        <v>0</v>
      </c>
      <c r="AY76" s="390">
        <f ca="1">IF($B$6="ON", IF(AY74&gt;=covid_start, IF(AY74&lt;covid_recovery,NA(),SUMIFS(INDIRECT("Data_main"&amp;"["&amp;AY$8&amp;"]"),Data_main[Data],$A76, Data_main[Segment],$B76, Data_main[Scenario],$B$3)),SUMIFS(INDIRECT("Data_main"&amp;"["&amp;AY$8&amp;"]"),Data_main[Data],$A76, Data_main[Segment],$B76, Data_main[Scenario],$B$3)),SUMIFS(INDIRECT("Data_main"&amp;"["&amp;AY$8&amp;"]"),Data_main[Data],$A76, Data_main[Segment],$B76, Data_main[Scenario],$B$3))</f>
        <v>0</v>
      </c>
      <c r="AZ76" s="390">
        <f ca="1">IF($B$6="ON", IF(AZ74&gt;=covid_start, IF(AZ74&lt;covid_recovery,NA(),SUMIFS(INDIRECT("Data_main"&amp;"["&amp;AZ$8&amp;"]"),Data_main[Data],$A76, Data_main[Segment],$B76, Data_main[Scenario],$B$3)),SUMIFS(INDIRECT("Data_main"&amp;"["&amp;AZ$8&amp;"]"),Data_main[Data],$A76, Data_main[Segment],$B76, Data_main[Scenario],$B$3)),SUMIFS(INDIRECT("Data_main"&amp;"["&amp;AZ$8&amp;"]"),Data_main[Data],$A76, Data_main[Segment],$B76, Data_main[Scenario],$B$3))</f>
        <v>0</v>
      </c>
      <c r="BA76" s="390">
        <f ca="1">IF($B$6="ON", IF(BA74&gt;=covid_start, IF(BA74&lt;covid_recovery,NA(),SUMIFS(INDIRECT("Data_main"&amp;"["&amp;BA$8&amp;"]"),Data_main[Data],$A76, Data_main[Segment],$B76, Data_main[Scenario],$B$3)),SUMIFS(INDIRECT("Data_main"&amp;"["&amp;BA$8&amp;"]"),Data_main[Data],$A76, Data_main[Segment],$B76, Data_main[Scenario],$B$3)),SUMIFS(INDIRECT("Data_main"&amp;"["&amp;BA$8&amp;"]"),Data_main[Data],$A76, Data_main[Segment],$B76, Data_main[Scenario],$B$3))</f>
        <v>0</v>
      </c>
      <c r="BB76" s="390">
        <f ca="1">IF($B$6="ON", IF(BB74&gt;=covid_start, IF(BB74&lt;covid_recovery,NA(),SUMIFS(INDIRECT("Data_main"&amp;"["&amp;BB$8&amp;"]"),Data_main[Data],$A76, Data_main[Segment],$B76, Data_main[Scenario],$B$3)),SUMIFS(INDIRECT("Data_main"&amp;"["&amp;BB$8&amp;"]"),Data_main[Data],$A76, Data_main[Segment],$B76, Data_main[Scenario],$B$3)),SUMIFS(INDIRECT("Data_main"&amp;"["&amp;BB$8&amp;"]"),Data_main[Data],$A76, Data_main[Segment],$B76, Data_main[Scenario],$B$3))</f>
        <v>0</v>
      </c>
      <c r="BC76" s="390">
        <f ca="1">IF($B$6="ON", IF(BC74&gt;=covid_start, IF(BC74&lt;covid_recovery,NA(),SUMIFS(INDIRECT("Data_main"&amp;"["&amp;BC$8&amp;"]"),Data_main[Data],$A76, Data_main[Segment],$B76, Data_main[Scenario],$B$3)),SUMIFS(INDIRECT("Data_main"&amp;"["&amp;BC$8&amp;"]"),Data_main[Data],$A76, Data_main[Segment],$B76, Data_main[Scenario],$B$3)),SUMIFS(INDIRECT("Data_main"&amp;"["&amp;BC$8&amp;"]"),Data_main[Data],$A76, Data_main[Segment],$B76, Data_main[Scenario],$B$3))</f>
        <v>0</v>
      </c>
      <c r="BD76" s="390">
        <f ca="1">IF($B$6="ON", IF(BD74&gt;=covid_start, IF(BD74&lt;covid_recovery,NA(),SUMIFS(INDIRECT("Data_main"&amp;"["&amp;BD$8&amp;"]"),Data_main[Data],$A76, Data_main[Segment],$B76, Data_main[Scenario],$B$3)),SUMIFS(INDIRECT("Data_main"&amp;"["&amp;BD$8&amp;"]"),Data_main[Data],$A76, Data_main[Segment],$B76, Data_main[Scenario],$B$3)),SUMIFS(INDIRECT("Data_main"&amp;"["&amp;BD$8&amp;"]"),Data_main[Data],$A76, Data_main[Segment],$B76, Data_main[Scenario],$B$3))</f>
        <v>0</v>
      </c>
      <c r="BE76" s="390">
        <f ca="1">IF($B$6="ON", IF(BE74&gt;=covid_start, IF(BE74&lt;covid_recovery,NA(),SUMIFS(INDIRECT("Data_main"&amp;"["&amp;BE$8&amp;"]"),Data_main[Data],$A76, Data_main[Segment],$B76, Data_main[Scenario],$B$3)),SUMIFS(INDIRECT("Data_main"&amp;"["&amp;BE$8&amp;"]"),Data_main[Data],$A76, Data_main[Segment],$B76, Data_main[Scenario],$B$3)),SUMIFS(INDIRECT("Data_main"&amp;"["&amp;BE$8&amp;"]"),Data_main[Data],$A76, Data_main[Segment],$B76, Data_main[Scenario],$B$3))</f>
        <v>0</v>
      </c>
      <c r="BF76" s="390">
        <f ca="1">IF($B$6="ON", IF(BF74&gt;=covid_start, IF(BF74&lt;covid_recovery,NA(),SUMIFS(INDIRECT("Data_main"&amp;"["&amp;BF$8&amp;"]"),Data_main[Data],$A76, Data_main[Segment],$B76, Data_main[Scenario],$B$3)),SUMIFS(INDIRECT("Data_main"&amp;"["&amp;BF$8&amp;"]"),Data_main[Data],$A76, Data_main[Segment],$B76, Data_main[Scenario],$B$3)),SUMIFS(INDIRECT("Data_main"&amp;"["&amp;BF$8&amp;"]"),Data_main[Data],$A76, Data_main[Segment],$B76, Data_main[Scenario],$B$3))</f>
        <v>0</v>
      </c>
      <c r="BG76" s="390">
        <f ca="1">IF($B$6="ON", IF(BG74&gt;=covid_start, IF(BG74&lt;covid_recovery,NA(),SUMIFS(INDIRECT("Data_main"&amp;"["&amp;BG$8&amp;"]"),Data_main[Data],$A76, Data_main[Segment],$B76, Data_main[Scenario],$B$3)),SUMIFS(INDIRECT("Data_main"&amp;"["&amp;BG$8&amp;"]"),Data_main[Data],$A76, Data_main[Segment],$B76, Data_main[Scenario],$B$3)),SUMIFS(INDIRECT("Data_main"&amp;"["&amp;BG$8&amp;"]"),Data_main[Data],$A76, Data_main[Segment],$B76, Data_main[Scenario],$B$3))</f>
        <v>0</v>
      </c>
      <c r="BH76" s="390">
        <f ca="1">IF($B$6="ON", IF(BH74&gt;=covid_start, IF(BH74&lt;covid_recovery,NA(),SUMIFS(INDIRECT("Data_main"&amp;"["&amp;BH$8&amp;"]"),Data_main[Data],$A76, Data_main[Segment],$B76, Data_main[Scenario],$B$3)),SUMIFS(INDIRECT("Data_main"&amp;"["&amp;BH$8&amp;"]"),Data_main[Data],$A76, Data_main[Segment],$B76, Data_main[Scenario],$B$3)),SUMIFS(INDIRECT("Data_main"&amp;"["&amp;BH$8&amp;"]"),Data_main[Data],$A76, Data_main[Segment],$B76, Data_main[Scenario],$B$3))</f>
        <v>0</v>
      </c>
      <c r="BI76" s="390">
        <f ca="1">IF($B$6="ON", IF(BI74&gt;=covid_start, IF(BI74&lt;covid_recovery,NA(),SUMIFS(INDIRECT("Data_main"&amp;"["&amp;BI$8&amp;"]"),Data_main[Data],$A76, Data_main[Segment],$B76, Data_main[Scenario],$B$3)),SUMIFS(INDIRECT("Data_main"&amp;"["&amp;BI$8&amp;"]"),Data_main[Data],$A76, Data_main[Segment],$B76, Data_main[Scenario],$B$3)),SUMIFS(INDIRECT("Data_main"&amp;"["&amp;BI$8&amp;"]"),Data_main[Data],$A76, Data_main[Segment],$B76, Data_main[Scenario],$B$3))</f>
        <v>0</v>
      </c>
      <c r="BJ76" s="390">
        <f ca="1">IF($B$6="ON", IF(BJ74&gt;=covid_start, IF(BJ74&lt;covid_recovery,NA(),SUMIFS(INDIRECT("Data_main"&amp;"["&amp;BJ$8&amp;"]"),Data_main[Data],$A76, Data_main[Segment],$B76, Data_main[Scenario],$B$3)),SUMIFS(INDIRECT("Data_main"&amp;"["&amp;BJ$8&amp;"]"),Data_main[Data],$A76, Data_main[Segment],$B76, Data_main[Scenario],$B$3)),SUMIFS(INDIRECT("Data_main"&amp;"["&amp;BJ$8&amp;"]"),Data_main[Data],$A76, Data_main[Segment],$B76, Data_main[Scenario],$B$3))</f>
        <v>0</v>
      </c>
      <c r="BK76" s="390">
        <f ca="1">IF($B$6="ON", IF(BK74&gt;=covid_start, IF(BK74&lt;covid_recovery,NA(),SUMIFS(INDIRECT("Data_main"&amp;"["&amp;BK$8&amp;"]"),Data_main[Data],$A76, Data_main[Segment],$B76, Data_main[Scenario],$B$3)),SUMIFS(INDIRECT("Data_main"&amp;"["&amp;BK$8&amp;"]"),Data_main[Data],$A76, Data_main[Segment],$B76, Data_main[Scenario],$B$3)),SUMIFS(INDIRECT("Data_main"&amp;"["&amp;BK$8&amp;"]"),Data_main[Data],$A76, Data_main[Segment],$B76, Data_main[Scenario],$B$3))</f>
        <v>0</v>
      </c>
      <c r="BL76" s="390">
        <f ca="1">IF($B$6="ON", IF(BL74&gt;=covid_start, IF(BL74&lt;covid_recovery,NA(),SUMIFS(INDIRECT("Data_main"&amp;"["&amp;BL$8&amp;"]"),Data_main[Data],$A76, Data_main[Segment],$B76, Data_main[Scenario],$B$3)),SUMIFS(INDIRECT("Data_main"&amp;"["&amp;BL$8&amp;"]"),Data_main[Data],$A76, Data_main[Segment],$B76, Data_main[Scenario],$B$3)),SUMIFS(INDIRECT("Data_main"&amp;"["&amp;BL$8&amp;"]"),Data_main[Data],$A76, Data_main[Segment],$B76, Data_main[Scenario],$B$3))</f>
        <v>0</v>
      </c>
      <c r="BM76" s="390">
        <f ca="1">IF($B$6="ON", IF(BM74&gt;=covid_start, IF(BM74&lt;covid_recovery,NA(),SUMIFS(INDIRECT("Data_main"&amp;"["&amp;BM$8&amp;"]"),Data_main[Data],$A76, Data_main[Segment],$B76, Data_main[Scenario],$B$3)),SUMIFS(INDIRECT("Data_main"&amp;"["&amp;BM$8&amp;"]"),Data_main[Data],$A76, Data_main[Segment],$B76, Data_main[Scenario],$B$3)),SUMIFS(INDIRECT("Data_main"&amp;"["&amp;BM$8&amp;"]"),Data_main[Data],$A76, Data_main[Segment],$B76, Data_main[Scenario],$B$3))</f>
        <v>0</v>
      </c>
      <c r="BN76" s="390">
        <f ca="1">IF($B$6="ON", IF(BN74&gt;=covid_start, IF(BN74&lt;covid_recovery,NA(),SUMIFS(INDIRECT("Data_main"&amp;"["&amp;BN$8&amp;"]"),Data_main[Data],$A76, Data_main[Segment],$B76, Data_main[Scenario],$B$3)),SUMIFS(INDIRECT("Data_main"&amp;"["&amp;BN$8&amp;"]"),Data_main[Data],$A76, Data_main[Segment],$B76, Data_main[Scenario],$B$3)),SUMIFS(INDIRECT("Data_main"&amp;"["&amp;BN$8&amp;"]"),Data_main[Data],$A76, Data_main[Segment],$B76, Data_main[Scenario],$B$3))</f>
        <v>0</v>
      </c>
      <c r="BO76" s="390">
        <f ca="1">IF($B$6="ON", IF(BO74&gt;=covid_start, IF(BO74&lt;covid_recovery,NA(),SUMIFS(INDIRECT("Data_main"&amp;"["&amp;BO$8&amp;"]"),Data_main[Data],$A76, Data_main[Segment],$B76, Data_main[Scenario],$B$3)),SUMIFS(INDIRECT("Data_main"&amp;"["&amp;BO$8&amp;"]"),Data_main[Data],$A76, Data_main[Segment],$B76, Data_main[Scenario],$B$3)),SUMIFS(INDIRECT("Data_main"&amp;"["&amp;BO$8&amp;"]"),Data_main[Data],$A76, Data_main[Segment],$B76, Data_main[Scenario],$B$3))</f>
        <v>0</v>
      </c>
      <c r="BP76" s="390">
        <f ca="1">IF($B$6="ON", IF(BP74&gt;=covid_start, IF(BP74&lt;covid_recovery,NA(),SUMIFS(INDIRECT("Data_main"&amp;"["&amp;BP$8&amp;"]"),Data_main[Data],$A76, Data_main[Segment],$B76, Data_main[Scenario],$B$3)),SUMIFS(INDIRECT("Data_main"&amp;"["&amp;BP$8&amp;"]"),Data_main[Data],$A76, Data_main[Segment],$B76, Data_main[Scenario],$B$3)),SUMIFS(INDIRECT("Data_main"&amp;"["&amp;BP$8&amp;"]"),Data_main[Data],$A76, Data_main[Segment],$B76, Data_main[Scenario],$B$3))</f>
        <v>0</v>
      </c>
      <c r="BQ76" s="390">
        <f ca="1">IF($B$6="ON", IF(BQ74&gt;=covid_start, IF(BQ74&lt;covid_recovery,NA(),SUMIFS(INDIRECT("Data_main"&amp;"["&amp;BQ$8&amp;"]"),Data_main[Data],$A76, Data_main[Segment],$B76, Data_main[Scenario],$B$3)),SUMIFS(INDIRECT("Data_main"&amp;"["&amp;BQ$8&amp;"]"),Data_main[Data],$A76, Data_main[Segment],$B76, Data_main[Scenario],$B$3)),SUMIFS(INDIRECT("Data_main"&amp;"["&amp;BQ$8&amp;"]"),Data_main[Data],$A76, Data_main[Segment],$B76, Data_main[Scenario],$B$3))</f>
        <v>0</v>
      </c>
      <c r="BR76" s="390">
        <f ca="1">IF($B$6="ON", IF(BR74&gt;=covid_start, IF(BR74&lt;covid_recovery,NA(),SUMIFS(INDIRECT("Data_main"&amp;"["&amp;BR$8&amp;"]"),Data_main[Data],$A76, Data_main[Segment],$B76, Data_main[Scenario],$B$3)),SUMIFS(INDIRECT("Data_main"&amp;"["&amp;BR$8&amp;"]"),Data_main[Data],$A76, Data_main[Segment],$B76, Data_main[Scenario],$B$3)),SUMIFS(INDIRECT("Data_main"&amp;"["&amp;BR$8&amp;"]"),Data_main[Data],$A76, Data_main[Segment],$B76, Data_main[Scenario],$B$3))</f>
        <v>0</v>
      </c>
      <c r="BS76" s="390">
        <f ca="1">IF($B$6="ON", IF(BS74&gt;=covid_start, IF(BS74&lt;covid_recovery,NA(),SUMIFS(INDIRECT("Data_main"&amp;"["&amp;BS$8&amp;"]"),Data_main[Data],$A76, Data_main[Segment],$B76, Data_main[Scenario],$B$3)),SUMIFS(INDIRECT("Data_main"&amp;"["&amp;BS$8&amp;"]"),Data_main[Data],$A76, Data_main[Segment],$B76, Data_main[Scenario],$B$3)),SUMIFS(INDIRECT("Data_main"&amp;"["&amp;BS$8&amp;"]"),Data_main[Data],$A76, Data_main[Segment],$B76, Data_main[Scenario],$B$3))</f>
        <v>0</v>
      </c>
      <c r="BT76" s="390">
        <f ca="1">IF($B$6="ON", IF(BT74&gt;=covid_start, IF(BT74&lt;covid_recovery,NA(),SUMIFS(INDIRECT("Data_main"&amp;"["&amp;BT$8&amp;"]"),Data_main[Data],$A76, Data_main[Segment],$B76, Data_main[Scenario],$B$3)),SUMIFS(INDIRECT("Data_main"&amp;"["&amp;BT$8&amp;"]"),Data_main[Data],$A76, Data_main[Segment],$B76, Data_main[Scenario],$B$3)),SUMIFS(INDIRECT("Data_main"&amp;"["&amp;BT$8&amp;"]"),Data_main[Data],$A76, Data_main[Segment],$B76, Data_main[Scenario],$B$3))</f>
        <v>0</v>
      </c>
      <c r="BU76" s="390">
        <f ca="1">IF($B$6="ON", IF(BU74&gt;=covid_start, IF(BU74&lt;covid_recovery,NA(),SUMIFS(INDIRECT("Data_main"&amp;"["&amp;BU$8&amp;"]"),Data_main[Data],$A76, Data_main[Segment],$B76, Data_main[Scenario],$B$3)),SUMIFS(INDIRECT("Data_main"&amp;"["&amp;BU$8&amp;"]"),Data_main[Data],$A76, Data_main[Segment],$B76, Data_main[Scenario],$B$3)),SUMIFS(INDIRECT("Data_main"&amp;"["&amp;BU$8&amp;"]"),Data_main[Data],$A76, Data_main[Segment],$B76, Data_main[Scenario],$B$3))</f>
        <v>0</v>
      </c>
      <c r="BV76" s="390">
        <f ca="1">IF($B$6="ON", IF(BV74&gt;=covid_start, IF(BV74&lt;covid_recovery,NA(),SUMIFS(INDIRECT("Data_main"&amp;"["&amp;BV$8&amp;"]"),Data_main[Data],$A76, Data_main[Segment],$B76, Data_main[Scenario],$B$3)),SUMIFS(INDIRECT("Data_main"&amp;"["&amp;BV$8&amp;"]"),Data_main[Data],$A76, Data_main[Segment],$B76, Data_main[Scenario],$B$3)),SUMIFS(INDIRECT("Data_main"&amp;"["&amp;BV$8&amp;"]"),Data_main[Data],$A76, Data_main[Segment],$B76, Data_main[Scenario],$B$3))</f>
        <v>0</v>
      </c>
      <c r="BW76" s="390">
        <f ca="1">IF($B$6="ON", IF(BW74&gt;=covid_start, IF(BW74&lt;covid_recovery,NA(),SUMIFS(INDIRECT("Data_main"&amp;"["&amp;BW$8&amp;"]"),Data_main[Data],$A76, Data_main[Segment],$B76, Data_main[Scenario],$B$3)),SUMIFS(INDIRECT("Data_main"&amp;"["&amp;BW$8&amp;"]"),Data_main[Data],$A76, Data_main[Segment],$B76, Data_main[Scenario],$B$3)),SUMIFS(INDIRECT("Data_main"&amp;"["&amp;BW$8&amp;"]"),Data_main[Data],$A76, Data_main[Segment],$B76, Data_main[Scenario],$B$3))</f>
        <v>0</v>
      </c>
      <c r="BX76" s="390">
        <f ca="1">IF($B$6="ON", IF(BX74&gt;=covid_start, IF(BX74&lt;covid_recovery,NA(),SUMIFS(INDIRECT("Data_main"&amp;"["&amp;BX$8&amp;"]"),Data_main[Data],$A76, Data_main[Segment],$B76, Data_main[Scenario],$B$3)),SUMIFS(INDIRECT("Data_main"&amp;"["&amp;BX$8&amp;"]"),Data_main[Data],$A76, Data_main[Segment],$B76, Data_main[Scenario],$B$3)),SUMIFS(INDIRECT("Data_main"&amp;"["&amp;BX$8&amp;"]"),Data_main[Data],$A76, Data_main[Segment],$B76, Data_main[Scenario],$B$3))</f>
        <v>0</v>
      </c>
      <c r="BY76" s="390">
        <f ca="1">IF($B$6="ON", IF(BY74&gt;=covid_start, IF(BY74&lt;covid_recovery,NA(),SUMIFS(INDIRECT("Data_main"&amp;"["&amp;BY$8&amp;"]"),Data_main[Data],$A76, Data_main[Segment],$B76, Data_main[Scenario],$B$3)),SUMIFS(INDIRECT("Data_main"&amp;"["&amp;BY$8&amp;"]"),Data_main[Data],$A76, Data_main[Segment],$B76, Data_main[Scenario],$B$3)),SUMIFS(INDIRECT("Data_main"&amp;"["&amp;BY$8&amp;"]"),Data_main[Data],$A76, Data_main[Segment],$B76, Data_main[Scenario],$B$3))</f>
        <v>0</v>
      </c>
      <c r="BZ76" s="390">
        <f ca="1">IF($B$6="ON", IF(BZ74&gt;=covid_start, IF(BZ74&lt;covid_recovery,NA(),SUMIFS(INDIRECT("Data_main"&amp;"["&amp;BZ$8&amp;"]"),Data_main[Data],$A76, Data_main[Segment],$B76, Data_main[Scenario],$B$3)),SUMIFS(INDIRECT("Data_main"&amp;"["&amp;BZ$8&amp;"]"),Data_main[Data],$A76, Data_main[Segment],$B76, Data_main[Scenario],$B$3)),SUMIFS(INDIRECT("Data_main"&amp;"["&amp;BZ$8&amp;"]"),Data_main[Data],$A76, Data_main[Segment],$B76, Data_main[Scenario],$B$3))</f>
        <v>0</v>
      </c>
      <c r="CA76" s="390">
        <f ca="1">IF($B$6="ON", IF(CA74&gt;=covid_start, IF(CA74&lt;covid_recovery,NA(),SUMIFS(INDIRECT("Data_main"&amp;"["&amp;CA$8&amp;"]"),Data_main[Data],$A76, Data_main[Segment],$B76, Data_main[Scenario],$B$3)),SUMIFS(INDIRECT("Data_main"&amp;"["&amp;CA$8&amp;"]"),Data_main[Data],$A76, Data_main[Segment],$B76, Data_main[Scenario],$B$3)),SUMIFS(INDIRECT("Data_main"&amp;"["&amp;CA$8&amp;"]"),Data_main[Data],$A76, Data_main[Segment],$B76, Data_main[Scenario],$B$3))</f>
        <v>0</v>
      </c>
      <c r="CB76" s="390">
        <f ca="1">IF($B$6="ON", IF(CB74&gt;=covid_start, IF(CB74&lt;covid_recovery,NA(),SUMIFS(INDIRECT("Data_main"&amp;"["&amp;CB$8&amp;"]"),Data_main[Data],$A76, Data_main[Segment],$B76, Data_main[Scenario],$B$3)),SUMIFS(INDIRECT("Data_main"&amp;"["&amp;CB$8&amp;"]"),Data_main[Data],$A76, Data_main[Segment],$B76, Data_main[Scenario],$B$3)),SUMIFS(INDIRECT("Data_main"&amp;"["&amp;CB$8&amp;"]"),Data_main[Data],$A76, Data_main[Segment],$B76, Data_main[Scenario],$B$3))</f>
        <v>0</v>
      </c>
      <c r="CC76" s="390">
        <f ca="1">IF($B$6="ON", IF(CC74&gt;=covid_start, IF(CC74&lt;covid_recovery,NA(),SUMIFS(INDIRECT("Data_main"&amp;"["&amp;CC$8&amp;"]"),Data_main[Data],$A76, Data_main[Segment],$B76, Data_main[Scenario],$B$3)),SUMIFS(INDIRECT("Data_main"&amp;"["&amp;CC$8&amp;"]"),Data_main[Data],$A76, Data_main[Segment],$B76, Data_main[Scenario],$B$3)),SUMIFS(INDIRECT("Data_main"&amp;"["&amp;CC$8&amp;"]"),Data_main[Data],$A76, Data_main[Segment],$B76, Data_main[Scenario],$B$3))</f>
        <v>0</v>
      </c>
      <c r="CD76" s="390">
        <f ca="1">IF($B$6="ON", IF(CD74&gt;=covid_start, IF(CD74&lt;covid_recovery,NA(),SUMIFS(INDIRECT("Data_main"&amp;"["&amp;CD$8&amp;"]"),Data_main[Data],$A76, Data_main[Segment],$B76, Data_main[Scenario],$B$3)),SUMIFS(INDIRECT("Data_main"&amp;"["&amp;CD$8&amp;"]"),Data_main[Data],$A76, Data_main[Segment],$B76, Data_main[Scenario],$B$3)),SUMIFS(INDIRECT("Data_main"&amp;"["&amp;CD$8&amp;"]"),Data_main[Data],$A76, Data_main[Segment],$B76, Data_main[Scenario],$B$3))</f>
        <v>0</v>
      </c>
      <c r="CE76" s="390">
        <f ca="1">IF($B$6="ON", IF(CE74&gt;=covid_start, IF(CE74&lt;covid_recovery,NA(),SUMIFS(INDIRECT("Data_main"&amp;"["&amp;CE$8&amp;"]"),Data_main[Data],$A76, Data_main[Segment],$B76, Data_main[Scenario],$B$3)),SUMIFS(INDIRECT("Data_main"&amp;"["&amp;CE$8&amp;"]"),Data_main[Data],$A76, Data_main[Segment],$B76, Data_main[Scenario],$B$3)),SUMIFS(INDIRECT("Data_main"&amp;"["&amp;CE$8&amp;"]"),Data_main[Data],$A76, Data_main[Segment],$B76, Data_main[Scenario],$B$3))</f>
        <v>0</v>
      </c>
      <c r="CF76" s="390">
        <f ca="1">IF($B$6="ON", IF(CF74&gt;=covid_start, IF(CF74&lt;covid_recovery,NA(),SUMIFS(INDIRECT("Data_main"&amp;"["&amp;CF$8&amp;"]"),Data_main[Data],$A76, Data_main[Segment],$B76, Data_main[Scenario],$B$3)),SUMIFS(INDIRECT("Data_main"&amp;"["&amp;CF$8&amp;"]"),Data_main[Data],$A76, Data_main[Segment],$B76, Data_main[Scenario],$B$3)),SUMIFS(INDIRECT("Data_main"&amp;"["&amp;CF$8&amp;"]"),Data_main[Data],$A76, Data_main[Segment],$B76, Data_main[Scenario],$B$3))</f>
        <v>0</v>
      </c>
      <c r="CG76" s="390">
        <f ca="1">IF($B$6="ON", IF(CG74&gt;=covid_start, IF(CG74&lt;covid_recovery,NA(),SUMIFS(INDIRECT("Data_main"&amp;"["&amp;CG$8&amp;"]"),Data_main[Data],$A76, Data_main[Segment],$B76, Data_main[Scenario],$B$3)),SUMIFS(INDIRECT("Data_main"&amp;"["&amp;CG$8&amp;"]"),Data_main[Data],$A76, Data_main[Segment],$B76, Data_main[Scenario],$B$3)),SUMIFS(INDIRECT("Data_main"&amp;"["&amp;CG$8&amp;"]"),Data_main[Data],$A76, Data_main[Segment],$B76, Data_main[Scenario],$B$3))</f>
        <v>0</v>
      </c>
      <c r="CH76" s="390">
        <f ca="1">IF($B$6="ON", IF(CH74&gt;=covid_start, IF(CH74&lt;covid_recovery,NA(),SUMIFS(INDIRECT("Data_main"&amp;"["&amp;CH$8&amp;"]"),Data_main[Data],$A76, Data_main[Segment],$B76, Data_main[Scenario],$B$3)),SUMIFS(INDIRECT("Data_main"&amp;"["&amp;CH$8&amp;"]"),Data_main[Data],$A76, Data_main[Segment],$B76, Data_main[Scenario],$B$3)),SUMIFS(INDIRECT("Data_main"&amp;"["&amp;CH$8&amp;"]"),Data_main[Data],$A76, Data_main[Segment],$B76, Data_main[Scenario],$B$3))</f>
        <v>0</v>
      </c>
      <c r="CI76" s="390">
        <f ca="1">IF($B$6="ON", IF(CI74&gt;=covid_start, IF(CI74&lt;covid_recovery,NA(),SUMIFS(INDIRECT("Data_main"&amp;"["&amp;CI$8&amp;"]"),Data_main[Data],$A76, Data_main[Segment],$B76, Data_main[Scenario],$B$3)),SUMIFS(INDIRECT("Data_main"&amp;"["&amp;CI$8&amp;"]"),Data_main[Data],$A76, Data_main[Segment],$B76, Data_main[Scenario],$B$3)),SUMIFS(INDIRECT("Data_main"&amp;"["&amp;CI$8&amp;"]"),Data_main[Data],$A76, Data_main[Segment],$B76, Data_main[Scenario],$B$3))</f>
        <v>0</v>
      </c>
      <c r="CJ76" s="390">
        <f ca="1">IF($B$6="ON", IF(CJ74&gt;=covid_start, IF(CJ74&lt;covid_recovery,NA(),SUMIFS(INDIRECT("Data_main"&amp;"["&amp;CJ$8&amp;"]"),Data_main[Data],$A76, Data_main[Segment],$B76, Data_main[Scenario],$B$3)),SUMIFS(INDIRECT("Data_main"&amp;"["&amp;CJ$8&amp;"]"),Data_main[Data],$A76, Data_main[Segment],$B76, Data_main[Scenario],$B$3)),SUMIFS(INDIRECT("Data_main"&amp;"["&amp;CJ$8&amp;"]"),Data_main[Data],$A76, Data_main[Segment],$B76, Data_main[Scenario],$B$3))</f>
        <v>0</v>
      </c>
      <c r="CK76" s="390">
        <f ca="1">IF($B$6="ON", IF(CK74&gt;=covid_start, IF(CK74&lt;covid_recovery,NA(),SUMIFS(INDIRECT("Data_main"&amp;"["&amp;CK$8&amp;"]"),Data_main[Data],$A76, Data_main[Segment],$B76, Data_main[Scenario],$B$3)),SUMIFS(INDIRECT("Data_main"&amp;"["&amp;CK$8&amp;"]"),Data_main[Data],$A76, Data_main[Segment],$B76, Data_main[Scenario],$B$3)),SUMIFS(INDIRECT("Data_main"&amp;"["&amp;CK$8&amp;"]"),Data_main[Data],$A76, Data_main[Segment],$B76, Data_main[Scenario],$B$3))</f>
        <v>0</v>
      </c>
      <c r="CL76" s="390">
        <f ca="1">IF($B$6="ON", IF(CL74&gt;=covid_start, IF(CL74&lt;covid_recovery,NA(),SUMIFS(INDIRECT("Data_main"&amp;"["&amp;CL$8&amp;"]"),Data_main[Data],$A76, Data_main[Segment],$B76, Data_main[Scenario],$B$3)),SUMIFS(INDIRECT("Data_main"&amp;"["&amp;CL$8&amp;"]"),Data_main[Data],$A76, Data_main[Segment],$B76, Data_main[Scenario],$B$3)),SUMIFS(INDIRECT("Data_main"&amp;"["&amp;CL$8&amp;"]"),Data_main[Data],$A76, Data_main[Segment],$B76, Data_main[Scenario],$B$3))</f>
        <v>0</v>
      </c>
      <c r="CN76" s="391">
        <f ca="1">IFERROR((Y76/H76)^(1/17)-1,"")</f>
        <v>2.8214093836832044E-2</v>
      </c>
      <c r="CO76" s="391">
        <f ca="1">IFERROR((AN76/Y76)^(1/15)-1,"")</f>
        <v>2.6246157058246178E-2</v>
      </c>
      <c r="CP76" s="391">
        <f ca="1">IFERROR((AN76/H76)^(1/32)-1,"")</f>
        <v>2.7291154038961096E-2</v>
      </c>
    </row>
    <row r="77" spans="1:94" hidden="1" outlineLevel="1">
      <c r="A77" s="392" t="s">
        <v>158</v>
      </c>
      <c r="B77" s="392" t="str">
        <f t="shared" si="705"/>
        <v>Pax-long</v>
      </c>
      <c r="C77" s="393" t="s">
        <v>354</v>
      </c>
      <c r="D77" s="389" t="s">
        <v>355</v>
      </c>
      <c r="E77" s="390">
        <f ca="1">'SDS Calc'!E77</f>
        <v>1096.0396793216892</v>
      </c>
      <c r="F77" s="531">
        <f ca="1">'SDS Calc'!F77</f>
        <v>1075.2751494415108</v>
      </c>
      <c r="G77" s="531">
        <f ca="1">'SDS Calc'!G77</f>
        <v>1057.1446938529884</v>
      </c>
      <c r="H77" s="531">
        <f ca="1">'SDS Calc'!H77</f>
        <v>1041.1769908854865</v>
      </c>
      <c r="I77" s="531">
        <f ca="1">'SDS Calc'!I77</f>
        <v>1019.4512923512447</v>
      </c>
      <c r="J77" s="531" t="e">
        <f ca="1">'SDS Calc'!J77</f>
        <v>#N/A</v>
      </c>
      <c r="K77" s="531" t="e">
        <f ca="1">'SDS Calc'!K77</f>
        <v>#N/A</v>
      </c>
      <c r="L77" s="531" t="e">
        <f ca="1">'SDS Calc'!L77</f>
        <v>#N/A</v>
      </c>
      <c r="M77" s="531">
        <f ca="1">'SDS Calc'!M77</f>
        <v>887.79642890515197</v>
      </c>
      <c r="N77" s="531">
        <f ca="1">'SDS Calc'!N77</f>
        <v>859.48342258566197</v>
      </c>
      <c r="O77" s="531">
        <f ca="1">'SDS Calc'!O77</f>
        <v>832.71041113431227</v>
      </c>
      <c r="P77" s="531">
        <f ca="1">'SDS Calc'!P77</f>
        <v>807.3550765016679</v>
      </c>
      <c r="Q77" s="531">
        <f ca="1">'SDS Calc'!Q77</f>
        <v>783.30772041928174</v>
      </c>
      <c r="R77" s="531">
        <f ca="1">'SDS Calc'!R77</f>
        <v>760.46967781454384</v>
      </c>
      <c r="S77" s="531">
        <f ca="1">'SDS Calc'!S77</f>
        <v>738.75196371706863</v>
      </c>
      <c r="T77" s="531">
        <f ca="1">'SDS Calc'!T77</f>
        <v>718.07411452732924</v>
      </c>
      <c r="U77" s="531">
        <f ca="1">'SDS Calc'!U77</f>
        <v>689.59400272816458</v>
      </c>
      <c r="V77" s="531">
        <f ca="1">IF($B$6="ON", IF(V74&gt;=covid_start, IF(V74&lt;covid_recovery,NA(),SUMIFS(INDIRECT("Data_main"&amp;"["&amp;V$8&amp;"]"),Data_main[Data],$A77, Data_main[Segment],$B77, Data_main[Scenario],$B$3)),SUMIFS(INDIRECT("Data_main"&amp;"["&amp;V$8&amp;"]"),Data_main[Data],$A77, Data_main[Segment],$B77, Data_main[Scenario],$B$3)),SUMIFS(INDIRECT("Data_main"&amp;"["&amp;V$8&amp;"]"),Data_main[Data],$A77, Data_main[Segment],$B77, Data_main[Scenario],$B$3))</f>
        <v>645.38859475793447</v>
      </c>
      <c r="W77" s="390">
        <f ca="1">IF($B$6="ON", IF(W74&gt;=covid_start, IF(W74&lt;covid_recovery,NA(),SUMIFS(INDIRECT("Data_main"&amp;"["&amp;W$8&amp;"]"),Data_main[Data],$A77, Data_main[Segment],$B77, Data_main[Scenario],$B$3)),SUMIFS(INDIRECT("Data_main"&amp;"["&amp;W$8&amp;"]"),Data_main[Data],$A77, Data_main[Segment],$B77, Data_main[Scenario],$B$3)),SUMIFS(INDIRECT("Data_main"&amp;"["&amp;W$8&amp;"]"),Data_main[Data],$A77, Data_main[Segment],$B77, Data_main[Scenario],$B$3))</f>
        <v>601.25909262026914</v>
      </c>
      <c r="X77" s="390">
        <f ca="1">IF($B$6="ON", IF(X74&gt;=covid_start, IF(X74&lt;covid_recovery,NA(),SUMIFS(INDIRECT("Data_main"&amp;"["&amp;X$8&amp;"]"),Data_main[Data],$A77, Data_main[Segment],$B77, Data_main[Scenario],$B$3)),SUMIFS(INDIRECT("Data_main"&amp;"["&amp;X$8&amp;"]"),Data_main[Data],$A77, Data_main[Segment],$B77, Data_main[Scenario],$B$3)),SUMIFS(INDIRECT("Data_main"&amp;"["&amp;X$8&amp;"]"),Data_main[Data],$A77, Data_main[Segment],$B77, Data_main[Scenario],$B$3))</f>
        <v>558.60883137901624</v>
      </c>
      <c r="Y77" s="390">
        <f ca="1">IF($B$6="ON", IF(Y74&gt;=covid_start, IF(Y74&lt;covid_recovery,NA(),SUMIFS(INDIRECT("Data_main"&amp;"["&amp;Y$8&amp;"]"),Data_main[Data],$A77, Data_main[Segment],$B77, Data_main[Scenario],$B$3)),SUMIFS(INDIRECT("Data_main"&amp;"["&amp;Y$8&amp;"]"),Data_main[Data],$A77, Data_main[Segment],$B77, Data_main[Scenario],$B$3)),SUMIFS(INDIRECT("Data_main"&amp;"["&amp;Y$8&amp;"]"),Data_main[Data],$A77, Data_main[Segment],$B77, Data_main[Scenario],$B$3))</f>
        <v>506.30934461556944</v>
      </c>
      <c r="Z77" s="390">
        <f ca="1">IF($B$6="ON", IF(Z74&gt;=covid_start, IF(Z74&lt;covid_recovery,NA(),SUMIFS(INDIRECT("Data_main"&amp;"["&amp;Z$8&amp;"]"),Data_main[Data],$A77, Data_main[Segment],$B77, Data_main[Scenario],$B$3)),SUMIFS(INDIRECT("Data_main"&amp;"["&amp;Z$8&amp;"]"),Data_main[Data],$A77, Data_main[Segment],$B77, Data_main[Scenario],$B$3)),SUMIFS(INDIRECT("Data_main"&amp;"["&amp;Z$8&amp;"]"),Data_main[Data],$A77, Data_main[Segment],$B77, Data_main[Scenario],$B$3))</f>
        <v>455.49305683097293</v>
      </c>
      <c r="AA77" s="390">
        <f ca="1">IF($B$6="ON", IF(AA74&gt;=covid_start, IF(AA74&lt;covid_recovery,NA(),SUMIFS(INDIRECT("Data_main"&amp;"["&amp;AA$8&amp;"]"),Data_main[Data],$A77, Data_main[Segment],$B77, Data_main[Scenario],$B$3)),SUMIFS(INDIRECT("Data_main"&amp;"["&amp;AA$8&amp;"]"),Data_main[Data],$A77, Data_main[Segment],$B77, Data_main[Scenario],$B$3)),SUMIFS(INDIRECT("Data_main"&amp;"["&amp;AA$8&amp;"]"),Data_main[Data],$A77, Data_main[Segment],$B77, Data_main[Scenario],$B$3))</f>
        <v>406.9653729079867</v>
      </c>
      <c r="AB77" s="390">
        <f ca="1">IF($B$6="ON", IF(AB74&gt;=covid_start, IF(AB74&lt;covid_recovery,NA(),SUMIFS(INDIRECT("Data_main"&amp;"["&amp;AB$8&amp;"]"),Data_main[Data],$A77, Data_main[Segment],$B77, Data_main[Scenario],$B$3)),SUMIFS(INDIRECT("Data_main"&amp;"["&amp;AB$8&amp;"]"),Data_main[Data],$A77, Data_main[Segment],$B77, Data_main[Scenario],$B$3)),SUMIFS(INDIRECT("Data_main"&amp;"["&amp;AB$8&amp;"]"),Data_main[Data],$A77, Data_main[Segment],$B77, Data_main[Scenario],$B$3))</f>
        <v>360.8064339984648</v>
      </c>
      <c r="AC77" s="390">
        <f ca="1">IF($B$6="ON", IF(AC74&gt;=covid_start, IF(AC74&lt;covid_recovery,NA(),SUMIFS(INDIRECT("Data_main"&amp;"["&amp;AC$8&amp;"]"),Data_main[Data],$A77, Data_main[Segment],$B77, Data_main[Scenario],$B$3)),SUMIFS(INDIRECT("Data_main"&amp;"["&amp;AC$8&amp;"]"),Data_main[Data],$A77, Data_main[Segment],$B77, Data_main[Scenario],$B$3)),SUMIFS(INDIRECT("Data_main"&amp;"["&amp;AC$8&amp;"]"),Data_main[Data],$A77, Data_main[Segment],$B77, Data_main[Scenario],$B$3))</f>
        <v>317.07777290038342</v>
      </c>
      <c r="AD77" s="390">
        <f ca="1">IF($B$6="ON", IF(AD74&gt;=covid_start, IF(AD74&lt;covid_recovery,NA(),SUMIFS(INDIRECT("Data_main"&amp;"["&amp;AD$8&amp;"]"),Data_main[Data],$A77, Data_main[Segment],$B77, Data_main[Scenario],$B$3)),SUMIFS(INDIRECT("Data_main"&amp;"["&amp;AD$8&amp;"]"),Data_main[Data],$A77, Data_main[Segment],$B77, Data_main[Scenario],$B$3)),SUMIFS(INDIRECT("Data_main"&amp;"["&amp;AD$8&amp;"]"),Data_main[Data],$A77, Data_main[Segment],$B77, Data_main[Scenario],$B$3))</f>
        <v>275.78060750483019</v>
      </c>
      <c r="AE77" s="390">
        <f ca="1">IF($B$6="ON", IF(AE74&gt;=covid_start, IF(AE74&lt;covid_recovery,NA(),SUMIFS(INDIRECT("Data_main"&amp;"["&amp;AE$8&amp;"]"),Data_main[Data],$A77, Data_main[Segment],$B77, Data_main[Scenario],$B$3)),SUMIFS(INDIRECT("Data_main"&amp;"["&amp;AE$8&amp;"]"),Data_main[Data],$A77, Data_main[Segment],$B77, Data_main[Scenario],$B$3)),SUMIFS(INDIRECT("Data_main"&amp;"["&amp;AE$8&amp;"]"),Data_main[Data],$A77, Data_main[Segment],$B77, Data_main[Scenario],$B$3))</f>
        <v>240.28026861098257</v>
      </c>
      <c r="AF77" s="390">
        <f ca="1">IF($B$6="ON", IF(AF74&gt;=covid_start, IF(AF74&lt;covid_recovery,NA(),SUMIFS(INDIRECT("Data_main"&amp;"["&amp;AF$8&amp;"]"),Data_main[Data],$A77, Data_main[Segment],$B77, Data_main[Scenario],$B$3)),SUMIFS(INDIRECT("Data_main"&amp;"["&amp;AF$8&amp;"]"),Data_main[Data],$A77, Data_main[Segment],$B77, Data_main[Scenario],$B$3)),SUMIFS(INDIRECT("Data_main"&amp;"["&amp;AF$8&amp;"]"),Data_main[Data],$A77, Data_main[Segment],$B77, Data_main[Scenario],$B$3))</f>
        <v>206.85580398285825</v>
      </c>
      <c r="AG77" s="390">
        <f ca="1">IF($B$6="ON", IF(AG74&gt;=covid_start, IF(AG74&lt;covid_recovery,NA(),SUMIFS(INDIRECT("Data_main"&amp;"["&amp;AG$8&amp;"]"),Data_main[Data],$A77, Data_main[Segment],$B77, Data_main[Scenario],$B$3)),SUMIFS(INDIRECT("Data_main"&amp;"["&amp;AG$8&amp;"]"),Data_main[Data],$A77, Data_main[Segment],$B77, Data_main[Scenario],$B$3)),SUMIFS(INDIRECT("Data_main"&amp;"["&amp;AG$8&amp;"]"),Data_main[Data],$A77, Data_main[Segment],$B77, Data_main[Scenario],$B$3))</f>
        <v>175.34148702202853</v>
      </c>
      <c r="AH77" s="390">
        <f ca="1">IF($B$6="ON", IF(AH74&gt;=covid_start, IF(AH74&lt;covid_recovery,NA(),SUMIFS(INDIRECT("Data_main"&amp;"["&amp;AH$8&amp;"]"),Data_main[Data],$A77, Data_main[Segment],$B77, Data_main[Scenario],$B$3)),SUMIFS(INDIRECT("Data_main"&amp;"["&amp;AH$8&amp;"]"),Data_main[Data],$A77, Data_main[Segment],$B77, Data_main[Scenario],$B$3)),SUMIFS(INDIRECT("Data_main"&amp;"["&amp;AH$8&amp;"]"),Data_main[Data],$A77, Data_main[Segment],$B77, Data_main[Scenario],$B$3))</f>
        <v>145.54997315769481</v>
      </c>
      <c r="AI77" s="390">
        <f ca="1">IF($B$6="ON", IF(AI74&gt;=covid_start, IF(AI74&lt;covid_recovery,NA(),SUMIFS(INDIRECT("Data_main"&amp;"["&amp;AI$8&amp;"]"),Data_main[Data],$A77, Data_main[Segment],$B77, Data_main[Scenario],$B$3)),SUMIFS(INDIRECT("Data_main"&amp;"["&amp;AI$8&amp;"]"),Data_main[Data],$A77, Data_main[Segment],$B77, Data_main[Scenario],$B$3)),SUMIFS(INDIRECT("Data_main"&amp;"["&amp;AI$8&amp;"]"),Data_main[Data],$A77, Data_main[Segment],$B77, Data_main[Scenario],$B$3))</f>
        <v>117.28995721512264</v>
      </c>
      <c r="AJ77" s="390">
        <f ca="1">IF($B$6="ON", IF(AJ74&gt;=covid_start, IF(AJ74&lt;covid_recovery,NA(),SUMIFS(INDIRECT("Data_main"&amp;"["&amp;AJ$8&amp;"]"),Data_main[Data],$A77, Data_main[Segment],$B77, Data_main[Scenario],$B$3)),SUMIFS(INDIRECT("Data_main"&amp;"["&amp;AJ$8&amp;"]"),Data_main[Data],$A77, Data_main[Segment],$B77, Data_main[Scenario],$B$3)),SUMIFS(INDIRECT("Data_main"&amp;"["&amp;AJ$8&amp;"]"),Data_main[Data],$A77, Data_main[Segment],$B77, Data_main[Scenario],$B$3))</f>
        <v>90.126249911503777</v>
      </c>
      <c r="AK77" s="390">
        <f ca="1">IF($B$6="ON", IF(AK74&gt;=covid_start, IF(AK74&lt;covid_recovery,NA(),SUMIFS(INDIRECT("Data_main"&amp;"["&amp;AK$8&amp;"]"),Data_main[Data],$A77, Data_main[Segment],$B77, Data_main[Scenario],$B$3)),SUMIFS(INDIRECT("Data_main"&amp;"["&amp;AK$8&amp;"]"),Data_main[Data],$A77, Data_main[Segment],$B77, Data_main[Scenario],$B$3)),SUMIFS(INDIRECT("Data_main"&amp;"["&amp;AK$8&amp;"]"),Data_main[Data],$A77, Data_main[Segment],$B77, Data_main[Scenario],$B$3))</f>
        <v>64.17147269634512</v>
      </c>
      <c r="AL77" s="390">
        <f ca="1">IF($B$6="ON", IF(AL74&gt;=covid_start, IF(AL74&lt;covid_recovery,NA(),SUMIFS(INDIRECT("Data_main"&amp;"["&amp;AL$8&amp;"]"),Data_main[Data],$A77, Data_main[Segment],$B77, Data_main[Scenario],$B$3)),SUMIFS(INDIRECT("Data_main"&amp;"["&amp;AL$8&amp;"]"),Data_main[Data],$A77, Data_main[Segment],$B77, Data_main[Scenario],$B$3)),SUMIFS(INDIRECT("Data_main"&amp;"["&amp;AL$8&amp;"]"),Data_main[Data],$A77, Data_main[Segment],$B77, Data_main[Scenario],$B$3))</f>
        <v>39.292137729352461</v>
      </c>
      <c r="AM77" s="390">
        <f ca="1">IF($B$6="ON", IF(AM74&gt;=covid_start, IF(AM74&lt;covid_recovery,NA(),SUMIFS(INDIRECT("Data_main"&amp;"["&amp;AM$8&amp;"]"),Data_main[Data],$A77, Data_main[Segment],$B77, Data_main[Scenario],$B$3)),SUMIFS(INDIRECT("Data_main"&amp;"["&amp;AM$8&amp;"]"),Data_main[Data],$A77, Data_main[Segment],$B77, Data_main[Scenario],$B$3)),SUMIFS(INDIRECT("Data_main"&amp;"["&amp;AM$8&amp;"]"),Data_main[Data],$A77, Data_main[Segment],$B77, Data_main[Scenario],$B$3))</f>
        <v>30.472369745491687</v>
      </c>
      <c r="AN77" s="390">
        <f ca="1">IF($B$6="ON", IF(AN74&gt;=covid_start, IF(AN74&lt;covid_recovery,NA(),SUMIFS(INDIRECT("Data_main"&amp;"["&amp;AN$8&amp;"]"),Data_main[Data],$A77, Data_main[Segment],$B77, Data_main[Scenario],$B$3)),SUMIFS(INDIRECT("Data_main"&amp;"["&amp;AN$8&amp;"]"),Data_main[Data],$A77, Data_main[Segment],$B77, Data_main[Scenario],$B$3)),SUMIFS(INDIRECT("Data_main"&amp;"["&amp;AN$8&amp;"]"),Data_main[Data],$A77, Data_main[Segment],$B77, Data_main[Scenario],$B$3))</f>
        <v>26.091664201540663</v>
      </c>
      <c r="AO77" s="390">
        <f ca="1">IF($B$6="ON", IF(AO74&gt;=covid_start, IF(AO74&lt;covid_recovery,NA(),SUMIFS(INDIRECT("Data_main"&amp;"["&amp;AO$8&amp;"]"),Data_main[Data],$A77, Data_main[Segment],$B77, Data_main[Scenario],$B$3)),SUMIFS(INDIRECT("Data_main"&amp;"["&amp;AO$8&amp;"]"),Data_main[Data],$A77, Data_main[Segment],$B77, Data_main[Scenario],$B$3)),SUMIFS(INDIRECT("Data_main"&amp;"["&amp;AO$8&amp;"]"),Data_main[Data],$A77, Data_main[Segment],$B77, Data_main[Scenario],$B$3))</f>
        <v>0</v>
      </c>
      <c r="AP77" s="390">
        <f ca="1">IF($B$6="ON", IF(AP74&gt;=covid_start, IF(AP74&lt;covid_recovery,NA(),SUMIFS(INDIRECT("Data_main"&amp;"["&amp;AP$8&amp;"]"),Data_main[Data],$A77, Data_main[Segment],$B77, Data_main[Scenario],$B$3)),SUMIFS(INDIRECT("Data_main"&amp;"["&amp;AP$8&amp;"]"),Data_main[Data],$A77, Data_main[Segment],$B77, Data_main[Scenario],$B$3)),SUMIFS(INDIRECT("Data_main"&amp;"["&amp;AP$8&amp;"]"),Data_main[Data],$A77, Data_main[Segment],$B77, Data_main[Scenario],$B$3))</f>
        <v>0</v>
      </c>
      <c r="AQ77" s="390">
        <f ca="1">IF($B$6="ON", IF(AQ74&gt;=covid_start, IF(AQ74&lt;covid_recovery,NA(),SUMIFS(INDIRECT("Data_main"&amp;"["&amp;AQ$8&amp;"]"),Data_main[Data],$A77, Data_main[Segment],$B77, Data_main[Scenario],$B$3)),SUMIFS(INDIRECT("Data_main"&amp;"["&amp;AQ$8&amp;"]"),Data_main[Data],$A77, Data_main[Segment],$B77, Data_main[Scenario],$B$3)),SUMIFS(INDIRECT("Data_main"&amp;"["&amp;AQ$8&amp;"]"),Data_main[Data],$A77, Data_main[Segment],$B77, Data_main[Scenario],$B$3))</f>
        <v>0</v>
      </c>
      <c r="AR77" s="390">
        <f ca="1">IF($B$6="ON", IF(AR74&gt;=covid_start, IF(AR74&lt;covid_recovery,NA(),SUMIFS(INDIRECT("Data_main"&amp;"["&amp;AR$8&amp;"]"),Data_main[Data],$A77, Data_main[Segment],$B77, Data_main[Scenario],$B$3)),SUMIFS(INDIRECT("Data_main"&amp;"["&amp;AR$8&amp;"]"),Data_main[Data],$A77, Data_main[Segment],$B77, Data_main[Scenario],$B$3)),SUMIFS(INDIRECT("Data_main"&amp;"["&amp;AR$8&amp;"]"),Data_main[Data],$A77, Data_main[Segment],$B77, Data_main[Scenario],$B$3))</f>
        <v>0</v>
      </c>
      <c r="AS77" s="390">
        <f ca="1">IF($B$6="ON", IF(AS74&gt;=covid_start, IF(AS74&lt;covid_recovery,NA(),SUMIFS(INDIRECT("Data_main"&amp;"["&amp;AS$8&amp;"]"),Data_main[Data],$A77, Data_main[Segment],$B77, Data_main[Scenario],$B$3)),SUMIFS(INDIRECT("Data_main"&amp;"["&amp;AS$8&amp;"]"),Data_main[Data],$A77, Data_main[Segment],$B77, Data_main[Scenario],$B$3)),SUMIFS(INDIRECT("Data_main"&amp;"["&amp;AS$8&amp;"]"),Data_main[Data],$A77, Data_main[Segment],$B77, Data_main[Scenario],$B$3))</f>
        <v>0</v>
      </c>
      <c r="AT77" s="390">
        <f ca="1">IF($B$6="ON", IF(AT74&gt;=covid_start, IF(AT74&lt;covid_recovery,NA(),SUMIFS(INDIRECT("Data_main"&amp;"["&amp;AT$8&amp;"]"),Data_main[Data],$A77, Data_main[Segment],$B77, Data_main[Scenario],$B$3)),SUMIFS(INDIRECT("Data_main"&amp;"["&amp;AT$8&amp;"]"),Data_main[Data],$A77, Data_main[Segment],$B77, Data_main[Scenario],$B$3)),SUMIFS(INDIRECT("Data_main"&amp;"["&amp;AT$8&amp;"]"),Data_main[Data],$A77, Data_main[Segment],$B77, Data_main[Scenario],$B$3))</f>
        <v>0</v>
      </c>
      <c r="AU77" s="390">
        <f ca="1">IF($B$6="ON", IF(AU74&gt;=covid_start, IF(AU74&lt;covid_recovery,NA(),SUMIFS(INDIRECT("Data_main"&amp;"["&amp;AU$8&amp;"]"),Data_main[Data],$A77, Data_main[Segment],$B77, Data_main[Scenario],$B$3)),SUMIFS(INDIRECT("Data_main"&amp;"["&amp;AU$8&amp;"]"),Data_main[Data],$A77, Data_main[Segment],$B77, Data_main[Scenario],$B$3)),SUMIFS(INDIRECT("Data_main"&amp;"["&amp;AU$8&amp;"]"),Data_main[Data],$A77, Data_main[Segment],$B77, Data_main[Scenario],$B$3))</f>
        <v>0</v>
      </c>
      <c r="AV77" s="390">
        <f ca="1">IF($B$6="ON", IF(AV74&gt;=covid_start, IF(AV74&lt;covid_recovery,NA(),SUMIFS(INDIRECT("Data_main"&amp;"["&amp;AV$8&amp;"]"),Data_main[Data],$A77, Data_main[Segment],$B77, Data_main[Scenario],$B$3)),SUMIFS(INDIRECT("Data_main"&amp;"["&amp;AV$8&amp;"]"),Data_main[Data],$A77, Data_main[Segment],$B77, Data_main[Scenario],$B$3)),SUMIFS(INDIRECT("Data_main"&amp;"["&amp;AV$8&amp;"]"),Data_main[Data],$A77, Data_main[Segment],$B77, Data_main[Scenario],$B$3))</f>
        <v>0</v>
      </c>
      <c r="AW77" s="390">
        <f ca="1">IF($B$6="ON", IF(AW74&gt;=covid_start, IF(AW74&lt;covid_recovery,NA(),SUMIFS(INDIRECT("Data_main"&amp;"["&amp;AW$8&amp;"]"),Data_main[Data],$A77, Data_main[Segment],$B77, Data_main[Scenario],$B$3)),SUMIFS(INDIRECT("Data_main"&amp;"["&amp;AW$8&amp;"]"),Data_main[Data],$A77, Data_main[Segment],$B77, Data_main[Scenario],$B$3)),SUMIFS(INDIRECT("Data_main"&amp;"["&amp;AW$8&amp;"]"),Data_main[Data],$A77, Data_main[Segment],$B77, Data_main[Scenario],$B$3))</f>
        <v>0</v>
      </c>
      <c r="AX77" s="390">
        <f ca="1">IF($B$6="ON", IF(AX74&gt;=covid_start, IF(AX74&lt;covid_recovery,NA(),SUMIFS(INDIRECT("Data_main"&amp;"["&amp;AX$8&amp;"]"),Data_main[Data],$A77, Data_main[Segment],$B77, Data_main[Scenario],$B$3)),SUMIFS(INDIRECT("Data_main"&amp;"["&amp;AX$8&amp;"]"),Data_main[Data],$A77, Data_main[Segment],$B77, Data_main[Scenario],$B$3)),SUMIFS(INDIRECT("Data_main"&amp;"["&amp;AX$8&amp;"]"),Data_main[Data],$A77, Data_main[Segment],$B77, Data_main[Scenario],$B$3))</f>
        <v>0</v>
      </c>
      <c r="AY77" s="390">
        <f ca="1">IF($B$6="ON", IF(AY74&gt;=covid_start, IF(AY74&lt;covid_recovery,NA(),SUMIFS(INDIRECT("Data_main"&amp;"["&amp;AY$8&amp;"]"),Data_main[Data],$A77, Data_main[Segment],$B77, Data_main[Scenario],$B$3)),SUMIFS(INDIRECT("Data_main"&amp;"["&amp;AY$8&amp;"]"),Data_main[Data],$A77, Data_main[Segment],$B77, Data_main[Scenario],$B$3)),SUMIFS(INDIRECT("Data_main"&amp;"["&amp;AY$8&amp;"]"),Data_main[Data],$A77, Data_main[Segment],$B77, Data_main[Scenario],$B$3))</f>
        <v>0</v>
      </c>
      <c r="AZ77" s="390">
        <f ca="1">IF($B$6="ON", IF(AZ74&gt;=covid_start, IF(AZ74&lt;covid_recovery,NA(),SUMIFS(INDIRECT("Data_main"&amp;"["&amp;AZ$8&amp;"]"),Data_main[Data],$A77, Data_main[Segment],$B77, Data_main[Scenario],$B$3)),SUMIFS(INDIRECT("Data_main"&amp;"["&amp;AZ$8&amp;"]"),Data_main[Data],$A77, Data_main[Segment],$B77, Data_main[Scenario],$B$3)),SUMIFS(INDIRECT("Data_main"&amp;"["&amp;AZ$8&amp;"]"),Data_main[Data],$A77, Data_main[Segment],$B77, Data_main[Scenario],$B$3))</f>
        <v>0</v>
      </c>
      <c r="BA77" s="390">
        <f ca="1">IF($B$6="ON", IF(BA74&gt;=covid_start, IF(BA74&lt;covid_recovery,NA(),SUMIFS(INDIRECT("Data_main"&amp;"["&amp;BA$8&amp;"]"),Data_main[Data],$A77, Data_main[Segment],$B77, Data_main[Scenario],$B$3)),SUMIFS(INDIRECT("Data_main"&amp;"["&amp;BA$8&amp;"]"),Data_main[Data],$A77, Data_main[Segment],$B77, Data_main[Scenario],$B$3)),SUMIFS(INDIRECT("Data_main"&amp;"["&amp;BA$8&amp;"]"),Data_main[Data],$A77, Data_main[Segment],$B77, Data_main[Scenario],$B$3))</f>
        <v>0</v>
      </c>
      <c r="BB77" s="390">
        <f ca="1">IF($B$6="ON", IF(BB74&gt;=covid_start, IF(BB74&lt;covid_recovery,NA(),SUMIFS(INDIRECT("Data_main"&amp;"["&amp;BB$8&amp;"]"),Data_main[Data],$A77, Data_main[Segment],$B77, Data_main[Scenario],$B$3)),SUMIFS(INDIRECT("Data_main"&amp;"["&amp;BB$8&amp;"]"),Data_main[Data],$A77, Data_main[Segment],$B77, Data_main[Scenario],$B$3)),SUMIFS(INDIRECT("Data_main"&amp;"["&amp;BB$8&amp;"]"),Data_main[Data],$A77, Data_main[Segment],$B77, Data_main[Scenario],$B$3))</f>
        <v>0</v>
      </c>
      <c r="BC77" s="390">
        <f ca="1">IF($B$6="ON", IF(BC74&gt;=covid_start, IF(BC74&lt;covid_recovery,NA(),SUMIFS(INDIRECT("Data_main"&amp;"["&amp;BC$8&amp;"]"),Data_main[Data],$A77, Data_main[Segment],$B77, Data_main[Scenario],$B$3)),SUMIFS(INDIRECT("Data_main"&amp;"["&amp;BC$8&amp;"]"),Data_main[Data],$A77, Data_main[Segment],$B77, Data_main[Scenario],$B$3)),SUMIFS(INDIRECT("Data_main"&amp;"["&amp;BC$8&amp;"]"),Data_main[Data],$A77, Data_main[Segment],$B77, Data_main[Scenario],$B$3))</f>
        <v>0</v>
      </c>
      <c r="BD77" s="390">
        <f ca="1">IF($B$6="ON", IF(BD74&gt;=covid_start, IF(BD74&lt;covid_recovery,NA(),SUMIFS(INDIRECT("Data_main"&amp;"["&amp;BD$8&amp;"]"),Data_main[Data],$A77, Data_main[Segment],$B77, Data_main[Scenario],$B$3)),SUMIFS(INDIRECT("Data_main"&amp;"["&amp;BD$8&amp;"]"),Data_main[Data],$A77, Data_main[Segment],$B77, Data_main[Scenario],$B$3)),SUMIFS(INDIRECT("Data_main"&amp;"["&amp;BD$8&amp;"]"),Data_main[Data],$A77, Data_main[Segment],$B77, Data_main[Scenario],$B$3))</f>
        <v>0</v>
      </c>
      <c r="BE77" s="390">
        <f ca="1">IF($B$6="ON", IF(BE74&gt;=covid_start, IF(BE74&lt;covid_recovery,NA(),SUMIFS(INDIRECT("Data_main"&amp;"["&amp;BE$8&amp;"]"),Data_main[Data],$A77, Data_main[Segment],$B77, Data_main[Scenario],$B$3)),SUMIFS(INDIRECT("Data_main"&amp;"["&amp;BE$8&amp;"]"),Data_main[Data],$A77, Data_main[Segment],$B77, Data_main[Scenario],$B$3)),SUMIFS(INDIRECT("Data_main"&amp;"["&amp;BE$8&amp;"]"),Data_main[Data],$A77, Data_main[Segment],$B77, Data_main[Scenario],$B$3))</f>
        <v>0</v>
      </c>
      <c r="BF77" s="390">
        <f ca="1">IF($B$6="ON", IF(BF74&gt;=covid_start, IF(BF74&lt;covid_recovery,NA(),SUMIFS(INDIRECT("Data_main"&amp;"["&amp;BF$8&amp;"]"),Data_main[Data],$A77, Data_main[Segment],$B77, Data_main[Scenario],$B$3)),SUMIFS(INDIRECT("Data_main"&amp;"["&amp;BF$8&amp;"]"),Data_main[Data],$A77, Data_main[Segment],$B77, Data_main[Scenario],$B$3)),SUMIFS(INDIRECT("Data_main"&amp;"["&amp;BF$8&amp;"]"),Data_main[Data],$A77, Data_main[Segment],$B77, Data_main[Scenario],$B$3))</f>
        <v>0</v>
      </c>
      <c r="BG77" s="390">
        <f ca="1">IF($B$6="ON", IF(BG74&gt;=covid_start, IF(BG74&lt;covid_recovery,NA(),SUMIFS(INDIRECT("Data_main"&amp;"["&amp;BG$8&amp;"]"),Data_main[Data],$A77, Data_main[Segment],$B77, Data_main[Scenario],$B$3)),SUMIFS(INDIRECT("Data_main"&amp;"["&amp;BG$8&amp;"]"),Data_main[Data],$A77, Data_main[Segment],$B77, Data_main[Scenario],$B$3)),SUMIFS(INDIRECT("Data_main"&amp;"["&amp;BG$8&amp;"]"),Data_main[Data],$A77, Data_main[Segment],$B77, Data_main[Scenario],$B$3))</f>
        <v>0</v>
      </c>
      <c r="BH77" s="390">
        <f ca="1">IF($B$6="ON", IF(BH74&gt;=covid_start, IF(BH74&lt;covid_recovery,NA(),SUMIFS(INDIRECT("Data_main"&amp;"["&amp;BH$8&amp;"]"),Data_main[Data],$A77, Data_main[Segment],$B77, Data_main[Scenario],$B$3)),SUMIFS(INDIRECT("Data_main"&amp;"["&amp;BH$8&amp;"]"),Data_main[Data],$A77, Data_main[Segment],$B77, Data_main[Scenario],$B$3)),SUMIFS(INDIRECT("Data_main"&amp;"["&amp;BH$8&amp;"]"),Data_main[Data],$A77, Data_main[Segment],$B77, Data_main[Scenario],$B$3))</f>
        <v>0</v>
      </c>
      <c r="BI77" s="390">
        <f ca="1">IF($B$6="ON", IF(BI74&gt;=covid_start, IF(BI74&lt;covid_recovery,NA(),SUMIFS(INDIRECT("Data_main"&amp;"["&amp;BI$8&amp;"]"),Data_main[Data],$A77, Data_main[Segment],$B77, Data_main[Scenario],$B$3)),SUMIFS(INDIRECT("Data_main"&amp;"["&amp;BI$8&amp;"]"),Data_main[Data],$A77, Data_main[Segment],$B77, Data_main[Scenario],$B$3)),SUMIFS(INDIRECT("Data_main"&amp;"["&amp;BI$8&amp;"]"),Data_main[Data],$A77, Data_main[Segment],$B77, Data_main[Scenario],$B$3))</f>
        <v>0</v>
      </c>
      <c r="BJ77" s="390">
        <f ca="1">IF($B$6="ON", IF(BJ74&gt;=covid_start, IF(BJ74&lt;covid_recovery,NA(),SUMIFS(INDIRECT("Data_main"&amp;"["&amp;BJ$8&amp;"]"),Data_main[Data],$A77, Data_main[Segment],$B77, Data_main[Scenario],$B$3)),SUMIFS(INDIRECT("Data_main"&amp;"["&amp;BJ$8&amp;"]"),Data_main[Data],$A77, Data_main[Segment],$B77, Data_main[Scenario],$B$3)),SUMIFS(INDIRECT("Data_main"&amp;"["&amp;BJ$8&amp;"]"),Data_main[Data],$A77, Data_main[Segment],$B77, Data_main[Scenario],$B$3))</f>
        <v>0</v>
      </c>
      <c r="BK77" s="390">
        <f ca="1">IF($B$6="ON", IF(BK74&gt;=covid_start, IF(BK74&lt;covid_recovery,NA(),SUMIFS(INDIRECT("Data_main"&amp;"["&amp;BK$8&amp;"]"),Data_main[Data],$A77, Data_main[Segment],$B77, Data_main[Scenario],$B$3)),SUMIFS(INDIRECT("Data_main"&amp;"["&amp;BK$8&amp;"]"),Data_main[Data],$A77, Data_main[Segment],$B77, Data_main[Scenario],$B$3)),SUMIFS(INDIRECT("Data_main"&amp;"["&amp;BK$8&amp;"]"),Data_main[Data],$A77, Data_main[Segment],$B77, Data_main[Scenario],$B$3))</f>
        <v>0</v>
      </c>
      <c r="BL77" s="390">
        <f ca="1">IF($B$6="ON", IF(BL74&gt;=covid_start, IF(BL74&lt;covid_recovery,NA(),SUMIFS(INDIRECT("Data_main"&amp;"["&amp;BL$8&amp;"]"),Data_main[Data],$A77, Data_main[Segment],$B77, Data_main[Scenario],$B$3)),SUMIFS(INDIRECT("Data_main"&amp;"["&amp;BL$8&amp;"]"),Data_main[Data],$A77, Data_main[Segment],$B77, Data_main[Scenario],$B$3)),SUMIFS(INDIRECT("Data_main"&amp;"["&amp;BL$8&amp;"]"),Data_main[Data],$A77, Data_main[Segment],$B77, Data_main[Scenario],$B$3))</f>
        <v>0</v>
      </c>
      <c r="BM77" s="390">
        <f ca="1">IF($B$6="ON", IF(BM74&gt;=covid_start, IF(BM74&lt;covid_recovery,NA(),SUMIFS(INDIRECT("Data_main"&amp;"["&amp;BM$8&amp;"]"),Data_main[Data],$A77, Data_main[Segment],$B77, Data_main[Scenario],$B$3)),SUMIFS(INDIRECT("Data_main"&amp;"["&amp;BM$8&amp;"]"),Data_main[Data],$A77, Data_main[Segment],$B77, Data_main[Scenario],$B$3)),SUMIFS(INDIRECT("Data_main"&amp;"["&amp;BM$8&amp;"]"),Data_main[Data],$A77, Data_main[Segment],$B77, Data_main[Scenario],$B$3))</f>
        <v>0</v>
      </c>
      <c r="BN77" s="390">
        <f ca="1">IF($B$6="ON", IF(BN74&gt;=covid_start, IF(BN74&lt;covid_recovery,NA(),SUMIFS(INDIRECT("Data_main"&amp;"["&amp;BN$8&amp;"]"),Data_main[Data],$A77, Data_main[Segment],$B77, Data_main[Scenario],$B$3)),SUMIFS(INDIRECT("Data_main"&amp;"["&amp;BN$8&amp;"]"),Data_main[Data],$A77, Data_main[Segment],$B77, Data_main[Scenario],$B$3)),SUMIFS(INDIRECT("Data_main"&amp;"["&amp;BN$8&amp;"]"),Data_main[Data],$A77, Data_main[Segment],$B77, Data_main[Scenario],$B$3))</f>
        <v>0</v>
      </c>
      <c r="BO77" s="390">
        <f ca="1">IF($B$6="ON", IF(BO74&gt;=covid_start, IF(BO74&lt;covid_recovery,NA(),SUMIFS(INDIRECT("Data_main"&amp;"["&amp;BO$8&amp;"]"),Data_main[Data],$A77, Data_main[Segment],$B77, Data_main[Scenario],$B$3)),SUMIFS(INDIRECT("Data_main"&amp;"["&amp;BO$8&amp;"]"),Data_main[Data],$A77, Data_main[Segment],$B77, Data_main[Scenario],$B$3)),SUMIFS(INDIRECT("Data_main"&amp;"["&amp;BO$8&amp;"]"),Data_main[Data],$A77, Data_main[Segment],$B77, Data_main[Scenario],$B$3))</f>
        <v>0</v>
      </c>
      <c r="BP77" s="390">
        <f ca="1">IF($B$6="ON", IF(BP74&gt;=covid_start, IF(BP74&lt;covid_recovery,NA(),SUMIFS(INDIRECT("Data_main"&amp;"["&amp;BP$8&amp;"]"),Data_main[Data],$A77, Data_main[Segment],$B77, Data_main[Scenario],$B$3)),SUMIFS(INDIRECT("Data_main"&amp;"["&amp;BP$8&amp;"]"),Data_main[Data],$A77, Data_main[Segment],$B77, Data_main[Scenario],$B$3)),SUMIFS(INDIRECT("Data_main"&amp;"["&amp;BP$8&amp;"]"),Data_main[Data],$A77, Data_main[Segment],$B77, Data_main[Scenario],$B$3))</f>
        <v>0</v>
      </c>
      <c r="BQ77" s="390">
        <f ca="1">IF($B$6="ON", IF(BQ74&gt;=covid_start, IF(BQ74&lt;covid_recovery,NA(),SUMIFS(INDIRECT("Data_main"&amp;"["&amp;BQ$8&amp;"]"),Data_main[Data],$A77, Data_main[Segment],$B77, Data_main[Scenario],$B$3)),SUMIFS(INDIRECT("Data_main"&amp;"["&amp;BQ$8&amp;"]"),Data_main[Data],$A77, Data_main[Segment],$B77, Data_main[Scenario],$B$3)),SUMIFS(INDIRECT("Data_main"&amp;"["&amp;BQ$8&amp;"]"),Data_main[Data],$A77, Data_main[Segment],$B77, Data_main[Scenario],$B$3))</f>
        <v>0</v>
      </c>
      <c r="BR77" s="390">
        <f ca="1">IF($B$6="ON", IF(BR74&gt;=covid_start, IF(BR74&lt;covid_recovery,NA(),SUMIFS(INDIRECT("Data_main"&amp;"["&amp;BR$8&amp;"]"),Data_main[Data],$A77, Data_main[Segment],$B77, Data_main[Scenario],$B$3)),SUMIFS(INDIRECT("Data_main"&amp;"["&amp;BR$8&amp;"]"),Data_main[Data],$A77, Data_main[Segment],$B77, Data_main[Scenario],$B$3)),SUMIFS(INDIRECT("Data_main"&amp;"["&amp;BR$8&amp;"]"),Data_main[Data],$A77, Data_main[Segment],$B77, Data_main[Scenario],$B$3))</f>
        <v>0</v>
      </c>
      <c r="BS77" s="390">
        <f ca="1">IF($B$6="ON", IF(BS74&gt;=covid_start, IF(BS74&lt;covid_recovery,NA(),SUMIFS(INDIRECT("Data_main"&amp;"["&amp;BS$8&amp;"]"),Data_main[Data],$A77, Data_main[Segment],$B77, Data_main[Scenario],$B$3)),SUMIFS(INDIRECT("Data_main"&amp;"["&amp;BS$8&amp;"]"),Data_main[Data],$A77, Data_main[Segment],$B77, Data_main[Scenario],$B$3)),SUMIFS(INDIRECT("Data_main"&amp;"["&amp;BS$8&amp;"]"),Data_main[Data],$A77, Data_main[Segment],$B77, Data_main[Scenario],$B$3))</f>
        <v>0</v>
      </c>
      <c r="BT77" s="390">
        <f ca="1">IF($B$6="ON", IF(BT74&gt;=covid_start, IF(BT74&lt;covid_recovery,NA(),SUMIFS(INDIRECT("Data_main"&amp;"["&amp;BT$8&amp;"]"),Data_main[Data],$A77, Data_main[Segment],$B77, Data_main[Scenario],$B$3)),SUMIFS(INDIRECT("Data_main"&amp;"["&amp;BT$8&amp;"]"),Data_main[Data],$A77, Data_main[Segment],$B77, Data_main[Scenario],$B$3)),SUMIFS(INDIRECT("Data_main"&amp;"["&amp;BT$8&amp;"]"),Data_main[Data],$A77, Data_main[Segment],$B77, Data_main[Scenario],$B$3))</f>
        <v>0</v>
      </c>
      <c r="BU77" s="390">
        <f ca="1">IF($B$6="ON", IF(BU74&gt;=covid_start, IF(BU74&lt;covid_recovery,NA(),SUMIFS(INDIRECT("Data_main"&amp;"["&amp;BU$8&amp;"]"),Data_main[Data],$A77, Data_main[Segment],$B77, Data_main[Scenario],$B$3)),SUMIFS(INDIRECT("Data_main"&amp;"["&amp;BU$8&amp;"]"),Data_main[Data],$A77, Data_main[Segment],$B77, Data_main[Scenario],$B$3)),SUMIFS(INDIRECT("Data_main"&amp;"["&amp;BU$8&amp;"]"),Data_main[Data],$A77, Data_main[Segment],$B77, Data_main[Scenario],$B$3))</f>
        <v>0</v>
      </c>
      <c r="BV77" s="390">
        <f ca="1">IF($B$6="ON", IF(BV74&gt;=covid_start, IF(BV74&lt;covid_recovery,NA(),SUMIFS(INDIRECT("Data_main"&amp;"["&amp;BV$8&amp;"]"),Data_main[Data],$A77, Data_main[Segment],$B77, Data_main[Scenario],$B$3)),SUMIFS(INDIRECT("Data_main"&amp;"["&amp;BV$8&amp;"]"),Data_main[Data],$A77, Data_main[Segment],$B77, Data_main[Scenario],$B$3)),SUMIFS(INDIRECT("Data_main"&amp;"["&amp;BV$8&amp;"]"),Data_main[Data],$A77, Data_main[Segment],$B77, Data_main[Scenario],$B$3))</f>
        <v>0</v>
      </c>
      <c r="BW77" s="390">
        <f ca="1">IF($B$6="ON", IF(BW74&gt;=covid_start, IF(BW74&lt;covid_recovery,NA(),SUMIFS(INDIRECT("Data_main"&amp;"["&amp;BW$8&amp;"]"),Data_main[Data],$A77, Data_main[Segment],$B77, Data_main[Scenario],$B$3)),SUMIFS(INDIRECT("Data_main"&amp;"["&amp;BW$8&amp;"]"),Data_main[Data],$A77, Data_main[Segment],$B77, Data_main[Scenario],$B$3)),SUMIFS(INDIRECT("Data_main"&amp;"["&amp;BW$8&amp;"]"),Data_main[Data],$A77, Data_main[Segment],$B77, Data_main[Scenario],$B$3))</f>
        <v>0</v>
      </c>
      <c r="BX77" s="390">
        <f ca="1">IF($B$6="ON", IF(BX74&gt;=covid_start, IF(BX74&lt;covid_recovery,NA(),SUMIFS(INDIRECT("Data_main"&amp;"["&amp;BX$8&amp;"]"),Data_main[Data],$A77, Data_main[Segment],$B77, Data_main[Scenario],$B$3)),SUMIFS(INDIRECT("Data_main"&amp;"["&amp;BX$8&amp;"]"),Data_main[Data],$A77, Data_main[Segment],$B77, Data_main[Scenario],$B$3)),SUMIFS(INDIRECT("Data_main"&amp;"["&amp;BX$8&amp;"]"),Data_main[Data],$A77, Data_main[Segment],$B77, Data_main[Scenario],$B$3))</f>
        <v>0</v>
      </c>
      <c r="BY77" s="390">
        <f ca="1">IF($B$6="ON", IF(BY74&gt;=covid_start, IF(BY74&lt;covid_recovery,NA(),SUMIFS(INDIRECT("Data_main"&amp;"["&amp;BY$8&amp;"]"),Data_main[Data],$A77, Data_main[Segment],$B77, Data_main[Scenario],$B$3)),SUMIFS(INDIRECT("Data_main"&amp;"["&amp;BY$8&amp;"]"),Data_main[Data],$A77, Data_main[Segment],$B77, Data_main[Scenario],$B$3)),SUMIFS(INDIRECT("Data_main"&amp;"["&amp;BY$8&amp;"]"),Data_main[Data],$A77, Data_main[Segment],$B77, Data_main[Scenario],$B$3))</f>
        <v>0</v>
      </c>
      <c r="BZ77" s="390">
        <f ca="1">IF($B$6="ON", IF(BZ74&gt;=covid_start, IF(BZ74&lt;covid_recovery,NA(),SUMIFS(INDIRECT("Data_main"&amp;"["&amp;BZ$8&amp;"]"),Data_main[Data],$A77, Data_main[Segment],$B77, Data_main[Scenario],$B$3)),SUMIFS(INDIRECT("Data_main"&amp;"["&amp;BZ$8&amp;"]"),Data_main[Data],$A77, Data_main[Segment],$B77, Data_main[Scenario],$B$3)),SUMIFS(INDIRECT("Data_main"&amp;"["&amp;BZ$8&amp;"]"),Data_main[Data],$A77, Data_main[Segment],$B77, Data_main[Scenario],$B$3))</f>
        <v>0</v>
      </c>
      <c r="CA77" s="390">
        <f ca="1">IF($B$6="ON", IF(CA74&gt;=covid_start, IF(CA74&lt;covid_recovery,NA(),SUMIFS(INDIRECT("Data_main"&amp;"["&amp;CA$8&amp;"]"),Data_main[Data],$A77, Data_main[Segment],$B77, Data_main[Scenario],$B$3)),SUMIFS(INDIRECT("Data_main"&amp;"["&amp;CA$8&amp;"]"),Data_main[Data],$A77, Data_main[Segment],$B77, Data_main[Scenario],$B$3)),SUMIFS(INDIRECT("Data_main"&amp;"["&amp;CA$8&amp;"]"),Data_main[Data],$A77, Data_main[Segment],$B77, Data_main[Scenario],$B$3))</f>
        <v>0</v>
      </c>
      <c r="CB77" s="390">
        <f ca="1">IF($B$6="ON", IF(CB74&gt;=covid_start, IF(CB74&lt;covid_recovery,NA(),SUMIFS(INDIRECT("Data_main"&amp;"["&amp;CB$8&amp;"]"),Data_main[Data],$A77, Data_main[Segment],$B77, Data_main[Scenario],$B$3)),SUMIFS(INDIRECT("Data_main"&amp;"["&amp;CB$8&amp;"]"),Data_main[Data],$A77, Data_main[Segment],$B77, Data_main[Scenario],$B$3)),SUMIFS(INDIRECT("Data_main"&amp;"["&amp;CB$8&amp;"]"),Data_main[Data],$A77, Data_main[Segment],$B77, Data_main[Scenario],$B$3))</f>
        <v>0</v>
      </c>
      <c r="CC77" s="390">
        <f ca="1">IF($B$6="ON", IF(CC74&gt;=covid_start, IF(CC74&lt;covid_recovery,NA(),SUMIFS(INDIRECT("Data_main"&amp;"["&amp;CC$8&amp;"]"),Data_main[Data],$A77, Data_main[Segment],$B77, Data_main[Scenario],$B$3)),SUMIFS(INDIRECT("Data_main"&amp;"["&amp;CC$8&amp;"]"),Data_main[Data],$A77, Data_main[Segment],$B77, Data_main[Scenario],$B$3)),SUMIFS(INDIRECT("Data_main"&amp;"["&amp;CC$8&amp;"]"),Data_main[Data],$A77, Data_main[Segment],$B77, Data_main[Scenario],$B$3))</f>
        <v>0</v>
      </c>
      <c r="CD77" s="390">
        <f ca="1">IF($B$6="ON", IF(CD74&gt;=covid_start, IF(CD74&lt;covid_recovery,NA(),SUMIFS(INDIRECT("Data_main"&amp;"["&amp;CD$8&amp;"]"),Data_main[Data],$A77, Data_main[Segment],$B77, Data_main[Scenario],$B$3)),SUMIFS(INDIRECT("Data_main"&amp;"["&amp;CD$8&amp;"]"),Data_main[Data],$A77, Data_main[Segment],$B77, Data_main[Scenario],$B$3)),SUMIFS(INDIRECT("Data_main"&amp;"["&amp;CD$8&amp;"]"),Data_main[Data],$A77, Data_main[Segment],$B77, Data_main[Scenario],$B$3))</f>
        <v>0</v>
      </c>
      <c r="CE77" s="390">
        <f ca="1">IF($B$6="ON", IF(CE74&gt;=covid_start, IF(CE74&lt;covid_recovery,NA(),SUMIFS(INDIRECT("Data_main"&amp;"["&amp;CE$8&amp;"]"),Data_main[Data],$A77, Data_main[Segment],$B77, Data_main[Scenario],$B$3)),SUMIFS(INDIRECT("Data_main"&amp;"["&amp;CE$8&amp;"]"),Data_main[Data],$A77, Data_main[Segment],$B77, Data_main[Scenario],$B$3)),SUMIFS(INDIRECT("Data_main"&amp;"["&amp;CE$8&amp;"]"),Data_main[Data],$A77, Data_main[Segment],$B77, Data_main[Scenario],$B$3))</f>
        <v>0</v>
      </c>
      <c r="CF77" s="390">
        <f ca="1">IF($B$6="ON", IF(CF74&gt;=covid_start, IF(CF74&lt;covid_recovery,NA(),SUMIFS(INDIRECT("Data_main"&amp;"["&amp;CF$8&amp;"]"),Data_main[Data],$A77, Data_main[Segment],$B77, Data_main[Scenario],$B$3)),SUMIFS(INDIRECT("Data_main"&amp;"["&amp;CF$8&amp;"]"),Data_main[Data],$A77, Data_main[Segment],$B77, Data_main[Scenario],$B$3)),SUMIFS(INDIRECT("Data_main"&amp;"["&amp;CF$8&amp;"]"),Data_main[Data],$A77, Data_main[Segment],$B77, Data_main[Scenario],$B$3))</f>
        <v>0</v>
      </c>
      <c r="CG77" s="390">
        <f ca="1">IF($B$6="ON", IF(CG74&gt;=covid_start, IF(CG74&lt;covid_recovery,NA(),SUMIFS(INDIRECT("Data_main"&amp;"["&amp;CG$8&amp;"]"),Data_main[Data],$A77, Data_main[Segment],$B77, Data_main[Scenario],$B$3)),SUMIFS(INDIRECT("Data_main"&amp;"["&amp;CG$8&amp;"]"),Data_main[Data],$A77, Data_main[Segment],$B77, Data_main[Scenario],$B$3)),SUMIFS(INDIRECT("Data_main"&amp;"["&amp;CG$8&amp;"]"),Data_main[Data],$A77, Data_main[Segment],$B77, Data_main[Scenario],$B$3))</f>
        <v>0</v>
      </c>
      <c r="CH77" s="390">
        <f ca="1">IF($B$6="ON", IF(CH74&gt;=covid_start, IF(CH74&lt;covid_recovery,NA(),SUMIFS(INDIRECT("Data_main"&amp;"["&amp;CH$8&amp;"]"),Data_main[Data],$A77, Data_main[Segment],$B77, Data_main[Scenario],$B$3)),SUMIFS(INDIRECT("Data_main"&amp;"["&amp;CH$8&amp;"]"),Data_main[Data],$A77, Data_main[Segment],$B77, Data_main[Scenario],$B$3)),SUMIFS(INDIRECT("Data_main"&amp;"["&amp;CH$8&amp;"]"),Data_main[Data],$A77, Data_main[Segment],$B77, Data_main[Scenario],$B$3))</f>
        <v>0</v>
      </c>
      <c r="CI77" s="390">
        <f ca="1">IF($B$6="ON", IF(CI74&gt;=covid_start, IF(CI74&lt;covid_recovery,NA(),SUMIFS(INDIRECT("Data_main"&amp;"["&amp;CI$8&amp;"]"),Data_main[Data],$A77, Data_main[Segment],$B77, Data_main[Scenario],$B$3)),SUMIFS(INDIRECT("Data_main"&amp;"["&amp;CI$8&amp;"]"),Data_main[Data],$A77, Data_main[Segment],$B77, Data_main[Scenario],$B$3)),SUMIFS(INDIRECT("Data_main"&amp;"["&amp;CI$8&amp;"]"),Data_main[Data],$A77, Data_main[Segment],$B77, Data_main[Scenario],$B$3))</f>
        <v>0</v>
      </c>
      <c r="CJ77" s="390">
        <f ca="1">IF($B$6="ON", IF(CJ74&gt;=covid_start, IF(CJ74&lt;covid_recovery,NA(),SUMIFS(INDIRECT("Data_main"&amp;"["&amp;CJ$8&amp;"]"),Data_main[Data],$A77, Data_main[Segment],$B77, Data_main[Scenario],$B$3)),SUMIFS(INDIRECT("Data_main"&amp;"["&amp;CJ$8&amp;"]"),Data_main[Data],$A77, Data_main[Segment],$B77, Data_main[Scenario],$B$3)),SUMIFS(INDIRECT("Data_main"&amp;"["&amp;CJ$8&amp;"]"),Data_main[Data],$A77, Data_main[Segment],$B77, Data_main[Scenario],$B$3))</f>
        <v>0</v>
      </c>
      <c r="CK77" s="390">
        <f ca="1">IF($B$6="ON", IF(CK74&gt;=covid_start, IF(CK74&lt;covid_recovery,NA(),SUMIFS(INDIRECT("Data_main"&amp;"["&amp;CK$8&amp;"]"),Data_main[Data],$A77, Data_main[Segment],$B77, Data_main[Scenario],$B$3)),SUMIFS(INDIRECT("Data_main"&amp;"["&amp;CK$8&amp;"]"),Data_main[Data],$A77, Data_main[Segment],$B77, Data_main[Scenario],$B$3)),SUMIFS(INDIRECT("Data_main"&amp;"["&amp;CK$8&amp;"]"),Data_main[Data],$A77, Data_main[Segment],$B77, Data_main[Scenario],$B$3))</f>
        <v>0</v>
      </c>
      <c r="CL77" s="390">
        <f ca="1">IF($B$6="ON", IF(CL74&gt;=covid_start, IF(CL74&lt;covid_recovery,NA(),SUMIFS(INDIRECT("Data_main"&amp;"["&amp;CL$8&amp;"]"),Data_main[Data],$A77, Data_main[Segment],$B77, Data_main[Scenario],$B$3)),SUMIFS(INDIRECT("Data_main"&amp;"["&amp;CL$8&amp;"]"),Data_main[Data],$A77, Data_main[Segment],$B77, Data_main[Scenario],$B$3)),SUMIFS(INDIRECT("Data_main"&amp;"["&amp;CL$8&amp;"]"),Data_main[Data],$A77, Data_main[Segment],$B77, Data_main[Scenario],$B$3))</f>
        <v>0</v>
      </c>
      <c r="CN77" s="391">
        <f ca="1">IFERROR((Y77/H77)^(1/17)-1,"")</f>
        <v>-4.1522668725140988E-2</v>
      </c>
      <c r="CO77" s="391">
        <f ca="1">IFERROR((AN77/Y77)^(1/15)-1,"")</f>
        <v>-0.17938574697366827</v>
      </c>
      <c r="CP77" s="391">
        <f ca="1">IFERROR((AN77/H77)^(1/32)-1,"")</f>
        <v>-0.10881465110367194</v>
      </c>
    </row>
    <row r="78" spans="1:94" hidden="1" outlineLevel="1">
      <c r="A78" s="394"/>
      <c r="B78" s="394" t="s">
        <v>26</v>
      </c>
      <c r="C78" s="394" t="s">
        <v>356</v>
      </c>
      <c r="D78" s="394" t="s">
        <v>357</v>
      </c>
      <c r="E78" s="396">
        <f t="shared" ref="E78:AJ78" ca="1" si="706">(E77-INDEX($E74:$CL77,4,MATCH($B$5,$E74:$CL74,0)))/(INDEX($E74:$CL77,4,MATCH($B$4,$E74:$CL74,0))-INDEX($E74:$CL77,4,MATCH($B$5,$E74:$CL74,0)))</f>
        <v>1.0771003620442106</v>
      </c>
      <c r="F78" s="397">
        <f t="shared" ca="1" si="706"/>
        <v>1.0561970262413898</v>
      </c>
      <c r="G78" s="397">
        <f t="shared" ca="1" si="706"/>
        <v>1.0379453728877164</v>
      </c>
      <c r="H78" s="397">
        <f t="shared" ca="1" si="706"/>
        <v>1.0218709296397614</v>
      </c>
      <c r="I78" s="397">
        <f t="shared" ca="1" si="706"/>
        <v>1</v>
      </c>
      <c r="J78" s="397" t="e">
        <f t="shared" ca="1" si="706"/>
        <v>#N/A</v>
      </c>
      <c r="K78" s="397" t="e">
        <f t="shared" ca="1" si="706"/>
        <v>#N/A</v>
      </c>
      <c r="L78" s="397" t="e">
        <f t="shared" ca="1" si="706"/>
        <v>#N/A</v>
      </c>
      <c r="M78" s="397">
        <f t="shared" ca="1" si="706"/>
        <v>0.86746505523752604</v>
      </c>
      <c r="N78" s="397">
        <f t="shared" ca="1" si="706"/>
        <v>0.83896278323335005</v>
      </c>
      <c r="O78" s="397">
        <f t="shared" ca="1" si="706"/>
        <v>0.81201080059518016</v>
      </c>
      <c r="P78" s="397">
        <f t="shared" ca="1" si="706"/>
        <v>0.78648597160663669</v>
      </c>
      <c r="Q78" s="397">
        <f t="shared" ca="1" si="706"/>
        <v>0.76227786469254921</v>
      </c>
      <c r="R78" s="397">
        <f t="shared" ca="1" si="706"/>
        <v>0.7392871552278637</v>
      </c>
      <c r="S78" s="397">
        <f t="shared" ca="1" si="706"/>
        <v>0.71742426339892151</v>
      </c>
      <c r="T78" s="397">
        <f t="shared" ca="1" si="706"/>
        <v>0.69660818772625166</v>
      </c>
      <c r="U78" s="397">
        <f t="shared" ca="1" si="706"/>
        <v>0.66793769318218255</v>
      </c>
      <c r="V78" s="397">
        <f t="shared" ca="1" si="706"/>
        <v>0.6234367826181304</v>
      </c>
      <c r="W78" s="397">
        <f t="shared" ca="1" si="706"/>
        <v>0.5790122852990035</v>
      </c>
      <c r="X78" s="397">
        <f t="shared" ca="1" si="706"/>
        <v>0.53607691724836504</v>
      </c>
      <c r="Y78" s="397">
        <f t="shared" ca="1" si="706"/>
        <v>0.48342782090763375</v>
      </c>
      <c r="Z78" s="397">
        <f t="shared" ca="1" si="706"/>
        <v>0.43227183837666439</v>
      </c>
      <c r="AA78" s="397">
        <f t="shared" ca="1" si="706"/>
        <v>0.38341975847748727</v>
      </c>
      <c r="AB78" s="397">
        <f t="shared" ca="1" si="706"/>
        <v>0.33695225808641482</v>
      </c>
      <c r="AC78" s="397">
        <f t="shared" ca="1" si="706"/>
        <v>0.29293128133348073</v>
      </c>
      <c r="AD78" s="397">
        <f t="shared" ca="1" si="706"/>
        <v>0.2513580542510836</v>
      </c>
      <c r="AE78" s="397">
        <f t="shared" ca="1" si="706"/>
        <v>0.21562040407098435</v>
      </c>
      <c r="AF78" s="397">
        <f t="shared" ca="1" si="706"/>
        <v>0.18197250488025227</v>
      </c>
      <c r="AG78" s="397">
        <f t="shared" ca="1" si="706"/>
        <v>0.15024752223773202</v>
      </c>
      <c r="AH78" s="397">
        <f t="shared" ca="1" si="706"/>
        <v>0.12025685921891645</v>
      </c>
      <c r="AI78" s="397">
        <f t="shared" ca="1" si="706"/>
        <v>9.1807931819671215E-2</v>
      </c>
      <c r="AJ78" s="397">
        <f t="shared" ca="1" si="706"/>
        <v>6.4462641620777444E-2</v>
      </c>
      <c r="AK78" s="397">
        <f t="shared" ref="AK78:BP78" ca="1" si="707">(AK77-INDEX($E74:$CL77,4,MATCH($B$5,$E74:$CL74,0)))/(INDEX($E74:$CL77,4,MATCH($B$4,$E74:$CL74,0))-INDEX($E74:$CL77,4,MATCH($B$5,$E74:$CL74,0)))</f>
        <v>3.8334362919232354E-2</v>
      </c>
      <c r="AL78" s="397">
        <f t="shared" ca="1" si="707"/>
        <v>1.3288715540412947E-2</v>
      </c>
      <c r="AM78" s="397">
        <f t="shared" ca="1" si="707"/>
        <v>4.4099895141810922E-3</v>
      </c>
      <c r="AN78" s="397">
        <f t="shared" ca="1" si="707"/>
        <v>0</v>
      </c>
      <c r="AO78" s="397">
        <f t="shared" ca="1" si="707"/>
        <v>-2.6266080744735607E-2</v>
      </c>
      <c r="AP78" s="397">
        <f t="shared" ca="1" si="707"/>
        <v>-2.6266080744735607E-2</v>
      </c>
      <c r="AQ78" s="397">
        <f t="shared" ca="1" si="707"/>
        <v>-2.6266080744735607E-2</v>
      </c>
      <c r="AR78" s="397">
        <f t="shared" ca="1" si="707"/>
        <v>-2.6266080744735607E-2</v>
      </c>
      <c r="AS78" s="397">
        <f t="shared" ca="1" si="707"/>
        <v>-2.6266080744735607E-2</v>
      </c>
      <c r="AT78" s="397">
        <f t="shared" ca="1" si="707"/>
        <v>-2.6266080744735607E-2</v>
      </c>
      <c r="AU78" s="397">
        <f t="shared" ca="1" si="707"/>
        <v>-2.6266080744735607E-2</v>
      </c>
      <c r="AV78" s="397">
        <f t="shared" ca="1" si="707"/>
        <v>-2.6266080744735607E-2</v>
      </c>
      <c r="AW78" s="397">
        <f t="shared" ca="1" si="707"/>
        <v>-2.6266080744735607E-2</v>
      </c>
      <c r="AX78" s="397">
        <f t="shared" ca="1" si="707"/>
        <v>-2.6266080744735607E-2</v>
      </c>
      <c r="AY78" s="397">
        <f t="shared" ca="1" si="707"/>
        <v>-2.6266080744735607E-2</v>
      </c>
      <c r="AZ78" s="397">
        <f t="shared" ca="1" si="707"/>
        <v>-2.6266080744735607E-2</v>
      </c>
      <c r="BA78" s="397">
        <f t="shared" ca="1" si="707"/>
        <v>-2.6266080744735607E-2</v>
      </c>
      <c r="BB78" s="397">
        <f t="shared" ca="1" si="707"/>
        <v>-2.6266080744735607E-2</v>
      </c>
      <c r="BC78" s="397">
        <f t="shared" ca="1" si="707"/>
        <v>-2.6266080744735607E-2</v>
      </c>
      <c r="BD78" s="397">
        <f t="shared" ca="1" si="707"/>
        <v>-2.6266080744735607E-2</v>
      </c>
      <c r="BE78" s="397">
        <f t="shared" ca="1" si="707"/>
        <v>-2.6266080744735607E-2</v>
      </c>
      <c r="BF78" s="397">
        <f t="shared" ca="1" si="707"/>
        <v>-2.6266080744735607E-2</v>
      </c>
      <c r="BG78" s="397">
        <f t="shared" ca="1" si="707"/>
        <v>-2.6266080744735607E-2</v>
      </c>
      <c r="BH78" s="397">
        <f t="shared" ca="1" si="707"/>
        <v>-2.6266080744735607E-2</v>
      </c>
      <c r="BI78" s="397">
        <f t="shared" ca="1" si="707"/>
        <v>-2.6266080744735607E-2</v>
      </c>
      <c r="BJ78" s="397">
        <f t="shared" ca="1" si="707"/>
        <v>-2.6266080744735607E-2</v>
      </c>
      <c r="BK78" s="397">
        <f t="shared" ca="1" si="707"/>
        <v>-2.6266080744735607E-2</v>
      </c>
      <c r="BL78" s="397">
        <f t="shared" ca="1" si="707"/>
        <v>-2.6266080744735607E-2</v>
      </c>
      <c r="BM78" s="397">
        <f t="shared" ca="1" si="707"/>
        <v>-2.6266080744735607E-2</v>
      </c>
      <c r="BN78" s="397">
        <f t="shared" ca="1" si="707"/>
        <v>-2.6266080744735607E-2</v>
      </c>
      <c r="BO78" s="397">
        <f t="shared" ca="1" si="707"/>
        <v>-2.6266080744735607E-2</v>
      </c>
      <c r="BP78" s="397">
        <f t="shared" ca="1" si="707"/>
        <v>-2.6266080744735607E-2</v>
      </c>
      <c r="BQ78" s="397">
        <f t="shared" ref="BQ78:CL78" ca="1" si="708">(BQ77-INDEX($E74:$CL77,4,MATCH($B$5,$E74:$CL74,0)))/(INDEX($E74:$CL77,4,MATCH($B$4,$E74:$CL74,0))-INDEX($E74:$CL77,4,MATCH($B$5,$E74:$CL74,0)))</f>
        <v>-2.6266080744735607E-2</v>
      </c>
      <c r="BR78" s="397">
        <f t="shared" ca="1" si="708"/>
        <v>-2.6266080744735607E-2</v>
      </c>
      <c r="BS78" s="397">
        <f t="shared" ca="1" si="708"/>
        <v>-2.6266080744735607E-2</v>
      </c>
      <c r="BT78" s="397">
        <f t="shared" ca="1" si="708"/>
        <v>-2.6266080744735607E-2</v>
      </c>
      <c r="BU78" s="397">
        <f t="shared" ca="1" si="708"/>
        <v>-2.6266080744735607E-2</v>
      </c>
      <c r="BV78" s="397">
        <f t="shared" ca="1" si="708"/>
        <v>-2.6266080744735607E-2</v>
      </c>
      <c r="BW78" s="397">
        <f t="shared" ca="1" si="708"/>
        <v>-2.6266080744735607E-2</v>
      </c>
      <c r="BX78" s="397">
        <f t="shared" ca="1" si="708"/>
        <v>-2.6266080744735607E-2</v>
      </c>
      <c r="BY78" s="397">
        <f t="shared" ca="1" si="708"/>
        <v>-2.6266080744735607E-2</v>
      </c>
      <c r="BZ78" s="397">
        <f t="shared" ca="1" si="708"/>
        <v>-2.6266080744735607E-2</v>
      </c>
      <c r="CA78" s="397">
        <f t="shared" ca="1" si="708"/>
        <v>-2.6266080744735607E-2</v>
      </c>
      <c r="CB78" s="397">
        <f t="shared" ca="1" si="708"/>
        <v>-2.6266080744735607E-2</v>
      </c>
      <c r="CC78" s="397">
        <f t="shared" ca="1" si="708"/>
        <v>-2.6266080744735607E-2</v>
      </c>
      <c r="CD78" s="397">
        <f t="shared" ca="1" si="708"/>
        <v>-2.6266080744735607E-2</v>
      </c>
      <c r="CE78" s="397">
        <f t="shared" ca="1" si="708"/>
        <v>-2.6266080744735607E-2</v>
      </c>
      <c r="CF78" s="397">
        <f t="shared" ca="1" si="708"/>
        <v>-2.6266080744735607E-2</v>
      </c>
      <c r="CG78" s="397">
        <f t="shared" ca="1" si="708"/>
        <v>-2.6266080744735607E-2</v>
      </c>
      <c r="CH78" s="397">
        <f t="shared" ca="1" si="708"/>
        <v>-2.6266080744735607E-2</v>
      </c>
      <c r="CI78" s="397">
        <f t="shared" ca="1" si="708"/>
        <v>-2.6266080744735607E-2</v>
      </c>
      <c r="CJ78" s="397">
        <f t="shared" ca="1" si="708"/>
        <v>-2.6266080744735607E-2</v>
      </c>
      <c r="CK78" s="397">
        <f t="shared" ca="1" si="708"/>
        <v>-2.6266080744735607E-2</v>
      </c>
      <c r="CL78" s="397">
        <f t="shared" ca="1" si="708"/>
        <v>-2.6266080744735607E-2</v>
      </c>
      <c r="CN78" s="398"/>
      <c r="CO78" s="398"/>
      <c r="CP78" s="398"/>
    </row>
    <row r="79" spans="1:94" hidden="1" outlineLevel="1">
      <c r="A79" s="419"/>
      <c r="B79" s="419" t="s">
        <v>28</v>
      </c>
      <c r="C79" s="419" t="s">
        <v>358</v>
      </c>
      <c r="D79" s="419" t="s">
        <v>359</v>
      </c>
      <c r="E79" s="420">
        <f t="shared" ref="E79:AJ79" ca="1" si="709">INDEX($E74:$CL77,4,MATCH($B$5,$E74:$CL74,0))</f>
        <v>26.091664201540663</v>
      </c>
      <c r="F79" s="421">
        <f t="shared" ca="1" si="709"/>
        <v>26.091664201540663</v>
      </c>
      <c r="G79" s="421">
        <f t="shared" ca="1" si="709"/>
        <v>26.091664201540663</v>
      </c>
      <c r="H79" s="421">
        <f t="shared" ca="1" si="709"/>
        <v>26.091664201540663</v>
      </c>
      <c r="I79" s="421">
        <f t="shared" ca="1" si="709"/>
        <v>26.091664201540663</v>
      </c>
      <c r="J79" s="421">
        <f t="shared" ca="1" si="709"/>
        <v>26.091664201540663</v>
      </c>
      <c r="K79" s="421">
        <f t="shared" ca="1" si="709"/>
        <v>26.091664201540663</v>
      </c>
      <c r="L79" s="421">
        <f t="shared" ca="1" si="709"/>
        <v>26.091664201540663</v>
      </c>
      <c r="M79" s="421">
        <f t="shared" ca="1" si="709"/>
        <v>26.091664201540663</v>
      </c>
      <c r="N79" s="421">
        <f t="shared" ca="1" si="709"/>
        <v>26.091664201540663</v>
      </c>
      <c r="O79" s="421">
        <f t="shared" ca="1" si="709"/>
        <v>26.091664201540663</v>
      </c>
      <c r="P79" s="421">
        <f t="shared" ca="1" si="709"/>
        <v>26.091664201540663</v>
      </c>
      <c r="Q79" s="421">
        <f t="shared" ca="1" si="709"/>
        <v>26.091664201540663</v>
      </c>
      <c r="R79" s="421">
        <f t="shared" ca="1" si="709"/>
        <v>26.091664201540663</v>
      </c>
      <c r="S79" s="421">
        <f t="shared" ca="1" si="709"/>
        <v>26.091664201540663</v>
      </c>
      <c r="T79" s="421">
        <f t="shared" ca="1" si="709"/>
        <v>26.091664201540663</v>
      </c>
      <c r="U79" s="421">
        <f t="shared" ca="1" si="709"/>
        <v>26.091664201540663</v>
      </c>
      <c r="V79" s="421">
        <f t="shared" ca="1" si="709"/>
        <v>26.091664201540663</v>
      </c>
      <c r="W79" s="421">
        <f t="shared" ca="1" si="709"/>
        <v>26.091664201540663</v>
      </c>
      <c r="X79" s="421">
        <f t="shared" ca="1" si="709"/>
        <v>26.091664201540663</v>
      </c>
      <c r="Y79" s="421">
        <f t="shared" ca="1" si="709"/>
        <v>26.091664201540663</v>
      </c>
      <c r="Z79" s="421">
        <f t="shared" ca="1" si="709"/>
        <v>26.091664201540663</v>
      </c>
      <c r="AA79" s="421">
        <f t="shared" ca="1" si="709"/>
        <v>26.091664201540663</v>
      </c>
      <c r="AB79" s="421">
        <f t="shared" ca="1" si="709"/>
        <v>26.091664201540663</v>
      </c>
      <c r="AC79" s="421">
        <f t="shared" ca="1" si="709"/>
        <v>26.091664201540663</v>
      </c>
      <c r="AD79" s="421">
        <f t="shared" ca="1" si="709"/>
        <v>26.091664201540663</v>
      </c>
      <c r="AE79" s="421">
        <f t="shared" ca="1" si="709"/>
        <v>26.091664201540663</v>
      </c>
      <c r="AF79" s="421">
        <f t="shared" ca="1" si="709"/>
        <v>26.091664201540663</v>
      </c>
      <c r="AG79" s="421">
        <f t="shared" ca="1" si="709"/>
        <v>26.091664201540663</v>
      </c>
      <c r="AH79" s="421">
        <f t="shared" ca="1" si="709"/>
        <v>26.091664201540663</v>
      </c>
      <c r="AI79" s="421">
        <f t="shared" ca="1" si="709"/>
        <v>26.091664201540663</v>
      </c>
      <c r="AJ79" s="421">
        <f t="shared" ca="1" si="709"/>
        <v>26.091664201540663</v>
      </c>
      <c r="AK79" s="421">
        <f t="shared" ref="AK79:BP79" ca="1" si="710">INDEX($E74:$CL77,4,MATCH($B$5,$E74:$CL74,0))</f>
        <v>26.091664201540663</v>
      </c>
      <c r="AL79" s="421">
        <f t="shared" ca="1" si="710"/>
        <v>26.091664201540663</v>
      </c>
      <c r="AM79" s="421">
        <f t="shared" ca="1" si="710"/>
        <v>26.091664201540663</v>
      </c>
      <c r="AN79" s="421">
        <f t="shared" ca="1" si="710"/>
        <v>26.091664201540663</v>
      </c>
      <c r="AO79" s="421">
        <f t="shared" ca="1" si="710"/>
        <v>26.091664201540663</v>
      </c>
      <c r="AP79" s="421">
        <f t="shared" ca="1" si="710"/>
        <v>26.091664201540663</v>
      </c>
      <c r="AQ79" s="421">
        <f t="shared" ca="1" si="710"/>
        <v>26.091664201540663</v>
      </c>
      <c r="AR79" s="421">
        <f t="shared" ca="1" si="710"/>
        <v>26.091664201540663</v>
      </c>
      <c r="AS79" s="421">
        <f t="shared" ca="1" si="710"/>
        <v>26.091664201540663</v>
      </c>
      <c r="AT79" s="421">
        <f t="shared" ca="1" si="710"/>
        <v>26.091664201540663</v>
      </c>
      <c r="AU79" s="421">
        <f t="shared" ca="1" si="710"/>
        <v>26.091664201540663</v>
      </c>
      <c r="AV79" s="421">
        <f t="shared" ca="1" si="710"/>
        <v>26.091664201540663</v>
      </c>
      <c r="AW79" s="421">
        <f t="shared" ca="1" si="710"/>
        <v>26.091664201540663</v>
      </c>
      <c r="AX79" s="421">
        <f t="shared" ca="1" si="710"/>
        <v>26.091664201540663</v>
      </c>
      <c r="AY79" s="421">
        <f t="shared" ca="1" si="710"/>
        <v>26.091664201540663</v>
      </c>
      <c r="AZ79" s="421">
        <f t="shared" ca="1" si="710"/>
        <v>26.091664201540663</v>
      </c>
      <c r="BA79" s="421">
        <f t="shared" ca="1" si="710"/>
        <v>26.091664201540663</v>
      </c>
      <c r="BB79" s="421">
        <f t="shared" ca="1" si="710"/>
        <v>26.091664201540663</v>
      </c>
      <c r="BC79" s="421">
        <f t="shared" ca="1" si="710"/>
        <v>26.091664201540663</v>
      </c>
      <c r="BD79" s="421">
        <f t="shared" ca="1" si="710"/>
        <v>26.091664201540663</v>
      </c>
      <c r="BE79" s="421">
        <f t="shared" ca="1" si="710"/>
        <v>26.091664201540663</v>
      </c>
      <c r="BF79" s="421">
        <f t="shared" ca="1" si="710"/>
        <v>26.091664201540663</v>
      </c>
      <c r="BG79" s="421">
        <f t="shared" ca="1" si="710"/>
        <v>26.091664201540663</v>
      </c>
      <c r="BH79" s="421">
        <f t="shared" ca="1" si="710"/>
        <v>26.091664201540663</v>
      </c>
      <c r="BI79" s="421">
        <f t="shared" ca="1" si="710"/>
        <v>26.091664201540663</v>
      </c>
      <c r="BJ79" s="421">
        <f t="shared" ca="1" si="710"/>
        <v>26.091664201540663</v>
      </c>
      <c r="BK79" s="421">
        <f t="shared" ca="1" si="710"/>
        <v>26.091664201540663</v>
      </c>
      <c r="BL79" s="421">
        <f t="shared" ca="1" si="710"/>
        <v>26.091664201540663</v>
      </c>
      <c r="BM79" s="421">
        <f t="shared" ca="1" si="710"/>
        <v>26.091664201540663</v>
      </c>
      <c r="BN79" s="421">
        <f t="shared" ca="1" si="710"/>
        <v>26.091664201540663</v>
      </c>
      <c r="BO79" s="421">
        <f t="shared" ca="1" si="710"/>
        <v>26.091664201540663</v>
      </c>
      <c r="BP79" s="421">
        <f t="shared" ca="1" si="710"/>
        <v>26.091664201540663</v>
      </c>
      <c r="BQ79" s="421">
        <f t="shared" ref="BQ79:CL79" ca="1" si="711">INDEX($E74:$CL77,4,MATCH($B$5,$E74:$CL74,0))</f>
        <v>26.091664201540663</v>
      </c>
      <c r="BR79" s="421">
        <f t="shared" ca="1" si="711"/>
        <v>26.091664201540663</v>
      </c>
      <c r="BS79" s="421">
        <f t="shared" ca="1" si="711"/>
        <v>26.091664201540663</v>
      </c>
      <c r="BT79" s="421">
        <f t="shared" ca="1" si="711"/>
        <v>26.091664201540663</v>
      </c>
      <c r="BU79" s="421">
        <f t="shared" ca="1" si="711"/>
        <v>26.091664201540663</v>
      </c>
      <c r="BV79" s="421">
        <f t="shared" ca="1" si="711"/>
        <v>26.091664201540663</v>
      </c>
      <c r="BW79" s="421">
        <f t="shared" ca="1" si="711"/>
        <v>26.091664201540663</v>
      </c>
      <c r="BX79" s="421">
        <f t="shared" ca="1" si="711"/>
        <v>26.091664201540663</v>
      </c>
      <c r="BY79" s="421">
        <f t="shared" ca="1" si="711"/>
        <v>26.091664201540663</v>
      </c>
      <c r="BZ79" s="421">
        <f t="shared" ca="1" si="711"/>
        <v>26.091664201540663</v>
      </c>
      <c r="CA79" s="421">
        <f t="shared" ca="1" si="711"/>
        <v>26.091664201540663</v>
      </c>
      <c r="CB79" s="421">
        <f t="shared" ca="1" si="711"/>
        <v>26.091664201540663</v>
      </c>
      <c r="CC79" s="421">
        <f t="shared" ca="1" si="711"/>
        <v>26.091664201540663</v>
      </c>
      <c r="CD79" s="421">
        <f t="shared" ca="1" si="711"/>
        <v>26.091664201540663</v>
      </c>
      <c r="CE79" s="421">
        <f t="shared" ca="1" si="711"/>
        <v>26.091664201540663</v>
      </c>
      <c r="CF79" s="421">
        <f t="shared" ca="1" si="711"/>
        <v>26.091664201540663</v>
      </c>
      <c r="CG79" s="421">
        <f t="shared" ca="1" si="711"/>
        <v>26.091664201540663</v>
      </c>
      <c r="CH79" s="421">
        <f t="shared" ca="1" si="711"/>
        <v>26.091664201540663</v>
      </c>
      <c r="CI79" s="421">
        <f t="shared" ca="1" si="711"/>
        <v>26.091664201540663</v>
      </c>
      <c r="CJ79" s="421">
        <f t="shared" ca="1" si="711"/>
        <v>26.091664201540663</v>
      </c>
      <c r="CK79" s="421">
        <f t="shared" ca="1" si="711"/>
        <v>26.091664201540663</v>
      </c>
      <c r="CL79" s="421">
        <f t="shared" ca="1" si="711"/>
        <v>26.091664201540663</v>
      </c>
      <c r="CN79" s="398"/>
      <c r="CO79" s="398"/>
      <c r="CP79" s="398"/>
    </row>
    <row r="80" spans="1:94" hidden="1" outlineLevel="1">
      <c r="A80" s="400" t="s">
        <v>255</v>
      </c>
      <c r="B80" s="400" t="s">
        <v>260</v>
      </c>
      <c r="C80" s="400" t="s">
        <v>360</v>
      </c>
      <c r="D80" s="400"/>
      <c r="E80" s="413" t="str">
        <f t="shared" ref="E80:AJ80" si="712">IF(E74=base,ple,"")</f>
        <v/>
      </c>
      <c r="F80" s="407" t="str">
        <f t="shared" si="712"/>
        <v/>
      </c>
      <c r="G80" s="407" t="str">
        <f t="shared" si="712"/>
        <v/>
      </c>
      <c r="H80" s="407" t="str">
        <f t="shared" si="712"/>
        <v/>
      </c>
      <c r="I80" s="407" t="e">
        <f t="shared" si="712"/>
        <v>#DIV/0!</v>
      </c>
      <c r="J80" s="407" t="str">
        <f t="shared" si="712"/>
        <v/>
      </c>
      <c r="K80" s="407" t="str">
        <f t="shared" si="712"/>
        <v/>
      </c>
      <c r="L80" s="407" t="str">
        <f t="shared" si="712"/>
        <v/>
      </c>
      <c r="M80" s="407" t="str">
        <f t="shared" si="712"/>
        <v/>
      </c>
      <c r="N80" s="407" t="str">
        <f t="shared" si="712"/>
        <v/>
      </c>
      <c r="O80" s="407" t="str">
        <f t="shared" si="712"/>
        <v/>
      </c>
      <c r="P80" s="407" t="str">
        <f t="shared" si="712"/>
        <v/>
      </c>
      <c r="Q80" s="407" t="str">
        <f t="shared" si="712"/>
        <v/>
      </c>
      <c r="R80" s="407" t="str">
        <f t="shared" si="712"/>
        <v/>
      </c>
      <c r="S80" s="407" t="str">
        <f t="shared" si="712"/>
        <v/>
      </c>
      <c r="T80" s="407" t="str">
        <f t="shared" si="712"/>
        <v/>
      </c>
      <c r="U80" s="407" t="str">
        <f t="shared" si="712"/>
        <v/>
      </c>
      <c r="V80" s="407" t="str">
        <f t="shared" si="712"/>
        <v/>
      </c>
      <c r="W80" s="407" t="str">
        <f t="shared" si="712"/>
        <v/>
      </c>
      <c r="X80" s="407" t="str">
        <f t="shared" si="712"/>
        <v/>
      </c>
      <c r="Y80" s="407" t="str">
        <f t="shared" si="712"/>
        <v/>
      </c>
      <c r="Z80" s="407" t="str">
        <f t="shared" si="712"/>
        <v/>
      </c>
      <c r="AA80" s="407" t="str">
        <f t="shared" si="712"/>
        <v/>
      </c>
      <c r="AB80" s="407" t="str">
        <f t="shared" si="712"/>
        <v/>
      </c>
      <c r="AC80" s="407" t="str">
        <f t="shared" si="712"/>
        <v/>
      </c>
      <c r="AD80" s="407" t="str">
        <f t="shared" si="712"/>
        <v/>
      </c>
      <c r="AE80" s="407" t="str">
        <f t="shared" si="712"/>
        <v/>
      </c>
      <c r="AF80" s="407" t="str">
        <f t="shared" si="712"/>
        <v/>
      </c>
      <c r="AG80" s="407" t="str">
        <f t="shared" si="712"/>
        <v/>
      </c>
      <c r="AH80" s="407" t="str">
        <f t="shared" si="712"/>
        <v/>
      </c>
      <c r="AI80" s="407" t="str">
        <f t="shared" si="712"/>
        <v/>
      </c>
      <c r="AJ80" s="407" t="str">
        <f t="shared" si="712"/>
        <v/>
      </c>
      <c r="AK80" s="407" t="str">
        <f t="shared" ref="AK80:BP80" si="713">IF(AK74=base,ple,"")</f>
        <v/>
      </c>
      <c r="AL80" s="407" t="str">
        <f t="shared" si="713"/>
        <v/>
      </c>
      <c r="AM80" s="407" t="str">
        <f t="shared" si="713"/>
        <v/>
      </c>
      <c r="AN80" s="407" t="str">
        <f t="shared" si="713"/>
        <v/>
      </c>
      <c r="AO80" s="407" t="str">
        <f t="shared" si="713"/>
        <v/>
      </c>
      <c r="AP80" s="407" t="str">
        <f t="shared" si="713"/>
        <v/>
      </c>
      <c r="AQ80" s="407" t="str">
        <f t="shared" si="713"/>
        <v/>
      </c>
      <c r="AR80" s="407" t="str">
        <f t="shared" si="713"/>
        <v/>
      </c>
      <c r="AS80" s="407" t="str">
        <f t="shared" si="713"/>
        <v/>
      </c>
      <c r="AT80" s="407" t="str">
        <f t="shared" si="713"/>
        <v/>
      </c>
      <c r="AU80" s="407" t="str">
        <f t="shared" si="713"/>
        <v/>
      </c>
      <c r="AV80" s="407" t="str">
        <f t="shared" si="713"/>
        <v/>
      </c>
      <c r="AW80" s="407" t="str">
        <f t="shared" si="713"/>
        <v/>
      </c>
      <c r="AX80" s="407" t="str">
        <f t="shared" si="713"/>
        <v/>
      </c>
      <c r="AY80" s="407" t="str">
        <f t="shared" si="713"/>
        <v/>
      </c>
      <c r="AZ80" s="407" t="str">
        <f t="shared" si="713"/>
        <v/>
      </c>
      <c r="BA80" s="407" t="str">
        <f t="shared" si="713"/>
        <v/>
      </c>
      <c r="BB80" s="407" t="str">
        <f t="shared" si="713"/>
        <v/>
      </c>
      <c r="BC80" s="407" t="str">
        <f t="shared" si="713"/>
        <v/>
      </c>
      <c r="BD80" s="407" t="str">
        <f t="shared" si="713"/>
        <v/>
      </c>
      <c r="BE80" s="407" t="str">
        <f t="shared" si="713"/>
        <v/>
      </c>
      <c r="BF80" s="407" t="str">
        <f t="shared" si="713"/>
        <v/>
      </c>
      <c r="BG80" s="407" t="str">
        <f t="shared" si="713"/>
        <v/>
      </c>
      <c r="BH80" s="407" t="str">
        <f t="shared" si="713"/>
        <v/>
      </c>
      <c r="BI80" s="407" t="str">
        <f t="shared" si="713"/>
        <v/>
      </c>
      <c r="BJ80" s="407" t="str">
        <f t="shared" si="713"/>
        <v/>
      </c>
      <c r="BK80" s="407" t="str">
        <f t="shared" si="713"/>
        <v/>
      </c>
      <c r="BL80" s="407" t="str">
        <f t="shared" si="713"/>
        <v/>
      </c>
      <c r="BM80" s="407" t="str">
        <f t="shared" si="713"/>
        <v/>
      </c>
      <c r="BN80" s="407" t="str">
        <f t="shared" si="713"/>
        <v/>
      </c>
      <c r="BO80" s="407" t="str">
        <f t="shared" si="713"/>
        <v/>
      </c>
      <c r="BP80" s="407" t="str">
        <f t="shared" si="713"/>
        <v/>
      </c>
      <c r="BQ80" s="407" t="str">
        <f t="shared" ref="BQ80:CL80" si="714">IF(BQ74=base,ple,"")</f>
        <v/>
      </c>
      <c r="BR80" s="407" t="str">
        <f t="shared" si="714"/>
        <v/>
      </c>
      <c r="BS80" s="407" t="str">
        <f t="shared" si="714"/>
        <v/>
      </c>
      <c r="BT80" s="407" t="str">
        <f t="shared" si="714"/>
        <v/>
      </c>
      <c r="BU80" s="407" t="str">
        <f t="shared" si="714"/>
        <v/>
      </c>
      <c r="BV80" s="407" t="str">
        <f t="shared" si="714"/>
        <v/>
      </c>
      <c r="BW80" s="407" t="str">
        <f t="shared" si="714"/>
        <v/>
      </c>
      <c r="BX80" s="407" t="str">
        <f t="shared" si="714"/>
        <v/>
      </c>
      <c r="BY80" s="407" t="str">
        <f t="shared" si="714"/>
        <v/>
      </c>
      <c r="BZ80" s="407" t="str">
        <f t="shared" si="714"/>
        <v/>
      </c>
      <c r="CA80" s="407" t="str">
        <f t="shared" si="714"/>
        <v/>
      </c>
      <c r="CB80" s="407" t="str">
        <f t="shared" si="714"/>
        <v/>
      </c>
      <c r="CC80" s="407" t="str">
        <f t="shared" si="714"/>
        <v/>
      </c>
      <c r="CD80" s="407" t="str">
        <f t="shared" si="714"/>
        <v/>
      </c>
      <c r="CE80" s="407" t="str">
        <f t="shared" si="714"/>
        <v/>
      </c>
      <c r="CF80" s="407" t="str">
        <f t="shared" si="714"/>
        <v/>
      </c>
      <c r="CG80" s="407" t="str">
        <f t="shared" si="714"/>
        <v/>
      </c>
      <c r="CH80" s="407" t="str">
        <f t="shared" si="714"/>
        <v/>
      </c>
      <c r="CI80" s="407" t="str">
        <f t="shared" si="714"/>
        <v/>
      </c>
      <c r="CJ80" s="407" t="str">
        <f t="shared" si="714"/>
        <v/>
      </c>
      <c r="CK80" s="407" t="str">
        <f t="shared" si="714"/>
        <v/>
      </c>
      <c r="CL80" s="407" t="str">
        <f t="shared" si="714"/>
        <v/>
      </c>
      <c r="CN80" s="406" t="str">
        <f t="shared" ref="CN80:CN89" si="715">IFERROR((Y80/H80)^(1/17)-1,"")</f>
        <v/>
      </c>
      <c r="CO80" s="406" t="str">
        <f t="shared" ref="CO80:CO89" si="716">IFERROR((AN80/Y80)^(1/15)-1,"")</f>
        <v/>
      </c>
      <c r="CP80" s="406" t="str">
        <f t="shared" ref="CP80:CP89" si="717">IFERROR((AN80/H80)^(1/32)-1,"")</f>
        <v/>
      </c>
    </row>
    <row r="81" spans="1:94" hidden="1" outlineLevel="1">
      <c r="A81" s="400" t="s">
        <v>255</v>
      </c>
      <c r="B81" s="400" t="s">
        <v>259</v>
      </c>
      <c r="C81" s="400" t="s">
        <v>361</v>
      </c>
      <c r="D81" s="400"/>
      <c r="E81" s="413" t="e">
        <f t="shared" ref="E81:AJ81" si="718">IF(E8&lt;sector_base,NA(),IFERROR(IF(activity_approach="Input Activity Data Manually",IF(E8=base,pla,IF(E8=target,plf,D81+((plf-pla)/(target-base)))),pla*(1+f_CAGR)^(E8-base)),""))</f>
        <v>#N/A</v>
      </c>
      <c r="F81" s="407" t="e">
        <f t="shared" si="718"/>
        <v>#N/A</v>
      </c>
      <c r="G81" s="407" t="e">
        <f t="shared" si="718"/>
        <v>#N/A</v>
      </c>
      <c r="H81" s="407" t="e">
        <f t="shared" si="718"/>
        <v>#N/A</v>
      </c>
      <c r="I81" s="407">
        <f t="shared" si="718"/>
        <v>0</v>
      </c>
      <c r="J81" s="407">
        <f t="shared" si="718"/>
        <v>0</v>
      </c>
      <c r="K81" s="407">
        <f t="shared" si="718"/>
        <v>0</v>
      </c>
      <c r="L81" s="407">
        <f t="shared" si="718"/>
        <v>0</v>
      </c>
      <c r="M81" s="407">
        <f t="shared" si="718"/>
        <v>0</v>
      </c>
      <c r="N81" s="407">
        <f t="shared" si="718"/>
        <v>0</v>
      </c>
      <c r="O81" s="407">
        <f t="shared" si="718"/>
        <v>0</v>
      </c>
      <c r="P81" s="407">
        <f t="shared" si="718"/>
        <v>0</v>
      </c>
      <c r="Q81" s="407">
        <f t="shared" si="718"/>
        <v>0</v>
      </c>
      <c r="R81" s="407">
        <f t="shared" si="718"/>
        <v>0</v>
      </c>
      <c r="S81" s="407">
        <f t="shared" si="718"/>
        <v>0</v>
      </c>
      <c r="T81" s="407">
        <f t="shared" si="718"/>
        <v>0</v>
      </c>
      <c r="U81" s="407">
        <f t="shared" si="718"/>
        <v>0</v>
      </c>
      <c r="V81" s="407">
        <f t="shared" si="718"/>
        <v>0</v>
      </c>
      <c r="W81" s="407">
        <f t="shared" si="718"/>
        <v>0</v>
      </c>
      <c r="X81" s="407">
        <f t="shared" si="718"/>
        <v>0</v>
      </c>
      <c r="Y81" s="407">
        <f t="shared" si="718"/>
        <v>0</v>
      </c>
      <c r="Z81" s="407">
        <f t="shared" si="718"/>
        <v>0</v>
      </c>
      <c r="AA81" s="407">
        <f t="shared" si="718"/>
        <v>0</v>
      </c>
      <c r="AB81" s="407">
        <f t="shared" si="718"/>
        <v>0</v>
      </c>
      <c r="AC81" s="407">
        <f t="shared" si="718"/>
        <v>0</v>
      </c>
      <c r="AD81" s="407">
        <f t="shared" si="718"/>
        <v>0</v>
      </c>
      <c r="AE81" s="407">
        <f t="shared" si="718"/>
        <v>0</v>
      </c>
      <c r="AF81" s="407">
        <f t="shared" si="718"/>
        <v>0</v>
      </c>
      <c r="AG81" s="407">
        <f t="shared" si="718"/>
        <v>0</v>
      </c>
      <c r="AH81" s="407">
        <f t="shared" si="718"/>
        <v>0</v>
      </c>
      <c r="AI81" s="407">
        <f t="shared" si="718"/>
        <v>0</v>
      </c>
      <c r="AJ81" s="407">
        <f t="shared" si="718"/>
        <v>0</v>
      </c>
      <c r="AK81" s="407">
        <f t="shared" ref="AK81:BP81" si="719">IF(AK8&lt;sector_base,NA(),IFERROR(IF(activity_approach="Input Activity Data Manually",IF(AK8=base,pla,IF(AK8=target,plf,AJ81+((plf-pla)/(target-base)))),pla*(1+f_CAGR)^(AK8-base)),""))</f>
        <v>0</v>
      </c>
      <c r="AL81" s="407">
        <f t="shared" si="719"/>
        <v>0</v>
      </c>
      <c r="AM81" s="407">
        <f t="shared" si="719"/>
        <v>0</v>
      </c>
      <c r="AN81" s="407">
        <f t="shared" si="719"/>
        <v>0</v>
      </c>
      <c r="AO81" s="407">
        <f t="shared" si="719"/>
        <v>0</v>
      </c>
      <c r="AP81" s="407">
        <f t="shared" si="719"/>
        <v>0</v>
      </c>
      <c r="AQ81" s="407">
        <f t="shared" si="719"/>
        <v>0</v>
      </c>
      <c r="AR81" s="407">
        <f t="shared" si="719"/>
        <v>0</v>
      </c>
      <c r="AS81" s="407">
        <f t="shared" si="719"/>
        <v>0</v>
      </c>
      <c r="AT81" s="407">
        <f t="shared" si="719"/>
        <v>0</v>
      </c>
      <c r="AU81" s="407">
        <f t="shared" si="719"/>
        <v>0</v>
      </c>
      <c r="AV81" s="407">
        <f t="shared" si="719"/>
        <v>0</v>
      </c>
      <c r="AW81" s="407">
        <f t="shared" si="719"/>
        <v>0</v>
      </c>
      <c r="AX81" s="407">
        <f t="shared" si="719"/>
        <v>0</v>
      </c>
      <c r="AY81" s="407">
        <f t="shared" si="719"/>
        <v>0</v>
      </c>
      <c r="AZ81" s="407">
        <f t="shared" si="719"/>
        <v>0</v>
      </c>
      <c r="BA81" s="407">
        <f t="shared" si="719"/>
        <v>0</v>
      </c>
      <c r="BB81" s="407">
        <f t="shared" si="719"/>
        <v>0</v>
      </c>
      <c r="BC81" s="407">
        <f t="shared" si="719"/>
        <v>0</v>
      </c>
      <c r="BD81" s="407">
        <f t="shared" si="719"/>
        <v>0</v>
      </c>
      <c r="BE81" s="407">
        <f t="shared" si="719"/>
        <v>0</v>
      </c>
      <c r="BF81" s="407">
        <f t="shared" si="719"/>
        <v>0</v>
      </c>
      <c r="BG81" s="407">
        <f t="shared" si="719"/>
        <v>0</v>
      </c>
      <c r="BH81" s="407">
        <f t="shared" si="719"/>
        <v>0</v>
      </c>
      <c r="BI81" s="407">
        <f t="shared" si="719"/>
        <v>0</v>
      </c>
      <c r="BJ81" s="407">
        <f t="shared" si="719"/>
        <v>0</v>
      </c>
      <c r="BK81" s="407">
        <f t="shared" si="719"/>
        <v>0</v>
      </c>
      <c r="BL81" s="407">
        <f t="shared" si="719"/>
        <v>0</v>
      </c>
      <c r="BM81" s="407">
        <f t="shared" si="719"/>
        <v>0</v>
      </c>
      <c r="BN81" s="407">
        <f t="shared" si="719"/>
        <v>0</v>
      </c>
      <c r="BO81" s="407">
        <f t="shared" si="719"/>
        <v>0</v>
      </c>
      <c r="BP81" s="407">
        <f t="shared" si="719"/>
        <v>0</v>
      </c>
      <c r="BQ81" s="407">
        <f t="shared" ref="BQ81:CL81" si="720">IF(BQ8&lt;sector_base,NA(),IFERROR(IF(activity_approach="Input Activity Data Manually",IF(BQ8=base,pla,IF(BQ8=target,plf,BP81+((plf-pla)/(target-base)))),pla*(1+f_CAGR)^(BQ8-base)),""))</f>
        <v>0</v>
      </c>
      <c r="BR81" s="407">
        <f t="shared" si="720"/>
        <v>0</v>
      </c>
      <c r="BS81" s="407">
        <f t="shared" si="720"/>
        <v>0</v>
      </c>
      <c r="BT81" s="407">
        <f t="shared" si="720"/>
        <v>0</v>
      </c>
      <c r="BU81" s="407">
        <f t="shared" si="720"/>
        <v>0</v>
      </c>
      <c r="BV81" s="407">
        <f t="shared" si="720"/>
        <v>0</v>
      </c>
      <c r="BW81" s="407">
        <f t="shared" si="720"/>
        <v>0</v>
      </c>
      <c r="BX81" s="407">
        <f t="shared" si="720"/>
        <v>0</v>
      </c>
      <c r="BY81" s="407">
        <f t="shared" si="720"/>
        <v>0</v>
      </c>
      <c r="BZ81" s="407">
        <f t="shared" si="720"/>
        <v>0</v>
      </c>
      <c r="CA81" s="407">
        <f t="shared" si="720"/>
        <v>0</v>
      </c>
      <c r="CB81" s="407">
        <f t="shared" si="720"/>
        <v>0</v>
      </c>
      <c r="CC81" s="407">
        <f t="shared" si="720"/>
        <v>0</v>
      </c>
      <c r="CD81" s="407">
        <f t="shared" si="720"/>
        <v>0</v>
      </c>
      <c r="CE81" s="407">
        <f t="shared" si="720"/>
        <v>0</v>
      </c>
      <c r="CF81" s="407">
        <f t="shared" si="720"/>
        <v>0</v>
      </c>
      <c r="CG81" s="407">
        <f t="shared" si="720"/>
        <v>0</v>
      </c>
      <c r="CH81" s="407">
        <f t="shared" si="720"/>
        <v>0</v>
      </c>
      <c r="CI81" s="407">
        <f t="shared" si="720"/>
        <v>0</v>
      </c>
      <c r="CJ81" s="407">
        <f t="shared" si="720"/>
        <v>0</v>
      </c>
      <c r="CK81" s="407">
        <f t="shared" si="720"/>
        <v>0</v>
      </c>
      <c r="CL81" s="407">
        <f t="shared" si="720"/>
        <v>0</v>
      </c>
      <c r="CN81" s="408" t="str">
        <f t="shared" si="715"/>
        <v/>
      </c>
      <c r="CO81" s="408" t="str">
        <f t="shared" si="716"/>
        <v/>
      </c>
      <c r="CP81" s="408" t="str">
        <f t="shared" si="717"/>
        <v/>
      </c>
    </row>
    <row r="82" spans="1:94" hidden="1" outlineLevel="1">
      <c r="A82" s="389" t="s">
        <v>255</v>
      </c>
      <c r="B82" s="389" t="s">
        <v>258</v>
      </c>
      <c r="C82" s="400" t="s">
        <v>362</v>
      </c>
      <c r="D82" s="400" t="s">
        <v>363</v>
      </c>
      <c r="E82" s="409" t="str">
        <f>IFERROR((E80/E81)*1000,"")</f>
        <v/>
      </c>
      <c r="F82" s="390" t="str">
        <f t="shared" ref="F82" si="721">IFERROR((F80/F81)*1000,"")</f>
        <v/>
      </c>
      <c r="G82" s="390" t="str">
        <f t="shared" ref="G82" si="722">IFERROR((G80/G81)*1000,"")</f>
        <v/>
      </c>
      <c r="H82" s="390" t="str">
        <f>IFERROR((H80/H81)*1000,"")</f>
        <v/>
      </c>
      <c r="I82" s="390" t="str">
        <f t="shared" ref="I82" si="723">IFERROR((I80/I81)*1000,"")</f>
        <v/>
      </c>
      <c r="J82" s="390" t="str">
        <f t="shared" ref="J82" si="724">IFERROR((J80/J81)*1000,"")</f>
        <v/>
      </c>
      <c r="K82" s="390" t="str">
        <f t="shared" ref="K82" si="725">IFERROR((K80/K81)*1000,"")</f>
        <v/>
      </c>
      <c r="L82" s="390" t="str">
        <f t="shared" ref="L82" si="726">IFERROR((L80/L81)*1000,"")</f>
        <v/>
      </c>
      <c r="M82" s="390" t="str">
        <f t="shared" ref="M82" si="727">IFERROR((M80/M81)*1000,"")</f>
        <v/>
      </c>
      <c r="N82" s="390" t="str">
        <f t="shared" ref="N82" si="728">IFERROR((N80/N81)*1000,"")</f>
        <v/>
      </c>
      <c r="O82" s="390" t="str">
        <f t="shared" ref="O82" si="729">IFERROR((O80/O81)*1000,"")</f>
        <v/>
      </c>
      <c r="P82" s="390" t="str">
        <f t="shared" ref="P82" si="730">IFERROR((P80/P81)*1000,"")</f>
        <v/>
      </c>
      <c r="Q82" s="390" t="str">
        <f t="shared" ref="Q82" si="731">IFERROR((Q80/Q81)*1000,"")</f>
        <v/>
      </c>
      <c r="R82" s="390" t="str">
        <f t="shared" ref="R82" si="732">IFERROR((R80/R81)*1000,"")</f>
        <v/>
      </c>
      <c r="S82" s="390" t="str">
        <f t="shared" ref="S82" si="733">IFERROR((S80/S81)*1000,"")</f>
        <v/>
      </c>
      <c r="T82" s="390" t="str">
        <f t="shared" ref="T82" si="734">IFERROR((T80/T81)*1000,"")</f>
        <v/>
      </c>
      <c r="U82" s="390" t="str">
        <f t="shared" ref="U82" si="735">IFERROR((U80/U81)*1000,"")</f>
        <v/>
      </c>
      <c r="V82" s="390" t="str">
        <f t="shared" ref="V82" si="736">IFERROR((V80/V81)*1000,"")</f>
        <v/>
      </c>
      <c r="W82" s="390" t="str">
        <f t="shared" ref="W82" si="737">IFERROR((W80/W81)*1000,"")</f>
        <v/>
      </c>
      <c r="X82" s="390" t="str">
        <f t="shared" ref="X82" si="738">IFERROR((X80/X81)*1000,"")</f>
        <v/>
      </c>
      <c r="Y82" s="390" t="str">
        <f t="shared" ref="Y82" si="739">IFERROR((Y80/Y81)*1000,"")</f>
        <v/>
      </c>
      <c r="Z82" s="390" t="str">
        <f t="shared" ref="Z82" si="740">IFERROR((Z80/Z81)*1000,"")</f>
        <v/>
      </c>
      <c r="AA82" s="390" t="str">
        <f t="shared" ref="AA82" si="741">IFERROR((AA80/AA81)*1000,"")</f>
        <v/>
      </c>
      <c r="AB82" s="390" t="str">
        <f t="shared" ref="AB82" si="742">IFERROR((AB80/AB81)*1000,"")</f>
        <v/>
      </c>
      <c r="AC82" s="390" t="str">
        <f t="shared" ref="AC82" si="743">IFERROR((AC80/AC81)*1000,"")</f>
        <v/>
      </c>
      <c r="AD82" s="390" t="str">
        <f t="shared" ref="AD82" si="744">IFERROR((AD80/AD81)*1000,"")</f>
        <v/>
      </c>
      <c r="AE82" s="390" t="str">
        <f t="shared" ref="AE82" si="745">IFERROR((AE80/AE81)*1000,"")</f>
        <v/>
      </c>
      <c r="AF82" s="390" t="str">
        <f t="shared" ref="AF82" si="746">IFERROR((AF80/AF81)*1000,"")</f>
        <v/>
      </c>
      <c r="AG82" s="390" t="str">
        <f t="shared" ref="AG82" si="747">IFERROR((AG80/AG81)*1000,"")</f>
        <v/>
      </c>
      <c r="AH82" s="390" t="str">
        <f t="shared" ref="AH82" si="748">IFERROR((AH80/AH81)*1000,"")</f>
        <v/>
      </c>
      <c r="AI82" s="390" t="str">
        <f t="shared" ref="AI82" si="749">IFERROR((AI80/AI81)*1000,"")</f>
        <v/>
      </c>
      <c r="AJ82" s="390" t="str">
        <f t="shared" ref="AJ82" si="750">IFERROR((AJ80/AJ81)*1000,"")</f>
        <v/>
      </c>
      <c r="AK82" s="390" t="str">
        <f t="shared" ref="AK82" si="751">IFERROR((AK80/AK81)*1000,"")</f>
        <v/>
      </c>
      <c r="AL82" s="390" t="str">
        <f t="shared" ref="AL82" si="752">IFERROR((AL80/AL81)*1000,"")</f>
        <v/>
      </c>
      <c r="AM82" s="390" t="str">
        <f t="shared" ref="AM82" si="753">IFERROR((AM80/AM81)*1000,"")</f>
        <v/>
      </c>
      <c r="AN82" s="390" t="str">
        <f t="shared" ref="AN82" si="754">IFERROR((AN80/AN81)*1000,"")</f>
        <v/>
      </c>
      <c r="AO82" s="390" t="str">
        <f t="shared" ref="AO82" si="755">IFERROR((AO80/AO81)*1000,"")</f>
        <v/>
      </c>
      <c r="AP82" s="390" t="str">
        <f t="shared" ref="AP82" si="756">IFERROR((AP80/AP81)*1000,"")</f>
        <v/>
      </c>
      <c r="AQ82" s="390" t="str">
        <f t="shared" ref="AQ82" si="757">IFERROR((AQ80/AQ81)*1000,"")</f>
        <v/>
      </c>
      <c r="AR82" s="390" t="str">
        <f t="shared" ref="AR82" si="758">IFERROR((AR80/AR81)*1000,"")</f>
        <v/>
      </c>
      <c r="AS82" s="390" t="str">
        <f t="shared" ref="AS82" si="759">IFERROR((AS80/AS81)*1000,"")</f>
        <v/>
      </c>
      <c r="AT82" s="390" t="str">
        <f t="shared" ref="AT82" si="760">IFERROR((AT80/AT81)*1000,"")</f>
        <v/>
      </c>
      <c r="AU82" s="390" t="str">
        <f t="shared" ref="AU82" si="761">IFERROR((AU80/AU81)*1000,"")</f>
        <v/>
      </c>
      <c r="AV82" s="390" t="str">
        <f t="shared" ref="AV82" si="762">IFERROR((AV80/AV81)*1000,"")</f>
        <v/>
      </c>
      <c r="AW82" s="390" t="str">
        <f t="shared" ref="AW82" si="763">IFERROR((AW80/AW81)*1000,"")</f>
        <v/>
      </c>
      <c r="AX82" s="390" t="str">
        <f t="shared" ref="AX82" si="764">IFERROR((AX80/AX81)*1000,"")</f>
        <v/>
      </c>
      <c r="AY82" s="390" t="str">
        <f t="shared" ref="AY82" si="765">IFERROR((AY80/AY81)*1000,"")</f>
        <v/>
      </c>
      <c r="AZ82" s="390" t="str">
        <f t="shared" ref="AZ82" si="766">IFERROR((AZ80/AZ81)*1000,"")</f>
        <v/>
      </c>
      <c r="BA82" s="390" t="str">
        <f t="shared" ref="BA82" si="767">IFERROR((BA80/BA81)*1000,"")</f>
        <v/>
      </c>
      <c r="BB82" s="390" t="str">
        <f t="shared" ref="BB82" si="768">IFERROR((BB80/BB81)*1000,"")</f>
        <v/>
      </c>
      <c r="BC82" s="390" t="str">
        <f t="shared" ref="BC82" si="769">IFERROR((BC80/BC81)*1000,"")</f>
        <v/>
      </c>
      <c r="BD82" s="390" t="str">
        <f t="shared" ref="BD82" si="770">IFERROR((BD80/BD81)*1000,"")</f>
        <v/>
      </c>
      <c r="BE82" s="390" t="str">
        <f t="shared" ref="BE82" si="771">IFERROR((BE80/BE81)*1000,"")</f>
        <v/>
      </c>
      <c r="BF82" s="390" t="str">
        <f t="shared" ref="BF82" si="772">IFERROR((BF80/BF81)*1000,"")</f>
        <v/>
      </c>
      <c r="BG82" s="390" t="str">
        <f t="shared" ref="BG82" si="773">IFERROR((BG80/BG81)*1000,"")</f>
        <v/>
      </c>
      <c r="BH82" s="390" t="str">
        <f t="shared" ref="BH82" si="774">IFERROR((BH80/BH81)*1000,"")</f>
        <v/>
      </c>
      <c r="BI82" s="390" t="str">
        <f t="shared" ref="BI82" si="775">IFERROR((BI80/BI81)*1000,"")</f>
        <v/>
      </c>
      <c r="BJ82" s="390" t="str">
        <f t="shared" ref="BJ82" si="776">IFERROR((BJ80/BJ81)*1000,"")</f>
        <v/>
      </c>
      <c r="BK82" s="390" t="str">
        <f t="shared" ref="BK82" si="777">IFERROR((BK80/BK81)*1000,"")</f>
        <v/>
      </c>
      <c r="BL82" s="390" t="str">
        <f t="shared" ref="BL82" si="778">IFERROR((BL80/BL81)*1000,"")</f>
        <v/>
      </c>
      <c r="BM82" s="390" t="str">
        <f t="shared" ref="BM82" si="779">IFERROR((BM80/BM81)*1000,"")</f>
        <v/>
      </c>
      <c r="BN82" s="390" t="str">
        <f t="shared" ref="BN82" si="780">IFERROR((BN80/BN81)*1000,"")</f>
        <v/>
      </c>
      <c r="BO82" s="390" t="str">
        <f t="shared" ref="BO82" si="781">IFERROR((BO80/BO81)*1000,"")</f>
        <v/>
      </c>
      <c r="BP82" s="390" t="str">
        <f t="shared" ref="BP82" si="782">IFERROR((BP80/BP81)*1000,"")</f>
        <v/>
      </c>
      <c r="BQ82" s="390" t="str">
        <f t="shared" ref="BQ82" si="783">IFERROR((BQ80/BQ81)*1000,"")</f>
        <v/>
      </c>
      <c r="BR82" s="390" t="str">
        <f t="shared" ref="BR82" si="784">IFERROR((BR80/BR81)*1000,"")</f>
        <v/>
      </c>
      <c r="BS82" s="390" t="str">
        <f t="shared" ref="BS82" si="785">IFERROR((BS80/BS81)*1000,"")</f>
        <v/>
      </c>
      <c r="BT82" s="390" t="str">
        <f t="shared" ref="BT82" si="786">IFERROR((BT80/BT81)*1000,"")</f>
        <v/>
      </c>
      <c r="BU82" s="390" t="str">
        <f t="shared" ref="BU82" si="787">IFERROR((BU80/BU81)*1000,"")</f>
        <v/>
      </c>
      <c r="BV82" s="390" t="str">
        <f t="shared" ref="BV82" si="788">IFERROR((BV80/BV81)*1000,"")</f>
        <v/>
      </c>
      <c r="BW82" s="390" t="str">
        <f t="shared" ref="BW82" si="789">IFERROR((BW80/BW81)*1000,"")</f>
        <v/>
      </c>
      <c r="BX82" s="390" t="str">
        <f t="shared" ref="BX82" si="790">IFERROR((BX80/BX81)*1000,"")</f>
        <v/>
      </c>
      <c r="BY82" s="390" t="str">
        <f t="shared" ref="BY82" si="791">IFERROR((BY80/BY81)*1000,"")</f>
        <v/>
      </c>
      <c r="BZ82" s="390" t="str">
        <f t="shared" ref="BZ82" si="792">IFERROR((BZ80/BZ81)*1000,"")</f>
        <v/>
      </c>
      <c r="CA82" s="390" t="str">
        <f t="shared" ref="CA82" si="793">IFERROR((CA80/CA81)*1000,"")</f>
        <v/>
      </c>
      <c r="CB82" s="390" t="str">
        <f t="shared" ref="CB82" si="794">IFERROR((CB80/CB81)*1000,"")</f>
        <v/>
      </c>
      <c r="CC82" s="390" t="str">
        <f t="shared" ref="CC82" si="795">IFERROR((CC80/CC81)*1000,"")</f>
        <v/>
      </c>
      <c r="CD82" s="390" t="str">
        <f t="shared" ref="CD82" si="796">IFERROR((CD80/CD81)*1000,"")</f>
        <v/>
      </c>
      <c r="CE82" s="390" t="str">
        <f t="shared" ref="CE82" si="797">IFERROR((CE80/CE81)*1000,"")</f>
        <v/>
      </c>
      <c r="CF82" s="390" t="str">
        <f t="shared" ref="CF82" si="798">IFERROR((CF80/CF81)*1000,"")</f>
        <v/>
      </c>
      <c r="CG82" s="390" t="str">
        <f t="shared" ref="CG82" si="799">IFERROR((CG80/CG81)*1000,"")</f>
        <v/>
      </c>
      <c r="CH82" s="390" t="str">
        <f t="shared" ref="CH82" si="800">IFERROR((CH80/CH81)*1000,"")</f>
        <v/>
      </c>
      <c r="CI82" s="390" t="str">
        <f t="shared" ref="CI82" si="801">IFERROR((CI80/CI81)*1000,"")</f>
        <v/>
      </c>
      <c r="CJ82" s="390" t="str">
        <f t="shared" ref="CJ82" si="802">IFERROR((CJ80/CJ81)*1000,"")</f>
        <v/>
      </c>
      <c r="CK82" s="390" t="str">
        <f t="shared" ref="CK82" si="803">IFERROR((CK80/CK81)*1000,"")</f>
        <v/>
      </c>
      <c r="CL82" s="390" t="str">
        <f t="shared" ref="CL82" si="804">IFERROR((CL80/CL81)*1000,"")</f>
        <v/>
      </c>
      <c r="CN82" s="391" t="str">
        <f t="shared" si="715"/>
        <v/>
      </c>
      <c r="CO82" s="391" t="str">
        <f t="shared" si="716"/>
        <v/>
      </c>
      <c r="CP82" s="391" t="str">
        <f t="shared" si="717"/>
        <v/>
      </c>
    </row>
    <row r="83" spans="1:94" hidden="1" outlineLevel="1">
      <c r="A83" s="394"/>
      <c r="B83" s="394" t="s">
        <v>124</v>
      </c>
      <c r="C83" s="410" t="s">
        <v>364</v>
      </c>
      <c r="D83" s="410" t="s">
        <v>365</v>
      </c>
      <c r="E83" s="411" t="str">
        <f t="shared" ref="E83:AJ83" ca="1" si="805">IFERROR(IF((INDEX($E74:$CL81,8,MATCH(base,$E74:$CL74,0))/INDEX($E74:$CL81,3,MATCH(sector_base,$E74:$CL74,0))/(E81/E76))&gt;=1,1,(INDEX($E74:$CL81,8,MATCH(base,$E74:$CL74,0))/INDEX($E74:$CL81,3,MATCH(base,$E74:$CL74,0))/(E81/E76))),"")</f>
        <v/>
      </c>
      <c r="F83" s="412" t="str">
        <f t="shared" ca="1" si="805"/>
        <v/>
      </c>
      <c r="G83" s="412" t="str">
        <f t="shared" ca="1" si="805"/>
        <v/>
      </c>
      <c r="H83" s="412" t="str">
        <f t="shared" ca="1" si="805"/>
        <v/>
      </c>
      <c r="I83" s="412" t="str">
        <f t="shared" ca="1" si="805"/>
        <v/>
      </c>
      <c r="J83" s="412" t="str">
        <f t="shared" ca="1" si="805"/>
        <v/>
      </c>
      <c r="K83" s="412" t="str">
        <f t="shared" ca="1" si="805"/>
        <v/>
      </c>
      <c r="L83" s="412" t="str">
        <f t="shared" ca="1" si="805"/>
        <v/>
      </c>
      <c r="M83" s="412" t="str">
        <f t="shared" ca="1" si="805"/>
        <v/>
      </c>
      <c r="N83" s="412" t="str">
        <f t="shared" ca="1" si="805"/>
        <v/>
      </c>
      <c r="O83" s="412" t="str">
        <f t="shared" ca="1" si="805"/>
        <v/>
      </c>
      <c r="P83" s="412" t="str">
        <f t="shared" ca="1" si="805"/>
        <v/>
      </c>
      <c r="Q83" s="412" t="str">
        <f t="shared" ca="1" si="805"/>
        <v/>
      </c>
      <c r="R83" s="412" t="str">
        <f t="shared" ca="1" si="805"/>
        <v/>
      </c>
      <c r="S83" s="412" t="str">
        <f t="shared" ca="1" si="805"/>
        <v/>
      </c>
      <c r="T83" s="412" t="str">
        <f t="shared" ca="1" si="805"/>
        <v/>
      </c>
      <c r="U83" s="412" t="str">
        <f t="shared" ca="1" si="805"/>
        <v/>
      </c>
      <c r="V83" s="412" t="str">
        <f t="shared" ca="1" si="805"/>
        <v/>
      </c>
      <c r="W83" s="412" t="str">
        <f t="shared" ca="1" si="805"/>
        <v/>
      </c>
      <c r="X83" s="412" t="str">
        <f t="shared" ca="1" si="805"/>
        <v/>
      </c>
      <c r="Y83" s="412" t="str">
        <f t="shared" ca="1" si="805"/>
        <v/>
      </c>
      <c r="Z83" s="412" t="str">
        <f t="shared" ca="1" si="805"/>
        <v/>
      </c>
      <c r="AA83" s="412" t="str">
        <f t="shared" ca="1" si="805"/>
        <v/>
      </c>
      <c r="AB83" s="412" t="str">
        <f t="shared" ca="1" si="805"/>
        <v/>
      </c>
      <c r="AC83" s="412" t="str">
        <f t="shared" ca="1" si="805"/>
        <v/>
      </c>
      <c r="AD83" s="412" t="str">
        <f t="shared" ca="1" si="805"/>
        <v/>
      </c>
      <c r="AE83" s="412" t="str">
        <f t="shared" ca="1" si="805"/>
        <v/>
      </c>
      <c r="AF83" s="412" t="str">
        <f t="shared" ca="1" si="805"/>
        <v/>
      </c>
      <c r="AG83" s="412" t="str">
        <f t="shared" ca="1" si="805"/>
        <v/>
      </c>
      <c r="AH83" s="412" t="str">
        <f t="shared" ca="1" si="805"/>
        <v/>
      </c>
      <c r="AI83" s="412" t="str">
        <f t="shared" ca="1" si="805"/>
        <v/>
      </c>
      <c r="AJ83" s="412" t="str">
        <f t="shared" ca="1" si="805"/>
        <v/>
      </c>
      <c r="AK83" s="412" t="str">
        <f t="shared" ref="AK83:BP83" ca="1" si="806">IFERROR(IF((INDEX($E74:$CL81,8,MATCH(base,$E74:$CL74,0))/INDEX($E74:$CL81,3,MATCH(sector_base,$E74:$CL74,0))/(AK81/AK76))&gt;=1,1,(INDEX($E74:$CL81,8,MATCH(base,$E74:$CL74,0))/INDEX($E74:$CL81,3,MATCH(base,$E74:$CL74,0))/(AK81/AK76))),"")</f>
        <v/>
      </c>
      <c r="AL83" s="412" t="str">
        <f t="shared" ca="1" si="806"/>
        <v/>
      </c>
      <c r="AM83" s="412" t="str">
        <f t="shared" ca="1" si="806"/>
        <v/>
      </c>
      <c r="AN83" s="412" t="str">
        <f t="shared" ca="1" si="806"/>
        <v/>
      </c>
      <c r="AO83" s="412" t="str">
        <f t="shared" ca="1" si="806"/>
        <v/>
      </c>
      <c r="AP83" s="412" t="str">
        <f t="shared" ca="1" si="806"/>
        <v/>
      </c>
      <c r="AQ83" s="412" t="str">
        <f t="shared" ca="1" si="806"/>
        <v/>
      </c>
      <c r="AR83" s="412" t="str">
        <f t="shared" ca="1" si="806"/>
        <v/>
      </c>
      <c r="AS83" s="412" t="str">
        <f t="shared" ca="1" si="806"/>
        <v/>
      </c>
      <c r="AT83" s="412" t="str">
        <f t="shared" ca="1" si="806"/>
        <v/>
      </c>
      <c r="AU83" s="412" t="str">
        <f t="shared" ca="1" si="806"/>
        <v/>
      </c>
      <c r="AV83" s="412" t="str">
        <f t="shared" ca="1" si="806"/>
        <v/>
      </c>
      <c r="AW83" s="412" t="str">
        <f t="shared" ca="1" si="806"/>
        <v/>
      </c>
      <c r="AX83" s="412" t="str">
        <f t="shared" ca="1" si="806"/>
        <v/>
      </c>
      <c r="AY83" s="412" t="str">
        <f t="shared" ca="1" si="806"/>
        <v/>
      </c>
      <c r="AZ83" s="412" t="str">
        <f t="shared" ca="1" si="806"/>
        <v/>
      </c>
      <c r="BA83" s="412" t="str">
        <f t="shared" ca="1" si="806"/>
        <v/>
      </c>
      <c r="BB83" s="412" t="str">
        <f t="shared" ca="1" si="806"/>
        <v/>
      </c>
      <c r="BC83" s="412" t="str">
        <f t="shared" ca="1" si="806"/>
        <v/>
      </c>
      <c r="BD83" s="412" t="str">
        <f t="shared" ca="1" si="806"/>
        <v/>
      </c>
      <c r="BE83" s="412" t="str">
        <f t="shared" ca="1" si="806"/>
        <v/>
      </c>
      <c r="BF83" s="412" t="str">
        <f t="shared" ca="1" si="806"/>
        <v/>
      </c>
      <c r="BG83" s="412" t="str">
        <f t="shared" ca="1" si="806"/>
        <v/>
      </c>
      <c r="BH83" s="412" t="str">
        <f t="shared" ca="1" si="806"/>
        <v/>
      </c>
      <c r="BI83" s="412" t="str">
        <f t="shared" ca="1" si="806"/>
        <v/>
      </c>
      <c r="BJ83" s="412" t="str">
        <f t="shared" ca="1" si="806"/>
        <v/>
      </c>
      <c r="BK83" s="412" t="str">
        <f t="shared" ca="1" si="806"/>
        <v/>
      </c>
      <c r="BL83" s="412" t="str">
        <f t="shared" ca="1" si="806"/>
        <v/>
      </c>
      <c r="BM83" s="412" t="str">
        <f t="shared" ca="1" si="806"/>
        <v/>
      </c>
      <c r="BN83" s="412" t="str">
        <f t="shared" ca="1" si="806"/>
        <v/>
      </c>
      <c r="BO83" s="412" t="str">
        <f t="shared" ca="1" si="806"/>
        <v/>
      </c>
      <c r="BP83" s="412" t="str">
        <f t="shared" ca="1" si="806"/>
        <v/>
      </c>
      <c r="BQ83" s="412" t="str">
        <f t="shared" ref="BQ83:CL83" ca="1" si="807">IFERROR(IF((INDEX($E74:$CL81,8,MATCH(base,$E74:$CL74,0))/INDEX($E74:$CL81,3,MATCH(sector_base,$E74:$CL74,0))/(BQ81/BQ76))&gt;=1,1,(INDEX($E74:$CL81,8,MATCH(base,$E74:$CL74,0))/INDEX($E74:$CL81,3,MATCH(base,$E74:$CL74,0))/(BQ81/BQ76))),"")</f>
        <v/>
      </c>
      <c r="BR83" s="412" t="str">
        <f t="shared" ca="1" si="807"/>
        <v/>
      </c>
      <c r="BS83" s="412" t="str">
        <f t="shared" ca="1" si="807"/>
        <v/>
      </c>
      <c r="BT83" s="412" t="str">
        <f t="shared" ca="1" si="807"/>
        <v/>
      </c>
      <c r="BU83" s="412" t="str">
        <f t="shared" ca="1" si="807"/>
        <v/>
      </c>
      <c r="BV83" s="412" t="str">
        <f t="shared" ca="1" si="807"/>
        <v/>
      </c>
      <c r="BW83" s="412" t="str">
        <f t="shared" ca="1" si="807"/>
        <v/>
      </c>
      <c r="BX83" s="412" t="str">
        <f t="shared" ca="1" si="807"/>
        <v/>
      </c>
      <c r="BY83" s="412" t="str">
        <f t="shared" ca="1" si="807"/>
        <v/>
      </c>
      <c r="BZ83" s="412" t="str">
        <f t="shared" ca="1" si="807"/>
        <v/>
      </c>
      <c r="CA83" s="412" t="str">
        <f t="shared" ca="1" si="807"/>
        <v/>
      </c>
      <c r="CB83" s="412" t="str">
        <f t="shared" ca="1" si="807"/>
        <v/>
      </c>
      <c r="CC83" s="412" t="str">
        <f t="shared" ca="1" si="807"/>
        <v/>
      </c>
      <c r="CD83" s="412" t="str">
        <f t="shared" ca="1" si="807"/>
        <v/>
      </c>
      <c r="CE83" s="412" t="str">
        <f t="shared" ca="1" si="807"/>
        <v/>
      </c>
      <c r="CF83" s="412" t="str">
        <f t="shared" ca="1" si="807"/>
        <v/>
      </c>
      <c r="CG83" s="412" t="str">
        <f t="shared" ca="1" si="807"/>
        <v/>
      </c>
      <c r="CH83" s="412" t="str">
        <f t="shared" ca="1" si="807"/>
        <v/>
      </c>
      <c r="CI83" s="412" t="str">
        <f t="shared" ca="1" si="807"/>
        <v/>
      </c>
      <c r="CJ83" s="412" t="str">
        <f t="shared" ca="1" si="807"/>
        <v/>
      </c>
      <c r="CK83" s="412" t="str">
        <f t="shared" ca="1" si="807"/>
        <v/>
      </c>
      <c r="CL83" s="412" t="str">
        <f t="shared" ca="1" si="807"/>
        <v/>
      </c>
      <c r="CN83" s="406" t="str">
        <f ca="1">IFERROR((Y83/H83)^(1/17)-1,"")</f>
        <v/>
      </c>
      <c r="CO83" s="406" t="str">
        <f ca="1">IFERROR((AN83/Y83)^(1/15)-1,"")</f>
        <v/>
      </c>
      <c r="CP83" s="406" t="str">
        <f ca="1">IFERROR((AN83/H83)^(1/32)-1,"")</f>
        <v/>
      </c>
    </row>
    <row r="84" spans="1:94" hidden="1" outlineLevel="1">
      <c r="A84" s="399"/>
      <c r="B84" s="399" t="s">
        <v>27</v>
      </c>
      <c r="C84" s="399" t="s">
        <v>366</v>
      </c>
      <c r="D84" s="399" t="s">
        <v>367</v>
      </c>
      <c r="E84" s="401" t="str">
        <f t="shared" ref="E84:AJ84" ca="1" si="808">IFERROR(IF(INDEX($E74:$CL83,9,MATCH(base,$E74:$CL74,0))-E79&lt;0,"N/A",INDEX($E74:$CL83,9,MATCH(base,$E74:$CL74,0))-E79),"")</f>
        <v/>
      </c>
      <c r="F84" s="402" t="str">
        <f t="shared" ca="1" si="808"/>
        <v/>
      </c>
      <c r="G84" s="402" t="str">
        <f t="shared" ca="1" si="808"/>
        <v/>
      </c>
      <c r="H84" s="402" t="str">
        <f t="shared" ca="1" si="808"/>
        <v/>
      </c>
      <c r="I84" s="402" t="str">
        <f t="shared" ca="1" si="808"/>
        <v/>
      </c>
      <c r="J84" s="402" t="str">
        <f t="shared" ca="1" si="808"/>
        <v/>
      </c>
      <c r="K84" s="402" t="str">
        <f t="shared" ca="1" si="808"/>
        <v/>
      </c>
      <c r="L84" s="402" t="str">
        <f t="shared" ca="1" si="808"/>
        <v/>
      </c>
      <c r="M84" s="402" t="str">
        <f t="shared" ca="1" si="808"/>
        <v/>
      </c>
      <c r="N84" s="402" t="str">
        <f t="shared" ca="1" si="808"/>
        <v/>
      </c>
      <c r="O84" s="402" t="str">
        <f t="shared" ca="1" si="808"/>
        <v/>
      </c>
      <c r="P84" s="402" t="str">
        <f t="shared" ca="1" si="808"/>
        <v/>
      </c>
      <c r="Q84" s="402" t="str">
        <f t="shared" ca="1" si="808"/>
        <v/>
      </c>
      <c r="R84" s="402" t="str">
        <f t="shared" ca="1" si="808"/>
        <v/>
      </c>
      <c r="S84" s="402" t="str">
        <f t="shared" ca="1" si="808"/>
        <v/>
      </c>
      <c r="T84" s="402" t="str">
        <f t="shared" ca="1" si="808"/>
        <v/>
      </c>
      <c r="U84" s="402" t="str">
        <f t="shared" ca="1" si="808"/>
        <v/>
      </c>
      <c r="V84" s="402" t="str">
        <f t="shared" ca="1" si="808"/>
        <v/>
      </c>
      <c r="W84" s="402" t="str">
        <f t="shared" ca="1" si="808"/>
        <v/>
      </c>
      <c r="X84" s="402" t="str">
        <f t="shared" ca="1" si="808"/>
        <v/>
      </c>
      <c r="Y84" s="402" t="str">
        <f t="shared" ca="1" si="808"/>
        <v/>
      </c>
      <c r="Z84" s="402" t="str">
        <f t="shared" ca="1" si="808"/>
        <v/>
      </c>
      <c r="AA84" s="402" t="str">
        <f t="shared" ca="1" si="808"/>
        <v/>
      </c>
      <c r="AB84" s="402" t="str">
        <f t="shared" ca="1" si="808"/>
        <v/>
      </c>
      <c r="AC84" s="402" t="str">
        <f t="shared" ca="1" si="808"/>
        <v/>
      </c>
      <c r="AD84" s="402" t="str">
        <f t="shared" ca="1" si="808"/>
        <v/>
      </c>
      <c r="AE84" s="402" t="str">
        <f t="shared" ca="1" si="808"/>
        <v/>
      </c>
      <c r="AF84" s="402" t="str">
        <f t="shared" ca="1" si="808"/>
        <v/>
      </c>
      <c r="AG84" s="402" t="str">
        <f t="shared" ca="1" si="808"/>
        <v/>
      </c>
      <c r="AH84" s="402" t="str">
        <f t="shared" ca="1" si="808"/>
        <v/>
      </c>
      <c r="AI84" s="402" t="str">
        <f t="shared" ca="1" si="808"/>
        <v/>
      </c>
      <c r="AJ84" s="402" t="str">
        <f t="shared" ca="1" si="808"/>
        <v/>
      </c>
      <c r="AK84" s="402" t="str">
        <f t="shared" ref="AK84:BP84" ca="1" si="809">IFERROR(IF(INDEX($E74:$CL83,9,MATCH(base,$E74:$CL74,0))-AK79&lt;0,"N/A",INDEX($E74:$CL83,9,MATCH(base,$E74:$CL74,0))-AK79),"")</f>
        <v/>
      </c>
      <c r="AL84" s="402" t="str">
        <f t="shared" ca="1" si="809"/>
        <v/>
      </c>
      <c r="AM84" s="402" t="str">
        <f t="shared" ca="1" si="809"/>
        <v/>
      </c>
      <c r="AN84" s="402" t="str">
        <f t="shared" ca="1" si="809"/>
        <v/>
      </c>
      <c r="AO84" s="402" t="str">
        <f t="shared" ca="1" si="809"/>
        <v/>
      </c>
      <c r="AP84" s="402" t="str">
        <f t="shared" ca="1" si="809"/>
        <v/>
      </c>
      <c r="AQ84" s="402" t="str">
        <f t="shared" ca="1" si="809"/>
        <v/>
      </c>
      <c r="AR84" s="402" t="str">
        <f t="shared" ca="1" si="809"/>
        <v/>
      </c>
      <c r="AS84" s="402" t="str">
        <f t="shared" ca="1" si="809"/>
        <v/>
      </c>
      <c r="AT84" s="402" t="str">
        <f t="shared" ca="1" si="809"/>
        <v/>
      </c>
      <c r="AU84" s="402" t="str">
        <f t="shared" ca="1" si="809"/>
        <v/>
      </c>
      <c r="AV84" s="402" t="str">
        <f t="shared" ca="1" si="809"/>
        <v/>
      </c>
      <c r="AW84" s="402" t="str">
        <f t="shared" ca="1" si="809"/>
        <v/>
      </c>
      <c r="AX84" s="402" t="str">
        <f t="shared" ca="1" si="809"/>
        <v/>
      </c>
      <c r="AY84" s="402" t="str">
        <f t="shared" ca="1" si="809"/>
        <v/>
      </c>
      <c r="AZ84" s="402" t="str">
        <f t="shared" ca="1" si="809"/>
        <v/>
      </c>
      <c r="BA84" s="402" t="str">
        <f t="shared" ca="1" si="809"/>
        <v/>
      </c>
      <c r="BB84" s="402" t="str">
        <f t="shared" ca="1" si="809"/>
        <v/>
      </c>
      <c r="BC84" s="402" t="str">
        <f t="shared" ca="1" si="809"/>
        <v/>
      </c>
      <c r="BD84" s="402" t="str">
        <f t="shared" ca="1" si="809"/>
        <v/>
      </c>
      <c r="BE84" s="402" t="str">
        <f t="shared" ca="1" si="809"/>
        <v/>
      </c>
      <c r="BF84" s="402" t="str">
        <f t="shared" ca="1" si="809"/>
        <v/>
      </c>
      <c r="BG84" s="402" t="str">
        <f t="shared" ca="1" si="809"/>
        <v/>
      </c>
      <c r="BH84" s="402" t="str">
        <f t="shared" ca="1" si="809"/>
        <v/>
      </c>
      <c r="BI84" s="402" t="str">
        <f t="shared" ca="1" si="809"/>
        <v/>
      </c>
      <c r="BJ84" s="402" t="str">
        <f t="shared" ca="1" si="809"/>
        <v/>
      </c>
      <c r="BK84" s="402" t="str">
        <f t="shared" ca="1" si="809"/>
        <v/>
      </c>
      <c r="BL84" s="402" t="str">
        <f t="shared" ca="1" si="809"/>
        <v/>
      </c>
      <c r="BM84" s="402" t="str">
        <f t="shared" ca="1" si="809"/>
        <v/>
      </c>
      <c r="BN84" s="402" t="str">
        <f t="shared" ca="1" si="809"/>
        <v/>
      </c>
      <c r="BO84" s="402" t="str">
        <f t="shared" ca="1" si="809"/>
        <v/>
      </c>
      <c r="BP84" s="402" t="str">
        <f t="shared" ca="1" si="809"/>
        <v/>
      </c>
      <c r="BQ84" s="402" t="str">
        <f t="shared" ref="BQ84:CL84" ca="1" si="810">IFERROR(IF(INDEX($E74:$CL83,9,MATCH(base,$E74:$CL74,0))-BQ79&lt;0,"N/A",INDEX($E74:$CL83,9,MATCH(base,$E74:$CL74,0))-BQ79),"")</f>
        <v/>
      </c>
      <c r="BR84" s="402" t="str">
        <f t="shared" ca="1" si="810"/>
        <v/>
      </c>
      <c r="BS84" s="402" t="str">
        <f t="shared" ca="1" si="810"/>
        <v/>
      </c>
      <c r="BT84" s="402" t="str">
        <f t="shared" ca="1" si="810"/>
        <v/>
      </c>
      <c r="BU84" s="402" t="str">
        <f t="shared" ca="1" si="810"/>
        <v/>
      </c>
      <c r="BV84" s="402" t="str">
        <f t="shared" ca="1" si="810"/>
        <v/>
      </c>
      <c r="BW84" s="402" t="str">
        <f t="shared" ca="1" si="810"/>
        <v/>
      </c>
      <c r="BX84" s="402" t="str">
        <f t="shared" ca="1" si="810"/>
        <v/>
      </c>
      <c r="BY84" s="402" t="str">
        <f t="shared" ca="1" si="810"/>
        <v/>
      </c>
      <c r="BZ84" s="402" t="str">
        <f t="shared" ca="1" si="810"/>
        <v/>
      </c>
      <c r="CA84" s="402" t="str">
        <f t="shared" ca="1" si="810"/>
        <v/>
      </c>
      <c r="CB84" s="402" t="str">
        <f t="shared" ca="1" si="810"/>
        <v/>
      </c>
      <c r="CC84" s="402" t="str">
        <f t="shared" ca="1" si="810"/>
        <v/>
      </c>
      <c r="CD84" s="402" t="str">
        <f t="shared" ca="1" si="810"/>
        <v/>
      </c>
      <c r="CE84" s="402" t="str">
        <f t="shared" ca="1" si="810"/>
        <v/>
      </c>
      <c r="CF84" s="402" t="str">
        <f t="shared" ca="1" si="810"/>
        <v/>
      </c>
      <c r="CG84" s="402" t="str">
        <f t="shared" ca="1" si="810"/>
        <v/>
      </c>
      <c r="CH84" s="402" t="str">
        <f t="shared" ca="1" si="810"/>
        <v/>
      </c>
      <c r="CI84" s="402" t="str">
        <f t="shared" ca="1" si="810"/>
        <v/>
      </c>
      <c r="CJ84" s="402" t="str">
        <f t="shared" ca="1" si="810"/>
        <v/>
      </c>
      <c r="CK84" s="402" t="str">
        <f t="shared" ca="1" si="810"/>
        <v/>
      </c>
      <c r="CL84" s="402" t="str">
        <f t="shared" ca="1" si="810"/>
        <v/>
      </c>
      <c r="CN84" s="398" t="str">
        <f ca="1">IFERROR((Y84/H84)^(1/17)-1,"")</f>
        <v/>
      </c>
      <c r="CO84" s="398" t="str">
        <f ca="1">IFERROR((AN84/Y84)^(1/15)-1,"")</f>
        <v/>
      </c>
      <c r="CP84" s="398" t="str">
        <f ca="1">IFERROR((AN84/H84)^(1/32)-1,"")</f>
        <v/>
      </c>
    </row>
    <row r="85" spans="1:94" hidden="1" outlineLevel="1">
      <c r="A85" s="403" t="s">
        <v>255</v>
      </c>
      <c r="B85" s="403" t="s">
        <v>256</v>
      </c>
      <c r="C85" s="403" t="s">
        <v>368</v>
      </c>
      <c r="D85" s="403" t="s">
        <v>369</v>
      </c>
      <c r="E85" s="405" t="e">
        <f t="shared" ref="E85:N85" si="811">IF(E8&lt;sector_base,NA(),IF($B$6="ON", IF(E8&gt;=covid_start, IF(E8&lt;covid_recovery,NA(),IFERROR(E79+(E78*E84*E83),0)),IFERROR(E79+(E78*E84*E83),0)),IFERROR(E79+(E78*E84*E83),0)))</f>
        <v>#N/A</v>
      </c>
      <c r="F85" s="405" t="e">
        <f t="shared" si="811"/>
        <v>#N/A</v>
      </c>
      <c r="G85" s="405" t="e">
        <f t="shared" si="811"/>
        <v>#N/A</v>
      </c>
      <c r="H85" s="405" t="e">
        <f>IF(H8&lt;sector_base,NA(),IF($B$6="ON", IF(H8&gt;=covid_start, IF(H8&lt;covid_recovery,NA(),IFERROR(H79+(H78*H84*H83),0)),IFERROR(H79+(H78*H84*H83),0)),IFERROR(H79+(H78*H84*H83),0)))</f>
        <v>#N/A</v>
      </c>
      <c r="I85" s="405">
        <f ca="1">IF(I8&lt;sector_base,NA(),IF($B$6="ON", IF(I8&gt;=covid_start, IF(I8&lt;covid_recovery,NA(),IFERROR(I79+(I78*I84*I83),0)),IFERROR(I79+(I78*I84*I83),0)),IFERROR(I79+(I78*I84*I83),0)))</f>
        <v>0</v>
      </c>
      <c r="J85" s="405" t="e">
        <f>IF(J8&lt;sector_base,NA(),IF($B$6="ON", IF(J8&gt;=covid_start, IF(J8&lt;covid_recovery,NA(),IFERROR(J79+(J78*J84*J83),0)),IFERROR(J79+(J78*J84*J83),0)),IFERROR(J79+(J78*J84*J83),0)))</f>
        <v>#N/A</v>
      </c>
      <c r="K85" s="405" t="e">
        <f t="shared" si="811"/>
        <v>#N/A</v>
      </c>
      <c r="L85" s="405" t="e">
        <f t="shared" si="811"/>
        <v>#N/A</v>
      </c>
      <c r="M85" s="405">
        <f t="shared" ca="1" si="811"/>
        <v>0</v>
      </c>
      <c r="N85" s="405">
        <f t="shared" ca="1" si="811"/>
        <v>0</v>
      </c>
      <c r="O85" s="405">
        <f t="shared" ref="O85:AT85" ca="1" si="812">IF(O8&lt;sector_base,NA(),IF($B$6="ON", IF(O8&gt;=covid_start, IF(O8&lt;covid_recovery,NA(),IFERROR(O79+(O78*O84*O83),0)),IFERROR(O79+(O78*O84*O83),0)),IFERROR(O79+(O78*O84*O83),0)))</f>
        <v>0</v>
      </c>
      <c r="P85" s="405">
        <f t="shared" ca="1" si="812"/>
        <v>0</v>
      </c>
      <c r="Q85" s="405">
        <f t="shared" ca="1" si="812"/>
        <v>0</v>
      </c>
      <c r="R85" s="405">
        <f t="shared" ca="1" si="812"/>
        <v>0</v>
      </c>
      <c r="S85" s="405">
        <f t="shared" ca="1" si="812"/>
        <v>0</v>
      </c>
      <c r="T85" s="405">
        <f t="shared" ca="1" si="812"/>
        <v>0</v>
      </c>
      <c r="U85" s="405">
        <f t="shared" ca="1" si="812"/>
        <v>0</v>
      </c>
      <c r="V85" s="405">
        <f t="shared" ca="1" si="812"/>
        <v>0</v>
      </c>
      <c r="W85" s="405">
        <f t="shared" ca="1" si="812"/>
        <v>0</v>
      </c>
      <c r="X85" s="405">
        <f t="shared" ca="1" si="812"/>
        <v>0</v>
      </c>
      <c r="Y85" s="405">
        <f t="shared" ca="1" si="812"/>
        <v>0</v>
      </c>
      <c r="Z85" s="405">
        <f t="shared" ca="1" si="812"/>
        <v>0</v>
      </c>
      <c r="AA85" s="405">
        <f t="shared" ca="1" si="812"/>
        <v>0</v>
      </c>
      <c r="AB85" s="405">
        <f t="shared" ca="1" si="812"/>
        <v>0</v>
      </c>
      <c r="AC85" s="405">
        <f t="shared" ca="1" si="812"/>
        <v>0</v>
      </c>
      <c r="AD85" s="405">
        <f t="shared" ca="1" si="812"/>
        <v>0</v>
      </c>
      <c r="AE85" s="405">
        <f t="shared" ca="1" si="812"/>
        <v>0</v>
      </c>
      <c r="AF85" s="405">
        <f t="shared" ca="1" si="812"/>
        <v>0</v>
      </c>
      <c r="AG85" s="405">
        <f t="shared" ca="1" si="812"/>
        <v>0</v>
      </c>
      <c r="AH85" s="405">
        <f t="shared" ca="1" si="812"/>
        <v>0</v>
      </c>
      <c r="AI85" s="405">
        <f t="shared" ca="1" si="812"/>
        <v>0</v>
      </c>
      <c r="AJ85" s="405">
        <f t="shared" ca="1" si="812"/>
        <v>0</v>
      </c>
      <c r="AK85" s="405">
        <f t="shared" ca="1" si="812"/>
        <v>0</v>
      </c>
      <c r="AL85" s="405">
        <f t="shared" ca="1" si="812"/>
        <v>0</v>
      </c>
      <c r="AM85" s="405">
        <f t="shared" ca="1" si="812"/>
        <v>0</v>
      </c>
      <c r="AN85" s="405">
        <f t="shared" ca="1" si="812"/>
        <v>0</v>
      </c>
      <c r="AO85" s="405">
        <f t="shared" ca="1" si="812"/>
        <v>0</v>
      </c>
      <c r="AP85" s="405">
        <f t="shared" ca="1" si="812"/>
        <v>0</v>
      </c>
      <c r="AQ85" s="405">
        <f t="shared" ca="1" si="812"/>
        <v>0</v>
      </c>
      <c r="AR85" s="405">
        <f t="shared" ca="1" si="812"/>
        <v>0</v>
      </c>
      <c r="AS85" s="405">
        <f t="shared" ca="1" si="812"/>
        <v>0</v>
      </c>
      <c r="AT85" s="405">
        <f t="shared" ca="1" si="812"/>
        <v>0</v>
      </c>
      <c r="AU85" s="405">
        <f t="shared" ref="AU85:BZ85" ca="1" si="813">IF(AU8&lt;sector_base,NA(),IF($B$6="ON", IF(AU8&gt;=covid_start, IF(AU8&lt;covid_recovery,NA(),IFERROR(AU79+(AU78*AU84*AU83),0)),IFERROR(AU79+(AU78*AU84*AU83),0)),IFERROR(AU79+(AU78*AU84*AU83),0)))</f>
        <v>0</v>
      </c>
      <c r="AV85" s="405">
        <f t="shared" ca="1" si="813"/>
        <v>0</v>
      </c>
      <c r="AW85" s="405">
        <f t="shared" ca="1" si="813"/>
        <v>0</v>
      </c>
      <c r="AX85" s="405">
        <f t="shared" ca="1" si="813"/>
        <v>0</v>
      </c>
      <c r="AY85" s="405">
        <f t="shared" ca="1" si="813"/>
        <v>0</v>
      </c>
      <c r="AZ85" s="405">
        <f t="shared" ca="1" si="813"/>
        <v>0</v>
      </c>
      <c r="BA85" s="405">
        <f t="shared" ca="1" si="813"/>
        <v>0</v>
      </c>
      <c r="BB85" s="405">
        <f t="shared" ca="1" si="813"/>
        <v>0</v>
      </c>
      <c r="BC85" s="405">
        <f t="shared" ca="1" si="813"/>
        <v>0</v>
      </c>
      <c r="BD85" s="405">
        <f t="shared" ca="1" si="813"/>
        <v>0</v>
      </c>
      <c r="BE85" s="405">
        <f t="shared" ca="1" si="813"/>
        <v>0</v>
      </c>
      <c r="BF85" s="405">
        <f t="shared" ca="1" si="813"/>
        <v>0</v>
      </c>
      <c r="BG85" s="405">
        <f t="shared" ca="1" si="813"/>
        <v>0</v>
      </c>
      <c r="BH85" s="405">
        <f t="shared" ca="1" si="813"/>
        <v>0</v>
      </c>
      <c r="BI85" s="405">
        <f t="shared" ca="1" si="813"/>
        <v>0</v>
      </c>
      <c r="BJ85" s="405">
        <f t="shared" ca="1" si="813"/>
        <v>0</v>
      </c>
      <c r="BK85" s="405">
        <f t="shared" ca="1" si="813"/>
        <v>0</v>
      </c>
      <c r="BL85" s="405">
        <f t="shared" ca="1" si="813"/>
        <v>0</v>
      </c>
      <c r="BM85" s="405">
        <f t="shared" ca="1" si="813"/>
        <v>0</v>
      </c>
      <c r="BN85" s="405">
        <f t="shared" ca="1" si="813"/>
        <v>0</v>
      </c>
      <c r="BO85" s="405">
        <f t="shared" ca="1" si="813"/>
        <v>0</v>
      </c>
      <c r="BP85" s="405">
        <f t="shared" ca="1" si="813"/>
        <v>0</v>
      </c>
      <c r="BQ85" s="405">
        <f t="shared" ca="1" si="813"/>
        <v>0</v>
      </c>
      <c r="BR85" s="405">
        <f t="shared" ca="1" si="813"/>
        <v>0</v>
      </c>
      <c r="BS85" s="405">
        <f t="shared" ca="1" si="813"/>
        <v>0</v>
      </c>
      <c r="BT85" s="405">
        <f t="shared" ca="1" si="813"/>
        <v>0</v>
      </c>
      <c r="BU85" s="405">
        <f t="shared" ca="1" si="813"/>
        <v>0</v>
      </c>
      <c r="BV85" s="405">
        <f t="shared" ca="1" si="813"/>
        <v>0</v>
      </c>
      <c r="BW85" s="405">
        <f t="shared" ca="1" si="813"/>
        <v>0</v>
      </c>
      <c r="BX85" s="405">
        <f t="shared" ca="1" si="813"/>
        <v>0</v>
      </c>
      <c r="BY85" s="405">
        <f t="shared" ca="1" si="813"/>
        <v>0</v>
      </c>
      <c r="BZ85" s="405">
        <f t="shared" ca="1" si="813"/>
        <v>0</v>
      </c>
      <c r="CA85" s="405">
        <f t="shared" ref="CA85:CL85" ca="1" si="814">IF(CA8&lt;sector_base,NA(),IF($B$6="ON", IF(CA8&gt;=covid_start, IF(CA8&lt;covid_recovery,NA(),IFERROR(CA79+(CA78*CA84*CA83),0)),IFERROR(CA79+(CA78*CA84*CA83),0)),IFERROR(CA79+(CA78*CA84*CA83),0)))</f>
        <v>0</v>
      </c>
      <c r="CB85" s="405">
        <f t="shared" ca="1" si="814"/>
        <v>0</v>
      </c>
      <c r="CC85" s="405">
        <f t="shared" ca="1" si="814"/>
        <v>0</v>
      </c>
      <c r="CD85" s="405">
        <f t="shared" ca="1" si="814"/>
        <v>0</v>
      </c>
      <c r="CE85" s="405">
        <f t="shared" ca="1" si="814"/>
        <v>0</v>
      </c>
      <c r="CF85" s="405">
        <f t="shared" ca="1" si="814"/>
        <v>0</v>
      </c>
      <c r="CG85" s="405">
        <f t="shared" ca="1" si="814"/>
        <v>0</v>
      </c>
      <c r="CH85" s="405">
        <f t="shared" ca="1" si="814"/>
        <v>0</v>
      </c>
      <c r="CI85" s="405">
        <f t="shared" ca="1" si="814"/>
        <v>0</v>
      </c>
      <c r="CJ85" s="405">
        <f t="shared" ca="1" si="814"/>
        <v>0</v>
      </c>
      <c r="CK85" s="405">
        <f t="shared" ca="1" si="814"/>
        <v>0</v>
      </c>
      <c r="CL85" s="405">
        <f t="shared" ca="1" si="814"/>
        <v>0</v>
      </c>
      <c r="CN85" s="406" t="str">
        <f ca="1">IFERROR((Y85/H85)^(1/17)-1,"")</f>
        <v/>
      </c>
      <c r="CO85" s="406" t="str">
        <f ca="1">IFERROR((AN85/Y85)^(1/15)-1,"")</f>
        <v/>
      </c>
      <c r="CP85" s="406" t="str">
        <f ca="1">IFERROR((AN85/H85)^(1/32)-1,"")</f>
        <v/>
      </c>
    </row>
    <row r="86" spans="1:94" hidden="1" outlineLevel="1">
      <c r="A86" s="400" t="s">
        <v>255</v>
      </c>
      <c r="B86" s="400" t="s">
        <v>129</v>
      </c>
      <c r="C86" s="400" t="s">
        <v>370</v>
      </c>
      <c r="D86" s="400"/>
      <c r="E86" s="413" t="e">
        <f>IF(E74=base,E85, IF(E74=target,E85,#N/A))</f>
        <v>#N/A</v>
      </c>
      <c r="F86" s="407" t="e">
        <f>IF(F82=base,F85, IF(F82=target,F85,#N/A))</f>
        <v>#N/A</v>
      </c>
      <c r="G86" s="407" t="e">
        <f>IF(G82=base,G85, IF(G82=target,G85,#N/A))</f>
        <v>#N/A</v>
      </c>
      <c r="H86" s="407" t="e">
        <f>IF(H74=base,H85, IF(H74=target,H85,#N/A))</f>
        <v>#N/A</v>
      </c>
      <c r="I86" s="407">
        <f t="shared" ref="I86:AN86" ca="1" si="815">IF(I74=base,I85, IF(I74=target,I85,#N/A))</f>
        <v>0</v>
      </c>
      <c r="J86" s="407" t="e">
        <f t="shared" si="815"/>
        <v>#N/A</v>
      </c>
      <c r="K86" s="407" t="e">
        <f t="shared" si="815"/>
        <v>#N/A</v>
      </c>
      <c r="L86" s="407" t="e">
        <f t="shared" si="815"/>
        <v>#N/A</v>
      </c>
      <c r="M86" s="407" t="e">
        <f t="shared" si="815"/>
        <v>#N/A</v>
      </c>
      <c r="N86" s="407" t="e">
        <f t="shared" si="815"/>
        <v>#N/A</v>
      </c>
      <c r="O86" s="407" t="e">
        <f t="shared" si="815"/>
        <v>#N/A</v>
      </c>
      <c r="P86" s="407" t="e">
        <f t="shared" si="815"/>
        <v>#N/A</v>
      </c>
      <c r="Q86" s="407" t="e">
        <f t="shared" si="815"/>
        <v>#N/A</v>
      </c>
      <c r="R86" s="407" t="e">
        <f t="shared" si="815"/>
        <v>#N/A</v>
      </c>
      <c r="S86" s="407" t="e">
        <f t="shared" si="815"/>
        <v>#N/A</v>
      </c>
      <c r="T86" s="407" t="e">
        <f t="shared" si="815"/>
        <v>#N/A</v>
      </c>
      <c r="U86" s="407" t="e">
        <f t="shared" si="815"/>
        <v>#N/A</v>
      </c>
      <c r="V86" s="407" t="e">
        <f t="shared" si="815"/>
        <v>#N/A</v>
      </c>
      <c r="W86" s="407" t="e">
        <f t="shared" si="815"/>
        <v>#N/A</v>
      </c>
      <c r="X86" s="407" t="e">
        <f t="shared" si="815"/>
        <v>#N/A</v>
      </c>
      <c r="Y86" s="407" t="e">
        <f>IF(Y74=base,Y85, IF(Y74=target,Y85,#N/A))</f>
        <v>#N/A</v>
      </c>
      <c r="Z86" s="407" t="e">
        <f t="shared" si="815"/>
        <v>#N/A</v>
      </c>
      <c r="AA86" s="407" t="e">
        <f t="shared" si="815"/>
        <v>#N/A</v>
      </c>
      <c r="AB86" s="407" t="e">
        <f t="shared" si="815"/>
        <v>#N/A</v>
      </c>
      <c r="AC86" s="407" t="e">
        <f t="shared" si="815"/>
        <v>#N/A</v>
      </c>
      <c r="AD86" s="407" t="e">
        <f t="shared" si="815"/>
        <v>#N/A</v>
      </c>
      <c r="AE86" s="407" t="e">
        <f t="shared" si="815"/>
        <v>#N/A</v>
      </c>
      <c r="AF86" s="407" t="e">
        <f t="shared" si="815"/>
        <v>#N/A</v>
      </c>
      <c r="AG86" s="407" t="e">
        <f t="shared" si="815"/>
        <v>#N/A</v>
      </c>
      <c r="AH86" s="407" t="e">
        <f t="shared" si="815"/>
        <v>#N/A</v>
      </c>
      <c r="AI86" s="407" t="e">
        <f t="shared" si="815"/>
        <v>#N/A</v>
      </c>
      <c r="AJ86" s="407" t="e">
        <f t="shared" si="815"/>
        <v>#N/A</v>
      </c>
      <c r="AK86" s="407" t="e">
        <f t="shared" si="815"/>
        <v>#N/A</v>
      </c>
      <c r="AL86" s="407" t="e">
        <f t="shared" si="815"/>
        <v>#N/A</v>
      </c>
      <c r="AM86" s="407" t="e">
        <f t="shared" si="815"/>
        <v>#N/A</v>
      </c>
      <c r="AN86" s="407" t="e">
        <f t="shared" si="815"/>
        <v>#N/A</v>
      </c>
      <c r="AO86" s="407">
        <f t="shared" ref="AO86:BT86" ca="1" si="816">IF(AO82=base,AO85, IF(AO82=target,AO85,#N/A))</f>
        <v>0</v>
      </c>
      <c r="AP86" s="407">
        <f t="shared" ca="1" si="816"/>
        <v>0</v>
      </c>
      <c r="AQ86" s="407">
        <f t="shared" ca="1" si="816"/>
        <v>0</v>
      </c>
      <c r="AR86" s="407">
        <f t="shared" ca="1" si="816"/>
        <v>0</v>
      </c>
      <c r="AS86" s="407">
        <f t="shared" ca="1" si="816"/>
        <v>0</v>
      </c>
      <c r="AT86" s="407">
        <f t="shared" ca="1" si="816"/>
        <v>0</v>
      </c>
      <c r="AU86" s="407">
        <f t="shared" ca="1" si="816"/>
        <v>0</v>
      </c>
      <c r="AV86" s="407">
        <f t="shared" ca="1" si="816"/>
        <v>0</v>
      </c>
      <c r="AW86" s="407">
        <f t="shared" ca="1" si="816"/>
        <v>0</v>
      </c>
      <c r="AX86" s="407">
        <f t="shared" ca="1" si="816"/>
        <v>0</v>
      </c>
      <c r="AY86" s="407">
        <f t="shared" ca="1" si="816"/>
        <v>0</v>
      </c>
      <c r="AZ86" s="407">
        <f t="shared" ca="1" si="816"/>
        <v>0</v>
      </c>
      <c r="BA86" s="407">
        <f t="shared" ca="1" si="816"/>
        <v>0</v>
      </c>
      <c r="BB86" s="407">
        <f t="shared" ca="1" si="816"/>
        <v>0</v>
      </c>
      <c r="BC86" s="407">
        <f t="shared" ca="1" si="816"/>
        <v>0</v>
      </c>
      <c r="BD86" s="407">
        <f t="shared" ca="1" si="816"/>
        <v>0</v>
      </c>
      <c r="BE86" s="407">
        <f t="shared" ca="1" si="816"/>
        <v>0</v>
      </c>
      <c r="BF86" s="407">
        <f t="shared" ca="1" si="816"/>
        <v>0</v>
      </c>
      <c r="BG86" s="407">
        <f t="shared" ca="1" si="816"/>
        <v>0</v>
      </c>
      <c r="BH86" s="407">
        <f t="shared" ca="1" si="816"/>
        <v>0</v>
      </c>
      <c r="BI86" s="407">
        <f t="shared" ca="1" si="816"/>
        <v>0</v>
      </c>
      <c r="BJ86" s="407">
        <f t="shared" ca="1" si="816"/>
        <v>0</v>
      </c>
      <c r="BK86" s="407">
        <f t="shared" ca="1" si="816"/>
        <v>0</v>
      </c>
      <c r="BL86" s="407">
        <f t="shared" ca="1" si="816"/>
        <v>0</v>
      </c>
      <c r="BM86" s="407">
        <f t="shared" ca="1" si="816"/>
        <v>0</v>
      </c>
      <c r="BN86" s="407">
        <f t="shared" ca="1" si="816"/>
        <v>0</v>
      </c>
      <c r="BO86" s="407">
        <f t="shared" ca="1" si="816"/>
        <v>0</v>
      </c>
      <c r="BP86" s="407">
        <f t="shared" ca="1" si="816"/>
        <v>0</v>
      </c>
      <c r="BQ86" s="407">
        <f t="shared" ca="1" si="816"/>
        <v>0</v>
      </c>
      <c r="BR86" s="407">
        <f t="shared" ca="1" si="816"/>
        <v>0</v>
      </c>
      <c r="BS86" s="407">
        <f t="shared" ca="1" si="816"/>
        <v>0</v>
      </c>
      <c r="BT86" s="407">
        <f t="shared" ca="1" si="816"/>
        <v>0</v>
      </c>
      <c r="BU86" s="407">
        <f t="shared" ref="BU86:CL86" ca="1" si="817">IF(BU82=base,BU85, IF(BU82=target,BU85,#N/A))</f>
        <v>0</v>
      </c>
      <c r="BV86" s="407">
        <f t="shared" ca="1" si="817"/>
        <v>0</v>
      </c>
      <c r="BW86" s="407">
        <f t="shared" ca="1" si="817"/>
        <v>0</v>
      </c>
      <c r="BX86" s="407">
        <f t="shared" ca="1" si="817"/>
        <v>0</v>
      </c>
      <c r="BY86" s="407">
        <f t="shared" ca="1" si="817"/>
        <v>0</v>
      </c>
      <c r="BZ86" s="407">
        <f t="shared" ca="1" si="817"/>
        <v>0</v>
      </c>
      <c r="CA86" s="407">
        <f t="shared" ca="1" si="817"/>
        <v>0</v>
      </c>
      <c r="CB86" s="407">
        <f t="shared" ca="1" si="817"/>
        <v>0</v>
      </c>
      <c r="CC86" s="407">
        <f t="shared" ca="1" si="817"/>
        <v>0</v>
      </c>
      <c r="CD86" s="407">
        <f t="shared" ca="1" si="817"/>
        <v>0</v>
      </c>
      <c r="CE86" s="407">
        <f t="shared" ca="1" si="817"/>
        <v>0</v>
      </c>
      <c r="CF86" s="407">
        <f t="shared" ca="1" si="817"/>
        <v>0</v>
      </c>
      <c r="CG86" s="407">
        <f t="shared" ca="1" si="817"/>
        <v>0</v>
      </c>
      <c r="CH86" s="407">
        <f t="shared" ca="1" si="817"/>
        <v>0</v>
      </c>
      <c r="CI86" s="407">
        <f t="shared" ca="1" si="817"/>
        <v>0</v>
      </c>
      <c r="CJ86" s="407">
        <f t="shared" ca="1" si="817"/>
        <v>0</v>
      </c>
      <c r="CK86" s="407">
        <f t="shared" ca="1" si="817"/>
        <v>0</v>
      </c>
      <c r="CL86" s="407">
        <f t="shared" ca="1" si="817"/>
        <v>0</v>
      </c>
      <c r="CN86" s="408" t="str">
        <f>IFERROR((Y86/H86)^(1/17)-1,"")</f>
        <v/>
      </c>
      <c r="CO86" s="408" t="str">
        <f>IFERROR((AN86/Y86)^(1/15)-1,"")</f>
        <v/>
      </c>
      <c r="CP86" s="408" t="str">
        <f>IFERROR((AN86/H86)^(1/32)-1,"")</f>
        <v/>
      </c>
    </row>
    <row r="87" spans="1:94" hidden="1" outlineLevel="1">
      <c r="A87" s="403" t="s">
        <v>255</v>
      </c>
      <c r="B87" s="403" t="s">
        <v>257</v>
      </c>
      <c r="C87" s="403" t="s">
        <v>371</v>
      </c>
      <c r="D87" s="403" t="s">
        <v>372</v>
      </c>
      <c r="E87" s="404">
        <f t="shared" ref="E87:N87" si="818">IFERROR((E85*E81)/1000,0)</f>
        <v>0</v>
      </c>
      <c r="F87" s="405">
        <f t="shared" si="818"/>
        <v>0</v>
      </c>
      <c r="G87" s="405">
        <f t="shared" si="818"/>
        <v>0</v>
      </c>
      <c r="H87" s="405">
        <f>IFERROR((H85*H81)/1000,0)</f>
        <v>0</v>
      </c>
      <c r="I87" s="405">
        <f ca="1">IFERROR((I85*I81)/1000,0)</f>
        <v>0</v>
      </c>
      <c r="J87" s="405">
        <f t="shared" si="818"/>
        <v>0</v>
      </c>
      <c r="K87" s="405">
        <f t="shared" si="818"/>
        <v>0</v>
      </c>
      <c r="L87" s="405">
        <f t="shared" si="818"/>
        <v>0</v>
      </c>
      <c r="M87" s="405">
        <f t="shared" ca="1" si="818"/>
        <v>0</v>
      </c>
      <c r="N87" s="405">
        <f t="shared" ca="1" si="818"/>
        <v>0</v>
      </c>
      <c r="O87" s="405">
        <f t="shared" ref="O87:AT87" ca="1" si="819">IFERROR((O85*O81)/1000,0)</f>
        <v>0</v>
      </c>
      <c r="P87" s="405">
        <f t="shared" ca="1" si="819"/>
        <v>0</v>
      </c>
      <c r="Q87" s="405">
        <f t="shared" ca="1" si="819"/>
        <v>0</v>
      </c>
      <c r="R87" s="405">
        <f t="shared" ca="1" si="819"/>
        <v>0</v>
      </c>
      <c r="S87" s="418">
        <f t="shared" ca="1" si="819"/>
        <v>0</v>
      </c>
      <c r="T87" s="418">
        <f t="shared" ca="1" si="819"/>
        <v>0</v>
      </c>
      <c r="U87" s="418">
        <f t="shared" ca="1" si="819"/>
        <v>0</v>
      </c>
      <c r="V87" s="405">
        <f t="shared" ca="1" si="819"/>
        <v>0</v>
      </c>
      <c r="W87" s="405">
        <f t="shared" ca="1" si="819"/>
        <v>0</v>
      </c>
      <c r="X87" s="405">
        <f t="shared" ca="1" si="819"/>
        <v>0</v>
      </c>
      <c r="Y87" s="405">
        <f t="shared" ca="1" si="819"/>
        <v>0</v>
      </c>
      <c r="Z87" s="405">
        <f t="shared" ca="1" si="819"/>
        <v>0</v>
      </c>
      <c r="AA87" s="405">
        <f t="shared" ca="1" si="819"/>
        <v>0</v>
      </c>
      <c r="AB87" s="405">
        <f t="shared" ca="1" si="819"/>
        <v>0</v>
      </c>
      <c r="AC87" s="405">
        <f t="shared" ca="1" si="819"/>
        <v>0</v>
      </c>
      <c r="AD87" s="405">
        <f t="shared" ca="1" si="819"/>
        <v>0</v>
      </c>
      <c r="AE87" s="405">
        <f t="shared" ca="1" si="819"/>
        <v>0</v>
      </c>
      <c r="AF87" s="405">
        <f t="shared" ca="1" si="819"/>
        <v>0</v>
      </c>
      <c r="AG87" s="405">
        <f t="shared" ca="1" si="819"/>
        <v>0</v>
      </c>
      <c r="AH87" s="405">
        <f t="shared" ca="1" si="819"/>
        <v>0</v>
      </c>
      <c r="AI87" s="405">
        <f t="shared" ca="1" si="819"/>
        <v>0</v>
      </c>
      <c r="AJ87" s="405">
        <f t="shared" ca="1" si="819"/>
        <v>0</v>
      </c>
      <c r="AK87" s="405">
        <f t="shared" ca="1" si="819"/>
        <v>0</v>
      </c>
      <c r="AL87" s="405">
        <f t="shared" ca="1" si="819"/>
        <v>0</v>
      </c>
      <c r="AM87" s="405">
        <f t="shared" ca="1" si="819"/>
        <v>0</v>
      </c>
      <c r="AN87" s="405">
        <f t="shared" ca="1" si="819"/>
        <v>0</v>
      </c>
      <c r="AO87" s="405">
        <f t="shared" ca="1" si="819"/>
        <v>0</v>
      </c>
      <c r="AP87" s="405">
        <f t="shared" ca="1" si="819"/>
        <v>0</v>
      </c>
      <c r="AQ87" s="405">
        <f t="shared" ca="1" si="819"/>
        <v>0</v>
      </c>
      <c r="AR87" s="405">
        <f t="shared" ca="1" si="819"/>
        <v>0</v>
      </c>
      <c r="AS87" s="405">
        <f t="shared" ca="1" si="819"/>
        <v>0</v>
      </c>
      <c r="AT87" s="405">
        <f t="shared" ca="1" si="819"/>
        <v>0</v>
      </c>
      <c r="AU87" s="405">
        <f t="shared" ref="AU87:BZ87" ca="1" si="820">IFERROR((AU85*AU81)/1000,0)</f>
        <v>0</v>
      </c>
      <c r="AV87" s="405">
        <f t="shared" ca="1" si="820"/>
        <v>0</v>
      </c>
      <c r="AW87" s="405">
        <f t="shared" ca="1" si="820"/>
        <v>0</v>
      </c>
      <c r="AX87" s="405">
        <f t="shared" ca="1" si="820"/>
        <v>0</v>
      </c>
      <c r="AY87" s="405">
        <f t="shared" ca="1" si="820"/>
        <v>0</v>
      </c>
      <c r="AZ87" s="405">
        <f t="shared" ca="1" si="820"/>
        <v>0</v>
      </c>
      <c r="BA87" s="405">
        <f t="shared" ca="1" si="820"/>
        <v>0</v>
      </c>
      <c r="BB87" s="405">
        <f t="shared" ca="1" si="820"/>
        <v>0</v>
      </c>
      <c r="BC87" s="405">
        <f t="shared" ca="1" si="820"/>
        <v>0</v>
      </c>
      <c r="BD87" s="405">
        <f t="shared" ca="1" si="820"/>
        <v>0</v>
      </c>
      <c r="BE87" s="405">
        <f t="shared" ca="1" si="820"/>
        <v>0</v>
      </c>
      <c r="BF87" s="405">
        <f t="shared" ca="1" si="820"/>
        <v>0</v>
      </c>
      <c r="BG87" s="405">
        <f t="shared" ca="1" si="820"/>
        <v>0</v>
      </c>
      <c r="BH87" s="405">
        <f t="shared" ca="1" si="820"/>
        <v>0</v>
      </c>
      <c r="BI87" s="405">
        <f t="shared" ca="1" si="820"/>
        <v>0</v>
      </c>
      <c r="BJ87" s="405">
        <f t="shared" ca="1" si="820"/>
        <v>0</v>
      </c>
      <c r="BK87" s="405">
        <f t="shared" ca="1" si="820"/>
        <v>0</v>
      </c>
      <c r="BL87" s="405">
        <f t="shared" ca="1" si="820"/>
        <v>0</v>
      </c>
      <c r="BM87" s="405">
        <f t="shared" ca="1" si="820"/>
        <v>0</v>
      </c>
      <c r="BN87" s="405">
        <f t="shared" ca="1" si="820"/>
        <v>0</v>
      </c>
      <c r="BO87" s="405">
        <f t="shared" ca="1" si="820"/>
        <v>0</v>
      </c>
      <c r="BP87" s="405">
        <f t="shared" ca="1" si="820"/>
        <v>0</v>
      </c>
      <c r="BQ87" s="405">
        <f t="shared" ca="1" si="820"/>
        <v>0</v>
      </c>
      <c r="BR87" s="405">
        <f t="shared" ca="1" si="820"/>
        <v>0</v>
      </c>
      <c r="BS87" s="405">
        <f t="shared" ca="1" si="820"/>
        <v>0</v>
      </c>
      <c r="BT87" s="405">
        <f t="shared" ca="1" si="820"/>
        <v>0</v>
      </c>
      <c r="BU87" s="405">
        <f t="shared" ca="1" si="820"/>
        <v>0</v>
      </c>
      <c r="BV87" s="405">
        <f t="shared" ca="1" si="820"/>
        <v>0</v>
      </c>
      <c r="BW87" s="405">
        <f t="shared" ca="1" si="820"/>
        <v>0</v>
      </c>
      <c r="BX87" s="405">
        <f t="shared" ca="1" si="820"/>
        <v>0</v>
      </c>
      <c r="BY87" s="405">
        <f t="shared" ca="1" si="820"/>
        <v>0</v>
      </c>
      <c r="BZ87" s="405">
        <f t="shared" ca="1" si="820"/>
        <v>0</v>
      </c>
      <c r="CA87" s="405">
        <f t="shared" ref="CA87:CL87" ca="1" si="821">IFERROR((CA85*CA81)/1000,0)</f>
        <v>0</v>
      </c>
      <c r="CB87" s="405">
        <f t="shared" ca="1" si="821"/>
        <v>0</v>
      </c>
      <c r="CC87" s="405">
        <f t="shared" ca="1" si="821"/>
        <v>0</v>
      </c>
      <c r="CD87" s="405">
        <f t="shared" ca="1" si="821"/>
        <v>0</v>
      </c>
      <c r="CE87" s="405">
        <f t="shared" ca="1" si="821"/>
        <v>0</v>
      </c>
      <c r="CF87" s="405">
        <f t="shared" ca="1" si="821"/>
        <v>0</v>
      </c>
      <c r="CG87" s="405">
        <f t="shared" ca="1" si="821"/>
        <v>0</v>
      </c>
      <c r="CH87" s="405">
        <f t="shared" ca="1" si="821"/>
        <v>0</v>
      </c>
      <c r="CI87" s="405">
        <f t="shared" ca="1" si="821"/>
        <v>0</v>
      </c>
      <c r="CJ87" s="405">
        <f t="shared" ca="1" si="821"/>
        <v>0</v>
      </c>
      <c r="CK87" s="405">
        <f t="shared" ca="1" si="821"/>
        <v>0</v>
      </c>
      <c r="CL87" s="405">
        <f t="shared" ca="1" si="821"/>
        <v>0</v>
      </c>
      <c r="CN87" s="406" t="str">
        <f ca="1">IFERROR((Y87/H87)^(1/17)-1,"")</f>
        <v/>
      </c>
      <c r="CO87" s="406" t="str">
        <f ca="1">IFERROR((AN87/Y87)^(1/15)-1,"")</f>
        <v/>
      </c>
      <c r="CP87" s="406" t="str">
        <f ca="1">IFERROR((AN87/H87)^(1/32)-1,"")</f>
        <v/>
      </c>
    </row>
    <row r="88" spans="1:94" hidden="1" outlineLevel="1">
      <c r="A88" s="414" t="s">
        <v>382</v>
      </c>
      <c r="B88" s="414" t="s">
        <v>384</v>
      </c>
      <c r="C88" s="414"/>
      <c r="D88" s="414"/>
      <c r="E88" s="415" t="e">
        <f t="shared" ref="E88:AN88" si="822">IF($B$6="ON",IF(E74=covid_start-1,E77,IF(E74=covid_recovery,E77,IF(E74&gt;=covid_start,IF(E74&lt;covid_recovery,D88-(INDEX($E74:$CH87,4,MATCH(covid_start-1,$E74:$CL74,0))-INDEX($E74:$CL87,4,MATCH(covid_recovery,$E74:$CL74,0)))/(covid_recovery-covid_start+1),NA()),NA()))),NA())</f>
        <v>#N/A</v>
      </c>
      <c r="F88" s="415" t="e">
        <f t="shared" si="822"/>
        <v>#N/A</v>
      </c>
      <c r="G88" s="415" t="e">
        <f t="shared" si="822"/>
        <v>#N/A</v>
      </c>
      <c r="H88" s="415" t="e">
        <f t="shared" si="822"/>
        <v>#N/A</v>
      </c>
      <c r="I88" s="415">
        <f t="shared" ref="I88:O88" ca="1" si="823">IF($B$6="ON",IF(I74=covid_start-1,I77,IF(I74=covid_recovery,I77,IF(I74&gt;=covid_start,IF(I74&lt;covid_recovery,H88-(INDEX($E74:$CH87,4,MATCH(covid_start-1,$E74:$CL74,0))-INDEX($E74:$CL87,4,MATCH(covid_recovery,$E74:$CL74,0)))/(covid_recovery-covid_start+1),NA()),NA()))),NA())</f>
        <v>1019.4512923512447</v>
      </c>
      <c r="J88" s="415">
        <f ca="1">IF($B$6="ON",IF(J74=covid_start-1,J77,IF(J74=covid_recovery,J77,IF(J74&gt;=covid_start,IF(J74&lt;covid_recovery,I88-(INDEX($E74:$CH87,4,MATCH(covid_start-1,$E74:$CL74,0))-INDEX($E74:$CL87,4,MATCH(covid_recovery,$E74:$CL74,0)))/(covid_recovery-covid_start+1),NA()),NA()))),NA())</f>
        <v>986.53757648972146</v>
      </c>
      <c r="K88" s="415">
        <f t="shared" ca="1" si="823"/>
        <v>953.62386062819826</v>
      </c>
      <c r="L88" s="415">
        <f t="shared" ca="1" si="823"/>
        <v>920.71014476667506</v>
      </c>
      <c r="M88" s="415">
        <f t="shared" ca="1" si="823"/>
        <v>887.79642890515197</v>
      </c>
      <c r="N88" s="415" t="e">
        <f t="shared" si="823"/>
        <v>#N/A</v>
      </c>
      <c r="O88" s="415" t="e">
        <f t="shared" si="823"/>
        <v>#N/A</v>
      </c>
      <c r="P88" s="415" t="e">
        <f t="shared" si="822"/>
        <v>#N/A</v>
      </c>
      <c r="Q88" s="415" t="e">
        <f t="shared" si="822"/>
        <v>#N/A</v>
      </c>
      <c r="R88" s="415" t="e">
        <f t="shared" si="822"/>
        <v>#N/A</v>
      </c>
      <c r="S88" s="415" t="e">
        <f t="shared" si="822"/>
        <v>#N/A</v>
      </c>
      <c r="T88" s="415" t="e">
        <f t="shared" si="822"/>
        <v>#N/A</v>
      </c>
      <c r="U88" s="415" t="e">
        <f t="shared" si="822"/>
        <v>#N/A</v>
      </c>
      <c r="V88" s="415" t="e">
        <f t="shared" si="822"/>
        <v>#N/A</v>
      </c>
      <c r="W88" s="415" t="e">
        <f t="shared" si="822"/>
        <v>#N/A</v>
      </c>
      <c r="X88" s="415" t="e">
        <f t="shared" si="822"/>
        <v>#N/A</v>
      </c>
      <c r="Y88" s="415" t="e">
        <f t="shared" si="822"/>
        <v>#N/A</v>
      </c>
      <c r="Z88" s="415" t="e">
        <f t="shared" si="822"/>
        <v>#N/A</v>
      </c>
      <c r="AA88" s="415" t="e">
        <f t="shared" si="822"/>
        <v>#N/A</v>
      </c>
      <c r="AB88" s="415" t="e">
        <f t="shared" si="822"/>
        <v>#N/A</v>
      </c>
      <c r="AC88" s="415" t="e">
        <f t="shared" si="822"/>
        <v>#N/A</v>
      </c>
      <c r="AD88" s="415" t="e">
        <f t="shared" si="822"/>
        <v>#N/A</v>
      </c>
      <c r="AE88" s="415" t="e">
        <f t="shared" si="822"/>
        <v>#N/A</v>
      </c>
      <c r="AF88" s="415" t="e">
        <f t="shared" si="822"/>
        <v>#N/A</v>
      </c>
      <c r="AG88" s="415" t="e">
        <f t="shared" si="822"/>
        <v>#N/A</v>
      </c>
      <c r="AH88" s="415" t="e">
        <f t="shared" si="822"/>
        <v>#N/A</v>
      </c>
      <c r="AI88" s="415" t="e">
        <f t="shared" si="822"/>
        <v>#N/A</v>
      </c>
      <c r="AJ88" s="415" t="e">
        <f t="shared" si="822"/>
        <v>#N/A</v>
      </c>
      <c r="AK88" s="415" t="e">
        <f t="shared" si="822"/>
        <v>#N/A</v>
      </c>
      <c r="AL88" s="415" t="e">
        <f t="shared" si="822"/>
        <v>#N/A</v>
      </c>
      <c r="AM88" s="415" t="e">
        <f t="shared" si="822"/>
        <v>#N/A</v>
      </c>
      <c r="AN88" s="415" t="e">
        <f t="shared" si="822"/>
        <v>#N/A</v>
      </c>
      <c r="AO88" s="407"/>
      <c r="AP88" s="407"/>
      <c r="AQ88" s="407"/>
      <c r="AR88" s="407"/>
      <c r="AS88" s="407"/>
      <c r="AT88" s="407"/>
      <c r="AU88" s="407"/>
      <c r="AV88" s="407"/>
      <c r="AW88" s="407"/>
      <c r="AX88" s="407"/>
      <c r="AY88" s="407"/>
      <c r="AZ88" s="407"/>
      <c r="BA88" s="407"/>
      <c r="BB88" s="407"/>
      <c r="BC88" s="407"/>
      <c r="BD88" s="407"/>
      <c r="BE88" s="407"/>
      <c r="BF88" s="407"/>
      <c r="BG88" s="407"/>
      <c r="BH88" s="407"/>
      <c r="BI88" s="407"/>
      <c r="BJ88" s="407"/>
      <c r="BK88" s="407"/>
      <c r="BL88" s="407"/>
      <c r="BM88" s="407"/>
      <c r="BN88" s="407"/>
      <c r="BO88" s="407"/>
      <c r="BP88" s="407"/>
      <c r="BQ88" s="407"/>
      <c r="BR88" s="407"/>
      <c r="BS88" s="407"/>
      <c r="BT88" s="407"/>
      <c r="BU88" s="407"/>
      <c r="BV88" s="407"/>
      <c r="BW88" s="407"/>
      <c r="BX88" s="407"/>
      <c r="BY88" s="407"/>
      <c r="BZ88" s="407"/>
      <c r="CA88" s="407"/>
      <c r="CB88" s="407"/>
      <c r="CC88" s="407"/>
      <c r="CD88" s="407"/>
      <c r="CE88" s="407"/>
      <c r="CF88" s="407"/>
      <c r="CG88" s="407"/>
      <c r="CH88" s="407"/>
      <c r="CI88" s="407"/>
      <c r="CJ88" s="407"/>
      <c r="CK88" s="407"/>
      <c r="CL88" s="407"/>
      <c r="CN88" s="416" t="str">
        <f t="shared" si="715"/>
        <v/>
      </c>
      <c r="CO88" s="416" t="str">
        <f t="shared" si="716"/>
        <v/>
      </c>
      <c r="CP88" s="416" t="str">
        <f t="shared" si="717"/>
        <v/>
      </c>
    </row>
    <row r="89" spans="1:94" hidden="1" outlineLevel="1">
      <c r="A89" s="400" t="s">
        <v>383</v>
      </c>
      <c r="B89" s="400" t="s">
        <v>384</v>
      </c>
      <c r="C89" s="400"/>
      <c r="D89" s="400"/>
      <c r="E89" s="407" t="e">
        <f t="shared" ref="E89:AN89" si="824">IF($B$6="ON",IF(E74=covid_start-1,E85,IF(E74=covid_recovery,E85,IF(E74&gt;=covid_start,IF(E74&lt;covid_recovery,D89-(INDEX($E74:$CH87,12,MATCH(covid_start-1,$E74:$CL74,0))-INDEX($E74:$CL87,12,MATCH(covid_recovery,$E74:$CL74,0)))/(covid_recovery-covid_start+1),NA()),NA()))),NA())</f>
        <v>#N/A</v>
      </c>
      <c r="F89" s="407" t="e">
        <f t="shared" si="824"/>
        <v>#N/A</v>
      </c>
      <c r="G89" s="407" t="e">
        <f t="shared" si="824"/>
        <v>#N/A</v>
      </c>
      <c r="H89" s="407" t="e">
        <f t="shared" si="824"/>
        <v>#N/A</v>
      </c>
      <c r="I89" s="407">
        <f t="shared" ref="I89:O89" ca="1" si="825">IF($B$6="ON",IF(I74=covid_start-1,I85,IF(I74=covid_recovery,I85,IF(I74&gt;=covid_start,IF(I74&lt;covid_recovery,H89-(INDEX($E74:$CH87,12,MATCH(covid_start-1,$E74:$CL74,0))-INDEX($E74:$CL87,12,MATCH(covid_recovery,$E74:$CL74,0)))/(covid_recovery-covid_start+1),NA()),NA()))),NA())</f>
        <v>0</v>
      </c>
      <c r="J89" s="407">
        <f t="shared" ca="1" si="825"/>
        <v>0</v>
      </c>
      <c r="K89" s="407">
        <f t="shared" ca="1" si="825"/>
        <v>0</v>
      </c>
      <c r="L89" s="407">
        <f t="shared" ca="1" si="825"/>
        <v>0</v>
      </c>
      <c r="M89" s="407">
        <f t="shared" ca="1" si="825"/>
        <v>0</v>
      </c>
      <c r="N89" s="407" t="e">
        <f t="shared" si="825"/>
        <v>#N/A</v>
      </c>
      <c r="O89" s="407" t="e">
        <f t="shared" si="825"/>
        <v>#N/A</v>
      </c>
      <c r="P89" s="407" t="e">
        <f t="shared" si="824"/>
        <v>#N/A</v>
      </c>
      <c r="Q89" s="407" t="e">
        <f t="shared" si="824"/>
        <v>#N/A</v>
      </c>
      <c r="R89" s="407" t="e">
        <f t="shared" si="824"/>
        <v>#N/A</v>
      </c>
      <c r="S89" s="407" t="e">
        <f t="shared" si="824"/>
        <v>#N/A</v>
      </c>
      <c r="T89" s="407" t="e">
        <f t="shared" si="824"/>
        <v>#N/A</v>
      </c>
      <c r="U89" s="407" t="e">
        <f t="shared" si="824"/>
        <v>#N/A</v>
      </c>
      <c r="V89" s="407" t="e">
        <f t="shared" si="824"/>
        <v>#N/A</v>
      </c>
      <c r="W89" s="407" t="e">
        <f t="shared" si="824"/>
        <v>#N/A</v>
      </c>
      <c r="X89" s="407" t="e">
        <f t="shared" si="824"/>
        <v>#N/A</v>
      </c>
      <c r="Y89" s="407" t="e">
        <f t="shared" si="824"/>
        <v>#N/A</v>
      </c>
      <c r="Z89" s="407" t="e">
        <f t="shared" si="824"/>
        <v>#N/A</v>
      </c>
      <c r="AA89" s="407" t="e">
        <f t="shared" si="824"/>
        <v>#N/A</v>
      </c>
      <c r="AB89" s="407" t="e">
        <f t="shared" si="824"/>
        <v>#N/A</v>
      </c>
      <c r="AC89" s="407" t="e">
        <f t="shared" si="824"/>
        <v>#N/A</v>
      </c>
      <c r="AD89" s="407" t="e">
        <f t="shared" si="824"/>
        <v>#N/A</v>
      </c>
      <c r="AE89" s="407" t="e">
        <f t="shared" si="824"/>
        <v>#N/A</v>
      </c>
      <c r="AF89" s="407" t="e">
        <f t="shared" si="824"/>
        <v>#N/A</v>
      </c>
      <c r="AG89" s="407" t="e">
        <f t="shared" si="824"/>
        <v>#N/A</v>
      </c>
      <c r="AH89" s="407" t="e">
        <f t="shared" si="824"/>
        <v>#N/A</v>
      </c>
      <c r="AI89" s="407" t="e">
        <f t="shared" si="824"/>
        <v>#N/A</v>
      </c>
      <c r="AJ89" s="407" t="e">
        <f t="shared" si="824"/>
        <v>#N/A</v>
      </c>
      <c r="AK89" s="407" t="e">
        <f t="shared" si="824"/>
        <v>#N/A</v>
      </c>
      <c r="AL89" s="407" t="e">
        <f t="shared" si="824"/>
        <v>#N/A</v>
      </c>
      <c r="AM89" s="407" t="e">
        <f t="shared" si="824"/>
        <v>#N/A</v>
      </c>
      <c r="AN89" s="407" t="e">
        <f t="shared" si="824"/>
        <v>#N/A</v>
      </c>
      <c r="AO89" s="407"/>
      <c r="AP89" s="407"/>
      <c r="AQ89" s="407"/>
      <c r="AR89" s="407"/>
      <c r="AS89" s="407"/>
      <c r="AT89" s="407"/>
      <c r="AU89" s="407"/>
      <c r="AV89" s="407"/>
      <c r="AW89" s="407"/>
      <c r="AX89" s="407"/>
      <c r="AY89" s="407"/>
      <c r="AZ89" s="407"/>
      <c r="BA89" s="407"/>
      <c r="BB89" s="407"/>
      <c r="BC89" s="407"/>
      <c r="BD89" s="407"/>
      <c r="BE89" s="407"/>
      <c r="BF89" s="407"/>
      <c r="BG89" s="407"/>
      <c r="BH89" s="407"/>
      <c r="BI89" s="407"/>
      <c r="BJ89" s="407"/>
      <c r="BK89" s="407"/>
      <c r="BL89" s="407"/>
      <c r="BM89" s="407"/>
      <c r="BN89" s="407"/>
      <c r="BO89" s="407"/>
      <c r="BP89" s="407"/>
      <c r="BQ89" s="407"/>
      <c r="BR89" s="407"/>
      <c r="BS89" s="407"/>
      <c r="BT89" s="407"/>
      <c r="BU89" s="407"/>
      <c r="BV89" s="407"/>
      <c r="BW89" s="407"/>
      <c r="BX89" s="407"/>
      <c r="BY89" s="407"/>
      <c r="BZ89" s="407"/>
      <c r="CA89" s="407"/>
      <c r="CB89" s="407"/>
      <c r="CC89" s="407"/>
      <c r="CD89" s="407"/>
      <c r="CE89" s="407"/>
      <c r="CF89" s="407"/>
      <c r="CG89" s="407"/>
      <c r="CH89" s="407"/>
      <c r="CI89" s="407"/>
      <c r="CJ89" s="407"/>
      <c r="CK89" s="407"/>
      <c r="CL89" s="407"/>
      <c r="CN89" s="408" t="str">
        <f t="shared" si="715"/>
        <v/>
      </c>
      <c r="CO89" s="408" t="str">
        <f t="shared" si="716"/>
        <v/>
      </c>
      <c r="CP89" s="408" t="str">
        <f t="shared" si="717"/>
        <v/>
      </c>
    </row>
    <row r="90" spans="1:94" ht="17.25" collapsed="1" thickTop="1" thickBot="1">
      <c r="A90" s="422" t="s">
        <v>415</v>
      </c>
      <c r="B90" s="422"/>
      <c r="C90" s="422"/>
      <c r="D90" s="422"/>
      <c r="E90" s="423">
        <v>2015</v>
      </c>
      <c r="F90" s="423">
        <f>E90+1</f>
        <v>2016</v>
      </c>
      <c r="G90" s="423">
        <f t="shared" ref="G90:I90" si="826">F90+1</f>
        <v>2017</v>
      </c>
      <c r="H90" s="423">
        <f t="shared" si="826"/>
        <v>2018</v>
      </c>
      <c r="I90" s="423">
        <f t="shared" si="826"/>
        <v>2019</v>
      </c>
      <c r="J90" s="423">
        <f>E90+5</f>
        <v>2020</v>
      </c>
      <c r="K90" s="423">
        <f>J90+1</f>
        <v>2021</v>
      </c>
      <c r="L90" s="423">
        <f t="shared" ref="L90:N90" si="827">K90+1</f>
        <v>2022</v>
      </c>
      <c r="M90" s="423">
        <f t="shared" si="827"/>
        <v>2023</v>
      </c>
      <c r="N90" s="423">
        <f t="shared" si="827"/>
        <v>2024</v>
      </c>
      <c r="O90" s="423">
        <f>J90+5</f>
        <v>2025</v>
      </c>
      <c r="P90" s="423">
        <f>O90+1</f>
        <v>2026</v>
      </c>
      <c r="Q90" s="423">
        <f t="shared" ref="Q90:S90" si="828">P90+1</f>
        <v>2027</v>
      </c>
      <c r="R90" s="423">
        <f t="shared" si="828"/>
        <v>2028</v>
      </c>
      <c r="S90" s="423">
        <f t="shared" si="828"/>
        <v>2029</v>
      </c>
      <c r="T90" s="423">
        <f>O90+5</f>
        <v>2030</v>
      </c>
      <c r="U90" s="423">
        <f>T90+1</f>
        <v>2031</v>
      </c>
      <c r="V90" s="423">
        <f t="shared" ref="V90:X90" si="829">U90+1</f>
        <v>2032</v>
      </c>
      <c r="W90" s="423">
        <f t="shared" si="829"/>
        <v>2033</v>
      </c>
      <c r="X90" s="423">
        <f t="shared" si="829"/>
        <v>2034</v>
      </c>
      <c r="Y90" s="423">
        <f>T90+5</f>
        <v>2035</v>
      </c>
      <c r="Z90" s="423">
        <f>Y90+1</f>
        <v>2036</v>
      </c>
      <c r="AA90" s="423">
        <f t="shared" ref="AA90:AC90" si="830">Z90+1</f>
        <v>2037</v>
      </c>
      <c r="AB90" s="423">
        <f t="shared" si="830"/>
        <v>2038</v>
      </c>
      <c r="AC90" s="423">
        <f t="shared" si="830"/>
        <v>2039</v>
      </c>
      <c r="AD90" s="423">
        <f>Y90+5</f>
        <v>2040</v>
      </c>
      <c r="AE90" s="423">
        <f>AD90+1</f>
        <v>2041</v>
      </c>
      <c r="AF90" s="423">
        <f t="shared" ref="AF90:AH90" si="831">AE90+1</f>
        <v>2042</v>
      </c>
      <c r="AG90" s="423">
        <f t="shared" si="831"/>
        <v>2043</v>
      </c>
      <c r="AH90" s="423">
        <f t="shared" si="831"/>
        <v>2044</v>
      </c>
      <c r="AI90" s="423">
        <f>AD90+5</f>
        <v>2045</v>
      </c>
      <c r="AJ90" s="423">
        <f>AI90+1</f>
        <v>2046</v>
      </c>
      <c r="AK90" s="423">
        <f t="shared" ref="AK90:AM90" si="832">AJ90+1</f>
        <v>2047</v>
      </c>
      <c r="AL90" s="423">
        <f t="shared" si="832"/>
        <v>2048</v>
      </c>
      <c r="AM90" s="423">
        <f t="shared" si="832"/>
        <v>2049</v>
      </c>
      <c r="AN90" s="423">
        <f>AI90+5</f>
        <v>2050</v>
      </c>
      <c r="AO90" s="422">
        <f>AN90+1</f>
        <v>2051</v>
      </c>
      <c r="AP90" s="422">
        <f t="shared" ref="AP90:AR90" si="833">AO90+1</f>
        <v>2052</v>
      </c>
      <c r="AQ90" s="422">
        <f t="shared" si="833"/>
        <v>2053</v>
      </c>
      <c r="AR90" s="422">
        <f t="shared" si="833"/>
        <v>2054</v>
      </c>
      <c r="AS90" s="422">
        <f>AN90+5</f>
        <v>2055</v>
      </c>
      <c r="AT90" s="422">
        <f>AS90+1</f>
        <v>2056</v>
      </c>
      <c r="AU90" s="422">
        <f t="shared" ref="AU90:AW90" si="834">AT90+1</f>
        <v>2057</v>
      </c>
      <c r="AV90" s="422">
        <f t="shared" si="834"/>
        <v>2058</v>
      </c>
      <c r="AW90" s="422">
        <f t="shared" si="834"/>
        <v>2059</v>
      </c>
      <c r="AX90" s="422">
        <f>AS90+5</f>
        <v>2060</v>
      </c>
      <c r="AY90" s="422">
        <f>AX90+1</f>
        <v>2061</v>
      </c>
      <c r="AZ90" s="422">
        <f t="shared" ref="AZ90:BB90" si="835">AY90+1</f>
        <v>2062</v>
      </c>
      <c r="BA90" s="422">
        <f t="shared" si="835"/>
        <v>2063</v>
      </c>
      <c r="BB90" s="422">
        <f t="shared" si="835"/>
        <v>2064</v>
      </c>
      <c r="BC90" s="422">
        <f>AX90+5</f>
        <v>2065</v>
      </c>
      <c r="BD90" s="422">
        <f>BC90+1</f>
        <v>2066</v>
      </c>
      <c r="BE90" s="422">
        <f t="shared" ref="BE90:BG90" si="836">BD90+1</f>
        <v>2067</v>
      </c>
      <c r="BF90" s="422">
        <f t="shared" si="836"/>
        <v>2068</v>
      </c>
      <c r="BG90" s="422">
        <f t="shared" si="836"/>
        <v>2069</v>
      </c>
      <c r="BH90" s="423">
        <f>BC90+5</f>
        <v>2070</v>
      </c>
      <c r="BI90" s="423">
        <f>BH90+1</f>
        <v>2071</v>
      </c>
      <c r="BJ90" s="423">
        <f t="shared" ref="BJ90:BL90" si="837">BI90+1</f>
        <v>2072</v>
      </c>
      <c r="BK90" s="423">
        <f t="shared" si="837"/>
        <v>2073</v>
      </c>
      <c r="BL90" s="423">
        <f t="shared" si="837"/>
        <v>2074</v>
      </c>
      <c r="BM90" s="423">
        <f>BH90+5</f>
        <v>2075</v>
      </c>
      <c r="BN90" s="423">
        <f>BM90+1</f>
        <v>2076</v>
      </c>
      <c r="BO90" s="423">
        <f t="shared" ref="BO90:BQ90" si="838">BN90+1</f>
        <v>2077</v>
      </c>
      <c r="BP90" s="423">
        <f t="shared" si="838"/>
        <v>2078</v>
      </c>
      <c r="BQ90" s="423">
        <f t="shared" si="838"/>
        <v>2079</v>
      </c>
      <c r="BR90" s="423">
        <f>BM90+5</f>
        <v>2080</v>
      </c>
      <c r="BS90" s="423">
        <f>BR90+1</f>
        <v>2081</v>
      </c>
      <c r="BT90" s="423">
        <f t="shared" ref="BT90:BV90" si="839">BS90+1</f>
        <v>2082</v>
      </c>
      <c r="BU90" s="423">
        <f t="shared" si="839"/>
        <v>2083</v>
      </c>
      <c r="BV90" s="423">
        <f t="shared" si="839"/>
        <v>2084</v>
      </c>
      <c r="BW90" s="423">
        <f>BR90+5</f>
        <v>2085</v>
      </c>
      <c r="BX90" s="423">
        <f>BW90+1</f>
        <v>2086</v>
      </c>
      <c r="BY90" s="423">
        <f t="shared" ref="BY90:CA90" si="840">BX90+1</f>
        <v>2087</v>
      </c>
      <c r="BZ90" s="423">
        <f t="shared" si="840"/>
        <v>2088</v>
      </c>
      <c r="CA90" s="423">
        <f t="shared" si="840"/>
        <v>2089</v>
      </c>
      <c r="CB90" s="423">
        <f>BW90+5</f>
        <v>2090</v>
      </c>
      <c r="CC90" s="423">
        <f>CB90+1</f>
        <v>2091</v>
      </c>
      <c r="CD90" s="423">
        <f t="shared" ref="CD90:CF90" si="841">CC90+1</f>
        <v>2092</v>
      </c>
      <c r="CE90" s="423">
        <f t="shared" si="841"/>
        <v>2093</v>
      </c>
      <c r="CF90" s="423">
        <f t="shared" si="841"/>
        <v>2094</v>
      </c>
      <c r="CG90" s="423">
        <f>CB90+5</f>
        <v>2095</v>
      </c>
      <c r="CH90" s="423">
        <f>CG90+1</f>
        <v>2096</v>
      </c>
      <c r="CI90" s="423">
        <f t="shared" ref="CI90:CK90" si="842">CH90+1</f>
        <v>2097</v>
      </c>
      <c r="CJ90" s="423">
        <f t="shared" si="842"/>
        <v>2098</v>
      </c>
      <c r="CK90" s="423">
        <f t="shared" si="842"/>
        <v>2099</v>
      </c>
      <c r="CL90" s="423">
        <f>CG90+5</f>
        <v>2100</v>
      </c>
      <c r="CN90" s="424" t="s">
        <v>409</v>
      </c>
      <c r="CO90" s="424" t="s">
        <v>411</v>
      </c>
      <c r="CP90" s="424" t="s">
        <v>410</v>
      </c>
    </row>
    <row r="91" spans="1:94" ht="16.5" hidden="1" outlineLevel="1" thickTop="1">
      <c r="A91" s="425" t="s">
        <v>255</v>
      </c>
      <c r="B91" s="425" t="s">
        <v>2</v>
      </c>
      <c r="C91" s="425"/>
      <c r="D91" s="426"/>
      <c r="E91" s="558" t="e">
        <f>'SDS Calc'!E91</f>
        <v>#N/A</v>
      </c>
      <c r="F91" s="559" t="e">
        <f>'SDS Calc'!F91</f>
        <v>#N/A</v>
      </c>
      <c r="G91" s="559" t="e">
        <f>'SDS Calc'!G91</f>
        <v>#N/A</v>
      </c>
      <c r="H91" s="531" t="e">
        <f>'SDS Calc'!H91</f>
        <v>#N/A</v>
      </c>
      <c r="I91" s="531">
        <f ca="1">'SDS Calc'!I91</f>
        <v>0</v>
      </c>
      <c r="J91" s="531" t="e">
        <f>'SDS Calc'!J91</f>
        <v>#N/A</v>
      </c>
      <c r="K91" s="531" t="e">
        <f>'SDS Calc'!K91</f>
        <v>#N/A</v>
      </c>
      <c r="L91" s="531" t="e">
        <f>'SDS Calc'!L91</f>
        <v>#N/A</v>
      </c>
      <c r="M91" s="531">
        <f ca="1">'SDS Calc'!M91</f>
        <v>0</v>
      </c>
      <c r="N91" s="531">
        <f ca="1">'SDS Calc'!N91</f>
        <v>0</v>
      </c>
      <c r="O91" s="531">
        <f ca="1">'SDS Calc'!O91</f>
        <v>0</v>
      </c>
      <c r="P91" s="531">
        <f ca="1">'SDS Calc'!P91</f>
        <v>0</v>
      </c>
      <c r="Q91" s="531">
        <f ca="1">'SDS Calc'!Q91</f>
        <v>0</v>
      </c>
      <c r="R91" s="531">
        <f ca="1">'SDS Calc'!R91</f>
        <v>0</v>
      </c>
      <c r="S91" s="531">
        <f ca="1">'SDS Calc'!S91</f>
        <v>0</v>
      </c>
      <c r="T91" s="531">
        <f ca="1">'SDS Calc'!T91</f>
        <v>0</v>
      </c>
      <c r="U91" s="531">
        <f ca="1">'SDS Calc'!U91</f>
        <v>0</v>
      </c>
      <c r="V91" s="531">
        <f t="shared" ref="V91:AT91" ca="1" si="843">IF(V8&lt;sector_base,NA(),IF($B$6="ON", IF(V74&gt;=covid_start, IF(V74&lt;covid_recovery,NA(),(V87+V71+V55+V39+V23)),(V87+V71+V55+V39+V23)),(V87+V71+V55+V39+V23)))</f>
        <v>0</v>
      </c>
      <c r="W91" s="390">
        <f t="shared" ca="1" si="843"/>
        <v>0</v>
      </c>
      <c r="X91" s="390">
        <f t="shared" ca="1" si="843"/>
        <v>0</v>
      </c>
      <c r="Y91" s="390">
        <f t="shared" ca="1" si="843"/>
        <v>0</v>
      </c>
      <c r="Z91" s="390">
        <f t="shared" ca="1" si="843"/>
        <v>0</v>
      </c>
      <c r="AA91" s="390">
        <f t="shared" ca="1" si="843"/>
        <v>0</v>
      </c>
      <c r="AB91" s="390">
        <f t="shared" ca="1" si="843"/>
        <v>0</v>
      </c>
      <c r="AC91" s="390">
        <f t="shared" ca="1" si="843"/>
        <v>0</v>
      </c>
      <c r="AD91" s="390">
        <f t="shared" ca="1" si="843"/>
        <v>0</v>
      </c>
      <c r="AE91" s="390">
        <f t="shared" ca="1" si="843"/>
        <v>0</v>
      </c>
      <c r="AF91" s="390">
        <f t="shared" ca="1" si="843"/>
        <v>0</v>
      </c>
      <c r="AG91" s="390">
        <f t="shared" ca="1" si="843"/>
        <v>0</v>
      </c>
      <c r="AH91" s="390">
        <f t="shared" ca="1" si="843"/>
        <v>0</v>
      </c>
      <c r="AI91" s="390">
        <f t="shared" ca="1" si="843"/>
        <v>0</v>
      </c>
      <c r="AJ91" s="390">
        <f t="shared" ca="1" si="843"/>
        <v>0</v>
      </c>
      <c r="AK91" s="390">
        <f t="shared" ca="1" si="843"/>
        <v>0</v>
      </c>
      <c r="AL91" s="390">
        <f t="shared" ca="1" si="843"/>
        <v>0</v>
      </c>
      <c r="AM91" s="390">
        <f t="shared" ca="1" si="843"/>
        <v>0</v>
      </c>
      <c r="AN91" s="390">
        <f t="shared" ca="1" si="843"/>
        <v>0</v>
      </c>
      <c r="AO91" s="390">
        <f t="shared" ca="1" si="843"/>
        <v>0</v>
      </c>
      <c r="AP91" s="390">
        <f t="shared" ca="1" si="843"/>
        <v>0</v>
      </c>
      <c r="AQ91" s="390">
        <f t="shared" ca="1" si="843"/>
        <v>0</v>
      </c>
      <c r="AR91" s="390">
        <f t="shared" ca="1" si="843"/>
        <v>0</v>
      </c>
      <c r="AS91" s="390">
        <f t="shared" ca="1" si="843"/>
        <v>0</v>
      </c>
      <c r="AT91" s="390">
        <f t="shared" ca="1" si="843"/>
        <v>0</v>
      </c>
      <c r="AU91" s="390">
        <f t="shared" ref="AU91:BZ91" ca="1" si="844">IF(AU8&lt;sector_base,NA(),IF($B$6="ON", IF(AU74&gt;=covid_start, IF(AU74&lt;covid_recovery,NA(),(AU87+AU71+AU55+AU39+AU23)),(AU87+AU71+AU55+AU39+AU23)),(AU87+AU71+AU55+AU39+AU23)))</f>
        <v>0</v>
      </c>
      <c r="AV91" s="390">
        <f t="shared" ca="1" si="844"/>
        <v>0</v>
      </c>
      <c r="AW91" s="390">
        <f t="shared" ca="1" si="844"/>
        <v>0</v>
      </c>
      <c r="AX91" s="390">
        <f t="shared" ca="1" si="844"/>
        <v>0</v>
      </c>
      <c r="AY91" s="390">
        <f t="shared" ca="1" si="844"/>
        <v>0</v>
      </c>
      <c r="AZ91" s="390">
        <f t="shared" ca="1" si="844"/>
        <v>0</v>
      </c>
      <c r="BA91" s="390">
        <f t="shared" ca="1" si="844"/>
        <v>0</v>
      </c>
      <c r="BB91" s="390">
        <f t="shared" ca="1" si="844"/>
        <v>0</v>
      </c>
      <c r="BC91" s="390">
        <f t="shared" ca="1" si="844"/>
        <v>0</v>
      </c>
      <c r="BD91" s="390">
        <f t="shared" ca="1" si="844"/>
        <v>0</v>
      </c>
      <c r="BE91" s="390">
        <f t="shared" ca="1" si="844"/>
        <v>0</v>
      </c>
      <c r="BF91" s="390">
        <f t="shared" ca="1" si="844"/>
        <v>0</v>
      </c>
      <c r="BG91" s="390">
        <f t="shared" ca="1" si="844"/>
        <v>0</v>
      </c>
      <c r="BH91" s="390">
        <f t="shared" ca="1" si="844"/>
        <v>0</v>
      </c>
      <c r="BI91" s="390">
        <f t="shared" ca="1" si="844"/>
        <v>0</v>
      </c>
      <c r="BJ91" s="390">
        <f t="shared" ca="1" si="844"/>
        <v>0</v>
      </c>
      <c r="BK91" s="390">
        <f t="shared" ca="1" si="844"/>
        <v>0</v>
      </c>
      <c r="BL91" s="390">
        <f t="shared" ca="1" si="844"/>
        <v>0</v>
      </c>
      <c r="BM91" s="390">
        <f t="shared" ca="1" si="844"/>
        <v>0</v>
      </c>
      <c r="BN91" s="390">
        <f t="shared" ca="1" si="844"/>
        <v>0</v>
      </c>
      <c r="BO91" s="390">
        <f t="shared" ca="1" si="844"/>
        <v>0</v>
      </c>
      <c r="BP91" s="390">
        <f t="shared" ca="1" si="844"/>
        <v>0</v>
      </c>
      <c r="BQ91" s="390">
        <f t="shared" ca="1" si="844"/>
        <v>0</v>
      </c>
      <c r="BR91" s="390">
        <f t="shared" ca="1" si="844"/>
        <v>0</v>
      </c>
      <c r="BS91" s="390">
        <f t="shared" ca="1" si="844"/>
        <v>0</v>
      </c>
      <c r="BT91" s="390">
        <f t="shared" ca="1" si="844"/>
        <v>0</v>
      </c>
      <c r="BU91" s="390">
        <f t="shared" ca="1" si="844"/>
        <v>0</v>
      </c>
      <c r="BV91" s="390">
        <f t="shared" ca="1" si="844"/>
        <v>0</v>
      </c>
      <c r="BW91" s="390">
        <f t="shared" ca="1" si="844"/>
        <v>0</v>
      </c>
      <c r="BX91" s="390">
        <f t="shared" ca="1" si="844"/>
        <v>0</v>
      </c>
      <c r="BY91" s="390">
        <f t="shared" ca="1" si="844"/>
        <v>0</v>
      </c>
      <c r="BZ91" s="390">
        <f t="shared" ca="1" si="844"/>
        <v>0</v>
      </c>
      <c r="CA91" s="390">
        <f t="shared" ref="CA91:CL91" ca="1" si="845">IF(CA8&lt;sector_base,NA(),IF($B$6="ON", IF(CA74&gt;=covid_start, IF(CA74&lt;covid_recovery,NA(),(CA87+CA71+CA55+CA39+CA23)),(CA87+CA71+CA55+CA39+CA23)),(CA87+CA71+CA55+CA39+CA23)))</f>
        <v>0</v>
      </c>
      <c r="CB91" s="390">
        <f t="shared" ca="1" si="845"/>
        <v>0</v>
      </c>
      <c r="CC91" s="390">
        <f t="shared" ca="1" si="845"/>
        <v>0</v>
      </c>
      <c r="CD91" s="390">
        <f t="shared" ca="1" si="845"/>
        <v>0</v>
      </c>
      <c r="CE91" s="390">
        <f t="shared" ca="1" si="845"/>
        <v>0</v>
      </c>
      <c r="CF91" s="390">
        <f t="shared" ca="1" si="845"/>
        <v>0</v>
      </c>
      <c r="CG91" s="390">
        <f t="shared" ca="1" si="845"/>
        <v>0</v>
      </c>
      <c r="CH91" s="390">
        <f t="shared" ca="1" si="845"/>
        <v>0</v>
      </c>
      <c r="CI91" s="390">
        <f t="shared" ca="1" si="845"/>
        <v>0</v>
      </c>
      <c r="CJ91" s="390">
        <f t="shared" ca="1" si="845"/>
        <v>0</v>
      </c>
      <c r="CK91" s="390">
        <f t="shared" ca="1" si="845"/>
        <v>0</v>
      </c>
      <c r="CL91" s="390">
        <f t="shared" ca="1" si="845"/>
        <v>0</v>
      </c>
      <c r="CN91" s="391" t="str">
        <f ca="1">IFERROR((Y91/H91)^(1/17)-1,"")</f>
        <v/>
      </c>
      <c r="CO91" s="391" t="str">
        <f ca="1">IFERROR((AN91/Y91)^(1/15)-1,"")</f>
        <v/>
      </c>
      <c r="CP91" s="391" t="str">
        <f ca="1">IFERROR((AN91/H91)^(1/32)-1,"")</f>
        <v/>
      </c>
    </row>
    <row r="92" spans="1:94" hidden="1" outlineLevel="1">
      <c r="A92" s="389" t="s">
        <v>255</v>
      </c>
      <c r="B92" s="389" t="s">
        <v>25</v>
      </c>
      <c r="C92" s="389"/>
      <c r="D92" s="427"/>
      <c r="E92" s="428" t="e">
        <f t="shared" ref="E92:I92" si="846">SUM(E81,E65,E49,E33,E17)</f>
        <v>#N/A</v>
      </c>
      <c r="F92" s="429" t="e">
        <f t="shared" si="846"/>
        <v>#N/A</v>
      </c>
      <c r="G92" s="429" t="e">
        <f t="shared" si="846"/>
        <v>#N/A</v>
      </c>
      <c r="H92" s="390" t="e">
        <f t="shared" si="846"/>
        <v>#N/A</v>
      </c>
      <c r="I92" s="429">
        <f t="shared" si="846"/>
        <v>0</v>
      </c>
      <c r="J92" s="429">
        <f>SUM(J81,J65,J49,J33,J17)</f>
        <v>0</v>
      </c>
      <c r="K92" s="429">
        <f t="shared" ref="K92:BV92" si="847">SUM(K81,K65,K49,K33,K17)</f>
        <v>0</v>
      </c>
      <c r="L92" s="429">
        <f t="shared" si="847"/>
        <v>0</v>
      </c>
      <c r="M92" s="429">
        <f t="shared" si="847"/>
        <v>0</v>
      </c>
      <c r="N92" s="429">
        <f t="shared" si="847"/>
        <v>0</v>
      </c>
      <c r="O92" s="429">
        <f t="shared" si="847"/>
        <v>0</v>
      </c>
      <c r="P92" s="429">
        <f t="shared" si="847"/>
        <v>0</v>
      </c>
      <c r="Q92" s="429">
        <f t="shared" si="847"/>
        <v>0</v>
      </c>
      <c r="R92" s="429">
        <f t="shared" si="847"/>
        <v>0</v>
      </c>
      <c r="S92" s="429">
        <f t="shared" si="847"/>
        <v>0</v>
      </c>
      <c r="T92" s="429">
        <f t="shared" si="847"/>
        <v>0</v>
      </c>
      <c r="U92" s="429">
        <f t="shared" si="847"/>
        <v>0</v>
      </c>
      <c r="V92" s="429">
        <f t="shared" si="847"/>
        <v>0</v>
      </c>
      <c r="W92" s="429">
        <f t="shared" si="847"/>
        <v>0</v>
      </c>
      <c r="X92" s="429">
        <f t="shared" si="847"/>
        <v>0</v>
      </c>
      <c r="Y92" s="429">
        <f t="shared" si="847"/>
        <v>0</v>
      </c>
      <c r="Z92" s="429">
        <f t="shared" si="847"/>
        <v>0</v>
      </c>
      <c r="AA92" s="429">
        <f t="shared" si="847"/>
        <v>0</v>
      </c>
      <c r="AB92" s="429">
        <f t="shared" si="847"/>
        <v>0</v>
      </c>
      <c r="AC92" s="429">
        <f t="shared" si="847"/>
        <v>0</v>
      </c>
      <c r="AD92" s="429">
        <f t="shared" si="847"/>
        <v>0</v>
      </c>
      <c r="AE92" s="429">
        <f t="shared" si="847"/>
        <v>0</v>
      </c>
      <c r="AF92" s="429">
        <f t="shared" si="847"/>
        <v>0</v>
      </c>
      <c r="AG92" s="429">
        <f t="shared" si="847"/>
        <v>0</v>
      </c>
      <c r="AH92" s="429">
        <f t="shared" si="847"/>
        <v>0</v>
      </c>
      <c r="AI92" s="429">
        <f t="shared" si="847"/>
        <v>0</v>
      </c>
      <c r="AJ92" s="429">
        <f t="shared" si="847"/>
        <v>0</v>
      </c>
      <c r="AK92" s="429">
        <f t="shared" si="847"/>
        <v>0</v>
      </c>
      <c r="AL92" s="429">
        <f t="shared" si="847"/>
        <v>0</v>
      </c>
      <c r="AM92" s="429">
        <f t="shared" si="847"/>
        <v>0</v>
      </c>
      <c r="AN92" s="429">
        <f t="shared" si="847"/>
        <v>0</v>
      </c>
      <c r="AO92" s="429">
        <f t="shared" si="847"/>
        <v>0</v>
      </c>
      <c r="AP92" s="429">
        <f t="shared" si="847"/>
        <v>0</v>
      </c>
      <c r="AQ92" s="429">
        <f t="shared" si="847"/>
        <v>0</v>
      </c>
      <c r="AR92" s="429">
        <f t="shared" si="847"/>
        <v>0</v>
      </c>
      <c r="AS92" s="429">
        <f t="shared" si="847"/>
        <v>0</v>
      </c>
      <c r="AT92" s="429">
        <f t="shared" si="847"/>
        <v>0</v>
      </c>
      <c r="AU92" s="429">
        <f t="shared" si="847"/>
        <v>0</v>
      </c>
      <c r="AV92" s="429">
        <f t="shared" si="847"/>
        <v>0</v>
      </c>
      <c r="AW92" s="429">
        <f t="shared" si="847"/>
        <v>0</v>
      </c>
      <c r="AX92" s="429">
        <f t="shared" si="847"/>
        <v>0</v>
      </c>
      <c r="AY92" s="429">
        <f t="shared" si="847"/>
        <v>0</v>
      </c>
      <c r="AZ92" s="429">
        <f t="shared" si="847"/>
        <v>0</v>
      </c>
      <c r="BA92" s="429">
        <f t="shared" si="847"/>
        <v>0</v>
      </c>
      <c r="BB92" s="429">
        <f t="shared" si="847"/>
        <v>0</v>
      </c>
      <c r="BC92" s="429">
        <f t="shared" si="847"/>
        <v>0</v>
      </c>
      <c r="BD92" s="429">
        <f t="shared" si="847"/>
        <v>0</v>
      </c>
      <c r="BE92" s="429">
        <f t="shared" si="847"/>
        <v>0</v>
      </c>
      <c r="BF92" s="429">
        <f t="shared" si="847"/>
        <v>0</v>
      </c>
      <c r="BG92" s="429">
        <f t="shared" si="847"/>
        <v>0</v>
      </c>
      <c r="BH92" s="429">
        <f t="shared" si="847"/>
        <v>0</v>
      </c>
      <c r="BI92" s="429">
        <f t="shared" si="847"/>
        <v>0</v>
      </c>
      <c r="BJ92" s="429">
        <f t="shared" si="847"/>
        <v>0</v>
      </c>
      <c r="BK92" s="429">
        <f t="shared" si="847"/>
        <v>0</v>
      </c>
      <c r="BL92" s="429">
        <f t="shared" si="847"/>
        <v>0</v>
      </c>
      <c r="BM92" s="429">
        <f t="shared" si="847"/>
        <v>0</v>
      </c>
      <c r="BN92" s="429">
        <f t="shared" si="847"/>
        <v>0</v>
      </c>
      <c r="BO92" s="429">
        <f t="shared" si="847"/>
        <v>0</v>
      </c>
      <c r="BP92" s="429">
        <f t="shared" si="847"/>
        <v>0</v>
      </c>
      <c r="BQ92" s="429">
        <f t="shared" si="847"/>
        <v>0</v>
      </c>
      <c r="BR92" s="429">
        <f t="shared" si="847"/>
        <v>0</v>
      </c>
      <c r="BS92" s="429">
        <f t="shared" si="847"/>
        <v>0</v>
      </c>
      <c r="BT92" s="429">
        <f t="shared" si="847"/>
        <v>0</v>
      </c>
      <c r="BU92" s="429">
        <f t="shared" si="847"/>
        <v>0</v>
      </c>
      <c r="BV92" s="429">
        <f t="shared" si="847"/>
        <v>0</v>
      </c>
      <c r="BW92" s="429">
        <f t="shared" ref="BW92:CL92" si="848">SUM(BW81,BW65,BW49,BW33,BW17)</f>
        <v>0</v>
      </c>
      <c r="BX92" s="429">
        <f t="shared" si="848"/>
        <v>0</v>
      </c>
      <c r="BY92" s="429">
        <f t="shared" si="848"/>
        <v>0</v>
      </c>
      <c r="BZ92" s="429">
        <f t="shared" si="848"/>
        <v>0</v>
      </c>
      <c r="CA92" s="429">
        <f t="shared" si="848"/>
        <v>0</v>
      </c>
      <c r="CB92" s="429">
        <f t="shared" si="848"/>
        <v>0</v>
      </c>
      <c r="CC92" s="429">
        <f t="shared" si="848"/>
        <v>0</v>
      </c>
      <c r="CD92" s="429">
        <f t="shared" si="848"/>
        <v>0</v>
      </c>
      <c r="CE92" s="429">
        <f t="shared" si="848"/>
        <v>0</v>
      </c>
      <c r="CF92" s="429">
        <f t="shared" si="848"/>
        <v>0</v>
      </c>
      <c r="CG92" s="429">
        <f t="shared" si="848"/>
        <v>0</v>
      </c>
      <c r="CH92" s="429">
        <f t="shared" si="848"/>
        <v>0</v>
      </c>
      <c r="CI92" s="429">
        <f t="shared" si="848"/>
        <v>0</v>
      </c>
      <c r="CJ92" s="429">
        <f t="shared" si="848"/>
        <v>0</v>
      </c>
      <c r="CK92" s="429">
        <f t="shared" si="848"/>
        <v>0</v>
      </c>
      <c r="CL92" s="429">
        <f t="shared" si="848"/>
        <v>0</v>
      </c>
      <c r="CN92" s="391" t="str">
        <f t="shared" ref="CN92" si="849">IFERROR((Y92/H92)^(1/17)-1,"")</f>
        <v/>
      </c>
      <c r="CO92" s="391" t="str">
        <f t="shared" ref="CO92" si="850">IFERROR((AN92/Y92)^(1/15)-1,"")</f>
        <v/>
      </c>
      <c r="CP92" s="391" t="str">
        <f t="shared" ref="CP92" si="851">IFERROR((AN92/H92)^(1/32)-1,"")</f>
        <v/>
      </c>
    </row>
    <row r="93" spans="1:94" ht="16.5" hidden="1" outlineLevel="1" thickBot="1">
      <c r="A93" s="430" t="s">
        <v>255</v>
      </c>
      <c r="B93" s="430" t="s">
        <v>127</v>
      </c>
      <c r="C93" s="430"/>
      <c r="D93" s="431"/>
      <c r="E93" s="432" t="e">
        <f t="shared" ref="E93:N93" si="852">IF($B$6="ON", IF(E74&gt;=covid_start, IF(E74&lt;covid_recovery,NA(),(E91/E92)*1000),(E91/E92)*1000),(E91/E92)*1000)</f>
        <v>#N/A</v>
      </c>
      <c r="F93" s="433" t="e">
        <f t="shared" si="852"/>
        <v>#N/A</v>
      </c>
      <c r="G93" s="433" t="e">
        <f t="shared" si="852"/>
        <v>#N/A</v>
      </c>
      <c r="H93" s="433" t="e">
        <f>IF($B$6="ON", IF(H74&gt;=covid_start, IF(H74&lt;covid_recovery,NA(),(H91/H92)*1000),(H91/H92)*1000),(H91/H92)*1000)</f>
        <v>#N/A</v>
      </c>
      <c r="I93" s="433" t="e">
        <f ca="1">IF($B$6="ON", IF(I74&gt;=covid_start, IF(I74&lt;covid_recovery,NA(),(I91/I92)*1000),(I91/I92)*1000),(I91/I92)*1000)</f>
        <v>#DIV/0!</v>
      </c>
      <c r="J93" s="433" t="e">
        <f t="shared" si="852"/>
        <v>#N/A</v>
      </c>
      <c r="K93" s="433" t="e">
        <f t="shared" si="852"/>
        <v>#N/A</v>
      </c>
      <c r="L93" s="433" t="e">
        <f t="shared" si="852"/>
        <v>#N/A</v>
      </c>
      <c r="M93" s="433" t="e">
        <f t="shared" ca="1" si="852"/>
        <v>#DIV/0!</v>
      </c>
      <c r="N93" s="433" t="e">
        <f t="shared" ca="1" si="852"/>
        <v>#DIV/0!</v>
      </c>
      <c r="O93" s="433" t="e">
        <f t="shared" ref="O93:AT93" ca="1" si="853">IF($B$6="ON", IF(O74&gt;=covid_start, IF(O74&lt;covid_recovery,NA(),(O91/O92)*1000),(O91/O92)*1000),(O91/O92)*1000)</f>
        <v>#DIV/0!</v>
      </c>
      <c r="P93" s="433" t="e">
        <f t="shared" ca="1" si="853"/>
        <v>#DIV/0!</v>
      </c>
      <c r="Q93" s="433" t="e">
        <f t="shared" ca="1" si="853"/>
        <v>#DIV/0!</v>
      </c>
      <c r="R93" s="433" t="e">
        <f t="shared" ca="1" si="853"/>
        <v>#DIV/0!</v>
      </c>
      <c r="S93" s="433" t="e">
        <f t="shared" ca="1" si="853"/>
        <v>#DIV/0!</v>
      </c>
      <c r="T93" s="433" t="e">
        <f t="shared" ca="1" si="853"/>
        <v>#DIV/0!</v>
      </c>
      <c r="U93" s="433" t="e">
        <f t="shared" ca="1" si="853"/>
        <v>#DIV/0!</v>
      </c>
      <c r="V93" s="433" t="e">
        <f t="shared" ca="1" si="853"/>
        <v>#DIV/0!</v>
      </c>
      <c r="W93" s="433" t="e">
        <f t="shared" ca="1" si="853"/>
        <v>#DIV/0!</v>
      </c>
      <c r="X93" s="433" t="e">
        <f t="shared" ca="1" si="853"/>
        <v>#DIV/0!</v>
      </c>
      <c r="Y93" s="433" t="e">
        <f t="shared" ca="1" si="853"/>
        <v>#DIV/0!</v>
      </c>
      <c r="Z93" s="433" t="e">
        <f t="shared" ca="1" si="853"/>
        <v>#DIV/0!</v>
      </c>
      <c r="AA93" s="433" t="e">
        <f t="shared" ca="1" si="853"/>
        <v>#DIV/0!</v>
      </c>
      <c r="AB93" s="433" t="e">
        <f t="shared" ca="1" si="853"/>
        <v>#DIV/0!</v>
      </c>
      <c r="AC93" s="433" t="e">
        <f t="shared" ca="1" si="853"/>
        <v>#DIV/0!</v>
      </c>
      <c r="AD93" s="433" t="e">
        <f t="shared" ca="1" si="853"/>
        <v>#DIV/0!</v>
      </c>
      <c r="AE93" s="433" t="e">
        <f t="shared" ca="1" si="853"/>
        <v>#DIV/0!</v>
      </c>
      <c r="AF93" s="433" t="e">
        <f t="shared" ca="1" si="853"/>
        <v>#DIV/0!</v>
      </c>
      <c r="AG93" s="433" t="e">
        <f t="shared" ca="1" si="853"/>
        <v>#DIV/0!</v>
      </c>
      <c r="AH93" s="433" t="e">
        <f t="shared" ca="1" si="853"/>
        <v>#DIV/0!</v>
      </c>
      <c r="AI93" s="433" t="e">
        <f t="shared" ca="1" si="853"/>
        <v>#DIV/0!</v>
      </c>
      <c r="AJ93" s="433" t="e">
        <f t="shared" ca="1" si="853"/>
        <v>#DIV/0!</v>
      </c>
      <c r="AK93" s="433" t="e">
        <f t="shared" ca="1" si="853"/>
        <v>#DIV/0!</v>
      </c>
      <c r="AL93" s="433" t="e">
        <f t="shared" ca="1" si="853"/>
        <v>#DIV/0!</v>
      </c>
      <c r="AM93" s="433" t="e">
        <f t="shared" ca="1" si="853"/>
        <v>#DIV/0!</v>
      </c>
      <c r="AN93" s="433" t="e">
        <f t="shared" ca="1" si="853"/>
        <v>#DIV/0!</v>
      </c>
      <c r="AO93" s="433" t="e">
        <f t="shared" ca="1" si="853"/>
        <v>#DIV/0!</v>
      </c>
      <c r="AP93" s="433" t="e">
        <f t="shared" ca="1" si="853"/>
        <v>#DIV/0!</v>
      </c>
      <c r="AQ93" s="433" t="e">
        <f t="shared" ca="1" si="853"/>
        <v>#DIV/0!</v>
      </c>
      <c r="AR93" s="433" t="e">
        <f t="shared" ca="1" si="853"/>
        <v>#DIV/0!</v>
      </c>
      <c r="AS93" s="433" t="e">
        <f t="shared" ca="1" si="853"/>
        <v>#DIV/0!</v>
      </c>
      <c r="AT93" s="433" t="e">
        <f t="shared" ca="1" si="853"/>
        <v>#DIV/0!</v>
      </c>
      <c r="AU93" s="433" t="e">
        <f t="shared" ref="AU93:BZ93" ca="1" si="854">IF($B$6="ON", IF(AU74&gt;=covid_start, IF(AU74&lt;covid_recovery,NA(),(AU91/AU92)*1000),(AU91/AU92)*1000),(AU91/AU92)*1000)</f>
        <v>#DIV/0!</v>
      </c>
      <c r="AV93" s="433" t="e">
        <f t="shared" ca="1" si="854"/>
        <v>#DIV/0!</v>
      </c>
      <c r="AW93" s="433" t="e">
        <f t="shared" ca="1" si="854"/>
        <v>#DIV/0!</v>
      </c>
      <c r="AX93" s="433" t="e">
        <f t="shared" ca="1" si="854"/>
        <v>#DIV/0!</v>
      </c>
      <c r="AY93" s="433" t="e">
        <f t="shared" ca="1" si="854"/>
        <v>#DIV/0!</v>
      </c>
      <c r="AZ93" s="433" t="e">
        <f t="shared" ca="1" si="854"/>
        <v>#DIV/0!</v>
      </c>
      <c r="BA93" s="433" t="e">
        <f t="shared" ca="1" si="854"/>
        <v>#DIV/0!</v>
      </c>
      <c r="BB93" s="433" t="e">
        <f t="shared" ca="1" si="854"/>
        <v>#DIV/0!</v>
      </c>
      <c r="BC93" s="433" t="e">
        <f t="shared" ca="1" si="854"/>
        <v>#DIV/0!</v>
      </c>
      <c r="BD93" s="433" t="e">
        <f t="shared" ca="1" si="854"/>
        <v>#DIV/0!</v>
      </c>
      <c r="BE93" s="433" t="e">
        <f t="shared" ca="1" si="854"/>
        <v>#DIV/0!</v>
      </c>
      <c r="BF93" s="433" t="e">
        <f t="shared" ca="1" si="854"/>
        <v>#DIV/0!</v>
      </c>
      <c r="BG93" s="433" t="e">
        <f t="shared" ca="1" si="854"/>
        <v>#DIV/0!</v>
      </c>
      <c r="BH93" s="433" t="e">
        <f t="shared" ca="1" si="854"/>
        <v>#DIV/0!</v>
      </c>
      <c r="BI93" s="433" t="e">
        <f t="shared" ca="1" si="854"/>
        <v>#DIV/0!</v>
      </c>
      <c r="BJ93" s="433" t="e">
        <f t="shared" ca="1" si="854"/>
        <v>#DIV/0!</v>
      </c>
      <c r="BK93" s="433" t="e">
        <f t="shared" ca="1" si="854"/>
        <v>#DIV/0!</v>
      </c>
      <c r="BL93" s="433" t="e">
        <f t="shared" ca="1" si="854"/>
        <v>#DIV/0!</v>
      </c>
      <c r="BM93" s="433" t="e">
        <f t="shared" ca="1" si="854"/>
        <v>#DIV/0!</v>
      </c>
      <c r="BN93" s="433" t="e">
        <f t="shared" ca="1" si="854"/>
        <v>#DIV/0!</v>
      </c>
      <c r="BO93" s="433" t="e">
        <f t="shared" ca="1" si="854"/>
        <v>#DIV/0!</v>
      </c>
      <c r="BP93" s="433" t="e">
        <f t="shared" ca="1" si="854"/>
        <v>#DIV/0!</v>
      </c>
      <c r="BQ93" s="433" t="e">
        <f t="shared" ca="1" si="854"/>
        <v>#DIV/0!</v>
      </c>
      <c r="BR93" s="433" t="e">
        <f t="shared" ca="1" si="854"/>
        <v>#DIV/0!</v>
      </c>
      <c r="BS93" s="433" t="e">
        <f t="shared" ca="1" si="854"/>
        <v>#DIV/0!</v>
      </c>
      <c r="BT93" s="433" t="e">
        <f t="shared" ca="1" si="854"/>
        <v>#DIV/0!</v>
      </c>
      <c r="BU93" s="433" t="e">
        <f t="shared" ca="1" si="854"/>
        <v>#DIV/0!</v>
      </c>
      <c r="BV93" s="433" t="e">
        <f t="shared" ca="1" si="854"/>
        <v>#DIV/0!</v>
      </c>
      <c r="BW93" s="433" t="e">
        <f t="shared" ca="1" si="854"/>
        <v>#DIV/0!</v>
      </c>
      <c r="BX93" s="433" t="e">
        <f t="shared" ca="1" si="854"/>
        <v>#DIV/0!</v>
      </c>
      <c r="BY93" s="433" t="e">
        <f t="shared" ca="1" si="854"/>
        <v>#DIV/0!</v>
      </c>
      <c r="BZ93" s="433" t="e">
        <f t="shared" ca="1" si="854"/>
        <v>#DIV/0!</v>
      </c>
      <c r="CA93" s="433" t="e">
        <f t="shared" ref="CA93:CL93" ca="1" si="855">IF($B$6="ON", IF(CA74&gt;=covid_start, IF(CA74&lt;covid_recovery,NA(),(CA91/CA92)*1000),(CA91/CA92)*1000),(CA91/CA92)*1000)</f>
        <v>#DIV/0!</v>
      </c>
      <c r="CB93" s="433" t="e">
        <f t="shared" ca="1" si="855"/>
        <v>#DIV/0!</v>
      </c>
      <c r="CC93" s="433" t="e">
        <f t="shared" ca="1" si="855"/>
        <v>#DIV/0!</v>
      </c>
      <c r="CD93" s="433" t="e">
        <f t="shared" ca="1" si="855"/>
        <v>#DIV/0!</v>
      </c>
      <c r="CE93" s="433" t="e">
        <f t="shared" ca="1" si="855"/>
        <v>#DIV/0!</v>
      </c>
      <c r="CF93" s="433" t="e">
        <f t="shared" ca="1" si="855"/>
        <v>#DIV/0!</v>
      </c>
      <c r="CG93" s="433" t="e">
        <f t="shared" ca="1" si="855"/>
        <v>#DIV/0!</v>
      </c>
      <c r="CH93" s="433" t="e">
        <f t="shared" ca="1" si="855"/>
        <v>#DIV/0!</v>
      </c>
      <c r="CI93" s="433" t="e">
        <f t="shared" ca="1" si="855"/>
        <v>#DIV/0!</v>
      </c>
      <c r="CJ93" s="433" t="e">
        <f t="shared" ca="1" si="855"/>
        <v>#DIV/0!</v>
      </c>
      <c r="CK93" s="433" t="e">
        <f t="shared" ca="1" si="855"/>
        <v>#DIV/0!</v>
      </c>
      <c r="CL93" s="433" t="e">
        <f t="shared" ca="1" si="855"/>
        <v>#DIV/0!</v>
      </c>
      <c r="CN93" s="434" t="str">
        <f ca="1">IFERROR((Y93/H93)^(1/17)-1,"")</f>
        <v/>
      </c>
      <c r="CO93" s="434" t="str">
        <f ca="1">IFERROR((AN93/Y93)^(1/15)-1,"")</f>
        <v/>
      </c>
      <c r="CP93" s="434" t="str">
        <f ca="1">IFERROR((AN93/H93)^(1/32)-1,"")</f>
        <v/>
      </c>
    </row>
    <row r="94" spans="1:94" ht="16.5" hidden="1" outlineLevel="1" thickTop="1">
      <c r="A94" s="400" t="s">
        <v>255</v>
      </c>
      <c r="B94" s="400" t="s">
        <v>129</v>
      </c>
      <c r="C94" s="400"/>
      <c r="D94" s="400"/>
      <c r="E94" s="413" t="e">
        <f t="shared" ref="E94:AJ94" si="856">IF(E90=target,E93,#N/A)</f>
        <v>#N/A</v>
      </c>
      <c r="F94" s="407" t="e">
        <f t="shared" si="856"/>
        <v>#N/A</v>
      </c>
      <c r="G94" s="407" t="e">
        <f t="shared" si="856"/>
        <v>#N/A</v>
      </c>
      <c r="H94" s="407" t="e">
        <f t="shared" si="856"/>
        <v>#N/A</v>
      </c>
      <c r="I94" s="407" t="e">
        <f t="shared" si="856"/>
        <v>#N/A</v>
      </c>
      <c r="J94" s="407" t="e">
        <f t="shared" si="856"/>
        <v>#N/A</v>
      </c>
      <c r="K94" s="407" t="e">
        <f t="shared" si="856"/>
        <v>#N/A</v>
      </c>
      <c r="L94" s="407" t="e">
        <f t="shared" si="856"/>
        <v>#N/A</v>
      </c>
      <c r="M94" s="407" t="e">
        <f t="shared" si="856"/>
        <v>#N/A</v>
      </c>
      <c r="N94" s="407" t="e">
        <f t="shared" si="856"/>
        <v>#N/A</v>
      </c>
      <c r="O94" s="407" t="e">
        <f t="shared" si="856"/>
        <v>#N/A</v>
      </c>
      <c r="P94" s="407" t="e">
        <f t="shared" si="856"/>
        <v>#N/A</v>
      </c>
      <c r="Q94" s="407" t="e">
        <f t="shared" si="856"/>
        <v>#N/A</v>
      </c>
      <c r="R94" s="407" t="e">
        <f t="shared" si="856"/>
        <v>#N/A</v>
      </c>
      <c r="S94" s="407" t="e">
        <f t="shared" si="856"/>
        <v>#N/A</v>
      </c>
      <c r="T94" s="407" t="e">
        <f t="shared" si="856"/>
        <v>#N/A</v>
      </c>
      <c r="U94" s="407" t="e">
        <f t="shared" si="856"/>
        <v>#N/A</v>
      </c>
      <c r="V94" s="407" t="e">
        <f t="shared" si="856"/>
        <v>#N/A</v>
      </c>
      <c r="W94" s="407" t="e">
        <f t="shared" si="856"/>
        <v>#N/A</v>
      </c>
      <c r="X94" s="407" t="e">
        <f t="shared" si="856"/>
        <v>#N/A</v>
      </c>
      <c r="Y94" s="407" t="e">
        <f>IF(Y90=target,Y93,#N/A)</f>
        <v>#N/A</v>
      </c>
      <c r="Z94" s="407" t="e">
        <f t="shared" si="856"/>
        <v>#N/A</v>
      </c>
      <c r="AA94" s="407" t="e">
        <f t="shared" si="856"/>
        <v>#N/A</v>
      </c>
      <c r="AB94" s="407" t="e">
        <f t="shared" si="856"/>
        <v>#N/A</v>
      </c>
      <c r="AC94" s="407" t="e">
        <f t="shared" si="856"/>
        <v>#N/A</v>
      </c>
      <c r="AD94" s="407" t="e">
        <f t="shared" si="856"/>
        <v>#N/A</v>
      </c>
      <c r="AE94" s="407" t="e">
        <f t="shared" si="856"/>
        <v>#N/A</v>
      </c>
      <c r="AF94" s="407" t="e">
        <f t="shared" si="856"/>
        <v>#N/A</v>
      </c>
      <c r="AG94" s="407" t="e">
        <f t="shared" si="856"/>
        <v>#N/A</v>
      </c>
      <c r="AH94" s="407" t="e">
        <f t="shared" si="856"/>
        <v>#N/A</v>
      </c>
      <c r="AI94" s="407" t="e">
        <f t="shared" si="856"/>
        <v>#N/A</v>
      </c>
      <c r="AJ94" s="407" t="e">
        <f t="shared" si="856"/>
        <v>#N/A</v>
      </c>
      <c r="AK94" s="407" t="e">
        <f t="shared" ref="AK94:BP94" si="857">IF(AK90=target,AK93,#N/A)</f>
        <v>#N/A</v>
      </c>
      <c r="AL94" s="407" t="e">
        <f t="shared" si="857"/>
        <v>#N/A</v>
      </c>
      <c r="AM94" s="407" t="e">
        <f t="shared" si="857"/>
        <v>#N/A</v>
      </c>
      <c r="AN94" s="407" t="e">
        <f t="shared" si="857"/>
        <v>#N/A</v>
      </c>
      <c r="AO94" s="407" t="e">
        <f t="shared" si="857"/>
        <v>#N/A</v>
      </c>
      <c r="AP94" s="407" t="e">
        <f t="shared" si="857"/>
        <v>#N/A</v>
      </c>
      <c r="AQ94" s="407" t="e">
        <f t="shared" si="857"/>
        <v>#N/A</v>
      </c>
      <c r="AR94" s="407" t="e">
        <f t="shared" si="857"/>
        <v>#N/A</v>
      </c>
      <c r="AS94" s="407" t="e">
        <f t="shared" si="857"/>
        <v>#N/A</v>
      </c>
      <c r="AT94" s="407" t="e">
        <f t="shared" si="857"/>
        <v>#N/A</v>
      </c>
      <c r="AU94" s="407" t="e">
        <f t="shared" si="857"/>
        <v>#N/A</v>
      </c>
      <c r="AV94" s="407" t="e">
        <f t="shared" si="857"/>
        <v>#N/A</v>
      </c>
      <c r="AW94" s="407" t="e">
        <f t="shared" si="857"/>
        <v>#N/A</v>
      </c>
      <c r="AX94" s="407" t="e">
        <f t="shared" si="857"/>
        <v>#N/A</v>
      </c>
      <c r="AY94" s="407" t="e">
        <f t="shared" si="857"/>
        <v>#N/A</v>
      </c>
      <c r="AZ94" s="407" t="e">
        <f t="shared" si="857"/>
        <v>#N/A</v>
      </c>
      <c r="BA94" s="407" t="e">
        <f t="shared" si="857"/>
        <v>#N/A</v>
      </c>
      <c r="BB94" s="407" t="e">
        <f t="shared" si="857"/>
        <v>#N/A</v>
      </c>
      <c r="BC94" s="407" t="e">
        <f t="shared" si="857"/>
        <v>#N/A</v>
      </c>
      <c r="BD94" s="407" t="e">
        <f t="shared" si="857"/>
        <v>#N/A</v>
      </c>
      <c r="BE94" s="407" t="e">
        <f t="shared" si="857"/>
        <v>#N/A</v>
      </c>
      <c r="BF94" s="407" t="e">
        <f t="shared" si="857"/>
        <v>#N/A</v>
      </c>
      <c r="BG94" s="407" t="e">
        <f t="shared" si="857"/>
        <v>#N/A</v>
      </c>
      <c r="BH94" s="407" t="e">
        <f t="shared" si="857"/>
        <v>#N/A</v>
      </c>
      <c r="BI94" s="407" t="e">
        <f t="shared" si="857"/>
        <v>#N/A</v>
      </c>
      <c r="BJ94" s="407" t="e">
        <f t="shared" si="857"/>
        <v>#N/A</v>
      </c>
      <c r="BK94" s="407" t="e">
        <f t="shared" si="857"/>
        <v>#N/A</v>
      </c>
      <c r="BL94" s="407" t="e">
        <f t="shared" si="857"/>
        <v>#N/A</v>
      </c>
      <c r="BM94" s="407" t="e">
        <f t="shared" si="857"/>
        <v>#N/A</v>
      </c>
      <c r="BN94" s="407" t="e">
        <f t="shared" si="857"/>
        <v>#N/A</v>
      </c>
      <c r="BO94" s="407" t="e">
        <f t="shared" si="857"/>
        <v>#N/A</v>
      </c>
      <c r="BP94" s="407" t="e">
        <f t="shared" si="857"/>
        <v>#N/A</v>
      </c>
      <c r="BQ94" s="407" t="e">
        <f t="shared" ref="BQ94:CL94" si="858">IF(BQ90=target,BQ93,#N/A)</f>
        <v>#N/A</v>
      </c>
      <c r="BR94" s="407" t="e">
        <f t="shared" si="858"/>
        <v>#N/A</v>
      </c>
      <c r="BS94" s="407" t="e">
        <f t="shared" si="858"/>
        <v>#N/A</v>
      </c>
      <c r="BT94" s="407" t="e">
        <f t="shared" si="858"/>
        <v>#N/A</v>
      </c>
      <c r="BU94" s="407" t="e">
        <f t="shared" si="858"/>
        <v>#N/A</v>
      </c>
      <c r="BV94" s="407" t="e">
        <f t="shared" si="858"/>
        <v>#N/A</v>
      </c>
      <c r="BW94" s="407" t="e">
        <f t="shared" si="858"/>
        <v>#N/A</v>
      </c>
      <c r="BX94" s="407" t="e">
        <f t="shared" si="858"/>
        <v>#N/A</v>
      </c>
      <c r="BY94" s="407" t="e">
        <f t="shared" si="858"/>
        <v>#N/A</v>
      </c>
      <c r="BZ94" s="407" t="e">
        <f t="shared" si="858"/>
        <v>#N/A</v>
      </c>
      <c r="CA94" s="407" t="e">
        <f t="shared" si="858"/>
        <v>#N/A</v>
      </c>
      <c r="CB94" s="407" t="e">
        <f t="shared" si="858"/>
        <v>#N/A</v>
      </c>
      <c r="CC94" s="407" t="e">
        <f t="shared" si="858"/>
        <v>#N/A</v>
      </c>
      <c r="CD94" s="407" t="e">
        <f t="shared" si="858"/>
        <v>#N/A</v>
      </c>
      <c r="CE94" s="407" t="e">
        <f t="shared" si="858"/>
        <v>#N/A</v>
      </c>
      <c r="CF94" s="407" t="e">
        <f t="shared" si="858"/>
        <v>#N/A</v>
      </c>
      <c r="CG94" s="407" t="e">
        <f t="shared" si="858"/>
        <v>#N/A</v>
      </c>
      <c r="CH94" s="407" t="e">
        <f t="shared" si="858"/>
        <v>#N/A</v>
      </c>
      <c r="CI94" s="407" t="e">
        <f t="shared" si="858"/>
        <v>#N/A</v>
      </c>
      <c r="CJ94" s="407" t="e">
        <f t="shared" si="858"/>
        <v>#N/A</v>
      </c>
      <c r="CK94" s="407" t="e">
        <f t="shared" si="858"/>
        <v>#N/A</v>
      </c>
      <c r="CL94" s="407" t="e">
        <f t="shared" si="858"/>
        <v>#N/A</v>
      </c>
      <c r="CN94" s="398"/>
      <c r="CO94" s="398"/>
      <c r="CP94" s="398"/>
    </row>
    <row r="95" spans="1:94" ht="16.5" hidden="1" outlineLevel="1" thickBot="1">
      <c r="A95" s="435" t="s">
        <v>255</v>
      </c>
      <c r="B95" s="435" t="s">
        <v>130</v>
      </c>
      <c r="C95" s="435"/>
      <c r="D95" s="436"/>
      <c r="E95" s="437" t="e">
        <f t="shared" ref="E95:AJ95" si="859">IF(E90=target,E91,#N/A)</f>
        <v>#N/A</v>
      </c>
      <c r="F95" s="438" t="e">
        <f t="shared" si="859"/>
        <v>#N/A</v>
      </c>
      <c r="G95" s="438" t="e">
        <f t="shared" si="859"/>
        <v>#N/A</v>
      </c>
      <c r="H95" s="438" t="e">
        <f t="shared" si="859"/>
        <v>#N/A</v>
      </c>
      <c r="I95" s="438" t="e">
        <f t="shared" si="859"/>
        <v>#N/A</v>
      </c>
      <c r="J95" s="438" t="e">
        <f t="shared" si="859"/>
        <v>#N/A</v>
      </c>
      <c r="K95" s="438" t="e">
        <f t="shared" si="859"/>
        <v>#N/A</v>
      </c>
      <c r="L95" s="438" t="e">
        <f t="shared" si="859"/>
        <v>#N/A</v>
      </c>
      <c r="M95" s="438" t="e">
        <f t="shared" si="859"/>
        <v>#N/A</v>
      </c>
      <c r="N95" s="438" t="e">
        <f t="shared" si="859"/>
        <v>#N/A</v>
      </c>
      <c r="O95" s="438" t="e">
        <f t="shared" si="859"/>
        <v>#N/A</v>
      </c>
      <c r="P95" s="438" t="e">
        <f t="shared" si="859"/>
        <v>#N/A</v>
      </c>
      <c r="Q95" s="438" t="e">
        <f t="shared" si="859"/>
        <v>#N/A</v>
      </c>
      <c r="R95" s="438" t="e">
        <f t="shared" si="859"/>
        <v>#N/A</v>
      </c>
      <c r="S95" s="438" t="e">
        <f t="shared" si="859"/>
        <v>#N/A</v>
      </c>
      <c r="T95" s="438" t="e">
        <f t="shared" si="859"/>
        <v>#N/A</v>
      </c>
      <c r="U95" s="438" t="e">
        <f t="shared" si="859"/>
        <v>#N/A</v>
      </c>
      <c r="V95" s="438" t="e">
        <f t="shared" si="859"/>
        <v>#N/A</v>
      </c>
      <c r="W95" s="438" t="e">
        <f t="shared" si="859"/>
        <v>#N/A</v>
      </c>
      <c r="X95" s="438" t="e">
        <f t="shared" si="859"/>
        <v>#N/A</v>
      </c>
      <c r="Y95" s="438" t="e">
        <f>IF(Y90=target,Y91,#N/A)</f>
        <v>#N/A</v>
      </c>
      <c r="Z95" s="438" t="e">
        <f t="shared" si="859"/>
        <v>#N/A</v>
      </c>
      <c r="AA95" s="438" t="e">
        <f t="shared" si="859"/>
        <v>#N/A</v>
      </c>
      <c r="AB95" s="438" t="e">
        <f t="shared" si="859"/>
        <v>#N/A</v>
      </c>
      <c r="AC95" s="438" t="e">
        <f t="shared" si="859"/>
        <v>#N/A</v>
      </c>
      <c r="AD95" s="438" t="e">
        <f t="shared" si="859"/>
        <v>#N/A</v>
      </c>
      <c r="AE95" s="438" t="e">
        <f t="shared" si="859"/>
        <v>#N/A</v>
      </c>
      <c r="AF95" s="438" t="e">
        <f t="shared" si="859"/>
        <v>#N/A</v>
      </c>
      <c r="AG95" s="438" t="e">
        <f t="shared" si="859"/>
        <v>#N/A</v>
      </c>
      <c r="AH95" s="438" t="e">
        <f t="shared" si="859"/>
        <v>#N/A</v>
      </c>
      <c r="AI95" s="438" t="e">
        <f t="shared" si="859"/>
        <v>#N/A</v>
      </c>
      <c r="AJ95" s="438" t="e">
        <f t="shared" si="859"/>
        <v>#N/A</v>
      </c>
      <c r="AK95" s="438" t="e">
        <f t="shared" ref="AK95:BP95" si="860">IF(AK90=target,AK91,#N/A)</f>
        <v>#N/A</v>
      </c>
      <c r="AL95" s="438" t="e">
        <f t="shared" si="860"/>
        <v>#N/A</v>
      </c>
      <c r="AM95" s="438" t="e">
        <f t="shared" si="860"/>
        <v>#N/A</v>
      </c>
      <c r="AN95" s="438" t="e">
        <f t="shared" si="860"/>
        <v>#N/A</v>
      </c>
      <c r="AO95" s="438" t="e">
        <f t="shared" si="860"/>
        <v>#N/A</v>
      </c>
      <c r="AP95" s="438" t="e">
        <f t="shared" si="860"/>
        <v>#N/A</v>
      </c>
      <c r="AQ95" s="438" t="e">
        <f t="shared" si="860"/>
        <v>#N/A</v>
      </c>
      <c r="AR95" s="438" t="e">
        <f t="shared" si="860"/>
        <v>#N/A</v>
      </c>
      <c r="AS95" s="438" t="e">
        <f t="shared" si="860"/>
        <v>#N/A</v>
      </c>
      <c r="AT95" s="438" t="e">
        <f t="shared" si="860"/>
        <v>#N/A</v>
      </c>
      <c r="AU95" s="438" t="e">
        <f t="shared" si="860"/>
        <v>#N/A</v>
      </c>
      <c r="AV95" s="438" t="e">
        <f t="shared" si="860"/>
        <v>#N/A</v>
      </c>
      <c r="AW95" s="438" t="e">
        <f t="shared" si="860"/>
        <v>#N/A</v>
      </c>
      <c r="AX95" s="438" t="e">
        <f t="shared" si="860"/>
        <v>#N/A</v>
      </c>
      <c r="AY95" s="438" t="e">
        <f t="shared" si="860"/>
        <v>#N/A</v>
      </c>
      <c r="AZ95" s="438" t="e">
        <f t="shared" si="860"/>
        <v>#N/A</v>
      </c>
      <c r="BA95" s="438" t="e">
        <f t="shared" si="860"/>
        <v>#N/A</v>
      </c>
      <c r="BB95" s="438" t="e">
        <f t="shared" si="860"/>
        <v>#N/A</v>
      </c>
      <c r="BC95" s="438" t="e">
        <f t="shared" si="860"/>
        <v>#N/A</v>
      </c>
      <c r="BD95" s="438" t="e">
        <f t="shared" si="860"/>
        <v>#N/A</v>
      </c>
      <c r="BE95" s="438" t="e">
        <f t="shared" si="860"/>
        <v>#N/A</v>
      </c>
      <c r="BF95" s="438" t="e">
        <f t="shared" si="860"/>
        <v>#N/A</v>
      </c>
      <c r="BG95" s="438" t="e">
        <f t="shared" si="860"/>
        <v>#N/A</v>
      </c>
      <c r="BH95" s="438" t="e">
        <f t="shared" si="860"/>
        <v>#N/A</v>
      </c>
      <c r="BI95" s="438" t="e">
        <f t="shared" si="860"/>
        <v>#N/A</v>
      </c>
      <c r="BJ95" s="438" t="e">
        <f t="shared" si="860"/>
        <v>#N/A</v>
      </c>
      <c r="BK95" s="438" t="e">
        <f t="shared" si="860"/>
        <v>#N/A</v>
      </c>
      <c r="BL95" s="438" t="e">
        <f t="shared" si="860"/>
        <v>#N/A</v>
      </c>
      <c r="BM95" s="438" t="e">
        <f t="shared" si="860"/>
        <v>#N/A</v>
      </c>
      <c r="BN95" s="438" t="e">
        <f t="shared" si="860"/>
        <v>#N/A</v>
      </c>
      <c r="BO95" s="438" t="e">
        <f t="shared" si="860"/>
        <v>#N/A</v>
      </c>
      <c r="BP95" s="438" t="e">
        <f t="shared" si="860"/>
        <v>#N/A</v>
      </c>
      <c r="BQ95" s="438" t="e">
        <f t="shared" ref="BQ95:CL95" si="861">IF(BQ90=target,BQ91,#N/A)</f>
        <v>#N/A</v>
      </c>
      <c r="BR95" s="438" t="e">
        <f t="shared" si="861"/>
        <v>#N/A</v>
      </c>
      <c r="BS95" s="438" t="e">
        <f t="shared" si="861"/>
        <v>#N/A</v>
      </c>
      <c r="BT95" s="438" t="e">
        <f t="shared" si="861"/>
        <v>#N/A</v>
      </c>
      <c r="BU95" s="438" t="e">
        <f t="shared" si="861"/>
        <v>#N/A</v>
      </c>
      <c r="BV95" s="438" t="e">
        <f t="shared" si="861"/>
        <v>#N/A</v>
      </c>
      <c r="BW95" s="438" t="e">
        <f t="shared" si="861"/>
        <v>#N/A</v>
      </c>
      <c r="BX95" s="438" t="e">
        <f t="shared" si="861"/>
        <v>#N/A</v>
      </c>
      <c r="BY95" s="438" t="e">
        <f t="shared" si="861"/>
        <v>#N/A</v>
      </c>
      <c r="BZ95" s="438" t="e">
        <f t="shared" si="861"/>
        <v>#N/A</v>
      </c>
      <c r="CA95" s="438" t="e">
        <f t="shared" si="861"/>
        <v>#N/A</v>
      </c>
      <c r="CB95" s="438" t="e">
        <f t="shared" si="861"/>
        <v>#N/A</v>
      </c>
      <c r="CC95" s="438" t="e">
        <f t="shared" si="861"/>
        <v>#N/A</v>
      </c>
      <c r="CD95" s="438" t="e">
        <f t="shared" si="861"/>
        <v>#N/A</v>
      </c>
      <c r="CE95" s="438" t="e">
        <f t="shared" si="861"/>
        <v>#N/A</v>
      </c>
      <c r="CF95" s="438" t="e">
        <f t="shared" si="861"/>
        <v>#N/A</v>
      </c>
      <c r="CG95" s="438" t="e">
        <f t="shared" si="861"/>
        <v>#N/A</v>
      </c>
      <c r="CH95" s="438" t="e">
        <f t="shared" si="861"/>
        <v>#N/A</v>
      </c>
      <c r="CI95" s="438" t="e">
        <f t="shared" si="861"/>
        <v>#N/A</v>
      </c>
      <c r="CJ95" s="438" t="e">
        <f t="shared" si="861"/>
        <v>#N/A</v>
      </c>
      <c r="CK95" s="438" t="e">
        <f t="shared" si="861"/>
        <v>#N/A</v>
      </c>
      <c r="CL95" s="438" t="e">
        <f t="shared" si="861"/>
        <v>#N/A</v>
      </c>
      <c r="CN95" s="439"/>
      <c r="CO95" s="439"/>
      <c r="CP95" s="439"/>
    </row>
    <row r="96" spans="1:94" ht="16.5" hidden="1" outlineLevel="1" thickTop="1">
      <c r="A96" s="388" t="s">
        <v>414</v>
      </c>
      <c r="B96" s="388" t="s">
        <v>412</v>
      </c>
      <c r="C96" s="388"/>
      <c r="D96" s="440"/>
      <c r="E96" s="570" t="e">
        <f>'SDS Calc'!E96</f>
        <v>#N/A</v>
      </c>
      <c r="F96" s="570" t="e">
        <f>'SDS Calc'!F96</f>
        <v>#N/A</v>
      </c>
      <c r="G96" s="570" t="e">
        <f>'SDS Calc'!G96</f>
        <v>#N/A</v>
      </c>
      <c r="H96" s="570" t="e">
        <f>'SDS Calc'!H96</f>
        <v>#N/A</v>
      </c>
      <c r="I96" s="570" t="e">
        <f ca="1">'SDS Calc'!I96</f>
        <v>#DIV/0!</v>
      </c>
      <c r="J96" s="570" t="e">
        <f ca="1">'SDS Calc'!J96</f>
        <v>#DIV/0!</v>
      </c>
      <c r="K96" s="570" t="e">
        <f ca="1">'SDS Calc'!K96</f>
        <v>#DIV/0!</v>
      </c>
      <c r="L96" s="570" t="e">
        <f ca="1">'SDS Calc'!L96</f>
        <v>#DIV/0!</v>
      </c>
      <c r="M96" s="570" t="e">
        <f ca="1">'SDS Calc'!M96</f>
        <v>#DIV/0!</v>
      </c>
      <c r="N96" s="570" t="e">
        <f ca="1">'SDS Calc'!N96</f>
        <v>#DIV/0!</v>
      </c>
      <c r="O96" s="570" t="e">
        <f ca="1">'SDS Calc'!O96</f>
        <v>#DIV/0!</v>
      </c>
      <c r="P96" s="570" t="e">
        <f ca="1">'SDS Calc'!P96</f>
        <v>#DIV/0!</v>
      </c>
      <c r="Q96" s="570" t="e">
        <f ca="1">'SDS Calc'!Q96</f>
        <v>#DIV/0!</v>
      </c>
      <c r="R96" s="570" t="e">
        <f ca="1">'SDS Calc'!R96</f>
        <v>#DIV/0!</v>
      </c>
      <c r="S96" s="570" t="e">
        <f ca="1">'SDS Calc'!S96</f>
        <v>#DIV/0!</v>
      </c>
      <c r="T96" s="570" t="e">
        <f ca="1">'SDS Calc'!T96</f>
        <v>#DIV/0!</v>
      </c>
      <c r="U96" s="570" t="e">
        <f ca="1">'SDS Calc'!U96</f>
        <v>#DIV/0!</v>
      </c>
      <c r="V96" s="570" t="e">
        <f t="shared" ref="V96:AJ96" ca="1" si="862">IF(V8&lt;sector_base, NA(),IF(V8&lt;sector_base,V106,(((V81/V92)*V77)+((V65/V92)*V61)+((V49/V92)*V45)+((V33/V92)*V29)+((V17/V92)*V13))))</f>
        <v>#DIV/0!</v>
      </c>
      <c r="W96" s="441" t="e">
        <f t="shared" ca="1" si="862"/>
        <v>#DIV/0!</v>
      </c>
      <c r="X96" s="441" t="e">
        <f t="shared" ca="1" si="862"/>
        <v>#DIV/0!</v>
      </c>
      <c r="Y96" s="441" t="e">
        <f t="shared" ca="1" si="862"/>
        <v>#DIV/0!</v>
      </c>
      <c r="Z96" s="441" t="e">
        <f t="shared" ca="1" si="862"/>
        <v>#DIV/0!</v>
      </c>
      <c r="AA96" s="441" t="e">
        <f t="shared" ca="1" si="862"/>
        <v>#DIV/0!</v>
      </c>
      <c r="AB96" s="441" t="e">
        <f t="shared" ca="1" si="862"/>
        <v>#DIV/0!</v>
      </c>
      <c r="AC96" s="441" t="e">
        <f t="shared" ca="1" si="862"/>
        <v>#DIV/0!</v>
      </c>
      <c r="AD96" s="441" t="e">
        <f t="shared" ca="1" si="862"/>
        <v>#DIV/0!</v>
      </c>
      <c r="AE96" s="441" t="e">
        <f t="shared" ca="1" si="862"/>
        <v>#DIV/0!</v>
      </c>
      <c r="AF96" s="441" t="e">
        <f t="shared" ca="1" si="862"/>
        <v>#DIV/0!</v>
      </c>
      <c r="AG96" s="441" t="e">
        <f t="shared" ca="1" si="862"/>
        <v>#DIV/0!</v>
      </c>
      <c r="AH96" s="441" t="e">
        <f t="shared" ca="1" si="862"/>
        <v>#DIV/0!</v>
      </c>
      <c r="AI96" s="441" t="e">
        <f t="shared" ca="1" si="862"/>
        <v>#DIV/0!</v>
      </c>
      <c r="AJ96" s="441" t="e">
        <f t="shared" ca="1" si="862"/>
        <v>#DIV/0!</v>
      </c>
      <c r="AK96" s="441" t="e">
        <f t="shared" ref="AK96:BP96" ca="1" si="863">IF(AK8&lt;sector_base, NA(),IF(AK8&lt;sector_base,AK106,(((AK81/AK92)*AK77)+((AK65/AK92)*AK61)+((AK49/AK92)*AK45)+((AK33/AK92)*AK29)+((AK17/AK92)*AK13))))</f>
        <v>#DIV/0!</v>
      </c>
      <c r="AL96" s="441" t="e">
        <f t="shared" ca="1" si="863"/>
        <v>#DIV/0!</v>
      </c>
      <c r="AM96" s="441" t="e">
        <f t="shared" ca="1" si="863"/>
        <v>#DIV/0!</v>
      </c>
      <c r="AN96" s="441" t="e">
        <f t="shared" ca="1" si="863"/>
        <v>#DIV/0!</v>
      </c>
      <c r="AO96" s="441" t="e">
        <f t="shared" ca="1" si="863"/>
        <v>#DIV/0!</v>
      </c>
      <c r="AP96" s="441" t="e">
        <f t="shared" ca="1" si="863"/>
        <v>#DIV/0!</v>
      </c>
      <c r="AQ96" s="441" t="e">
        <f t="shared" ca="1" si="863"/>
        <v>#DIV/0!</v>
      </c>
      <c r="AR96" s="441" t="e">
        <f t="shared" ca="1" si="863"/>
        <v>#DIV/0!</v>
      </c>
      <c r="AS96" s="441" t="e">
        <f t="shared" ca="1" si="863"/>
        <v>#DIV/0!</v>
      </c>
      <c r="AT96" s="441" t="e">
        <f t="shared" ca="1" si="863"/>
        <v>#DIV/0!</v>
      </c>
      <c r="AU96" s="441" t="e">
        <f t="shared" ca="1" si="863"/>
        <v>#DIV/0!</v>
      </c>
      <c r="AV96" s="441" t="e">
        <f t="shared" ca="1" si="863"/>
        <v>#DIV/0!</v>
      </c>
      <c r="AW96" s="441" t="e">
        <f t="shared" ca="1" si="863"/>
        <v>#DIV/0!</v>
      </c>
      <c r="AX96" s="441" t="e">
        <f t="shared" ca="1" si="863"/>
        <v>#DIV/0!</v>
      </c>
      <c r="AY96" s="441" t="e">
        <f t="shared" ca="1" si="863"/>
        <v>#DIV/0!</v>
      </c>
      <c r="AZ96" s="441" t="e">
        <f t="shared" ca="1" si="863"/>
        <v>#DIV/0!</v>
      </c>
      <c r="BA96" s="441" t="e">
        <f t="shared" ca="1" si="863"/>
        <v>#DIV/0!</v>
      </c>
      <c r="BB96" s="441" t="e">
        <f t="shared" ca="1" si="863"/>
        <v>#DIV/0!</v>
      </c>
      <c r="BC96" s="441" t="e">
        <f t="shared" ca="1" si="863"/>
        <v>#DIV/0!</v>
      </c>
      <c r="BD96" s="441" t="e">
        <f t="shared" ca="1" si="863"/>
        <v>#DIV/0!</v>
      </c>
      <c r="BE96" s="441" t="e">
        <f t="shared" ca="1" si="863"/>
        <v>#DIV/0!</v>
      </c>
      <c r="BF96" s="441" t="e">
        <f t="shared" ca="1" si="863"/>
        <v>#DIV/0!</v>
      </c>
      <c r="BG96" s="441" t="e">
        <f t="shared" ca="1" si="863"/>
        <v>#DIV/0!</v>
      </c>
      <c r="BH96" s="441" t="e">
        <f t="shared" ca="1" si="863"/>
        <v>#DIV/0!</v>
      </c>
      <c r="BI96" s="441" t="e">
        <f t="shared" ca="1" si="863"/>
        <v>#DIV/0!</v>
      </c>
      <c r="BJ96" s="441" t="e">
        <f t="shared" ca="1" si="863"/>
        <v>#DIV/0!</v>
      </c>
      <c r="BK96" s="441" t="e">
        <f t="shared" ca="1" si="863"/>
        <v>#DIV/0!</v>
      </c>
      <c r="BL96" s="441" t="e">
        <f t="shared" ca="1" si="863"/>
        <v>#DIV/0!</v>
      </c>
      <c r="BM96" s="441" t="e">
        <f t="shared" ca="1" si="863"/>
        <v>#DIV/0!</v>
      </c>
      <c r="BN96" s="441" t="e">
        <f t="shared" ca="1" si="863"/>
        <v>#DIV/0!</v>
      </c>
      <c r="BO96" s="441" t="e">
        <f t="shared" ca="1" si="863"/>
        <v>#DIV/0!</v>
      </c>
      <c r="BP96" s="441" t="e">
        <f t="shared" ca="1" si="863"/>
        <v>#DIV/0!</v>
      </c>
      <c r="BQ96" s="441" t="e">
        <f t="shared" ref="BQ96:CL96" ca="1" si="864">IF(BQ8&lt;sector_base, NA(),IF(BQ8&lt;sector_base,BQ106,(((BQ81/BQ92)*BQ77)+((BQ65/BQ92)*BQ61)+((BQ49/BQ92)*BQ45)+((BQ33/BQ92)*BQ29)+((BQ17/BQ92)*BQ13))))</f>
        <v>#DIV/0!</v>
      </c>
      <c r="BR96" s="441" t="e">
        <f t="shared" ca="1" si="864"/>
        <v>#DIV/0!</v>
      </c>
      <c r="BS96" s="441" t="e">
        <f t="shared" ca="1" si="864"/>
        <v>#DIV/0!</v>
      </c>
      <c r="BT96" s="441" t="e">
        <f t="shared" ca="1" si="864"/>
        <v>#DIV/0!</v>
      </c>
      <c r="BU96" s="441" t="e">
        <f t="shared" ca="1" si="864"/>
        <v>#DIV/0!</v>
      </c>
      <c r="BV96" s="441" t="e">
        <f t="shared" ca="1" si="864"/>
        <v>#DIV/0!</v>
      </c>
      <c r="BW96" s="441" t="e">
        <f t="shared" ca="1" si="864"/>
        <v>#DIV/0!</v>
      </c>
      <c r="BX96" s="441" t="e">
        <f t="shared" ca="1" si="864"/>
        <v>#DIV/0!</v>
      </c>
      <c r="BY96" s="441" t="e">
        <f t="shared" ca="1" si="864"/>
        <v>#DIV/0!</v>
      </c>
      <c r="BZ96" s="441" t="e">
        <f t="shared" ca="1" si="864"/>
        <v>#DIV/0!</v>
      </c>
      <c r="CA96" s="441" t="e">
        <f t="shared" ca="1" si="864"/>
        <v>#DIV/0!</v>
      </c>
      <c r="CB96" s="441" t="e">
        <f t="shared" ca="1" si="864"/>
        <v>#DIV/0!</v>
      </c>
      <c r="CC96" s="441" t="e">
        <f t="shared" ca="1" si="864"/>
        <v>#DIV/0!</v>
      </c>
      <c r="CD96" s="441" t="e">
        <f t="shared" ca="1" si="864"/>
        <v>#DIV/0!</v>
      </c>
      <c r="CE96" s="441" t="e">
        <f t="shared" ca="1" si="864"/>
        <v>#DIV/0!</v>
      </c>
      <c r="CF96" s="441" t="e">
        <f t="shared" ca="1" si="864"/>
        <v>#DIV/0!</v>
      </c>
      <c r="CG96" s="441" t="e">
        <f t="shared" ca="1" si="864"/>
        <v>#DIV/0!</v>
      </c>
      <c r="CH96" s="441" t="e">
        <f t="shared" ca="1" si="864"/>
        <v>#DIV/0!</v>
      </c>
      <c r="CI96" s="441" t="e">
        <f t="shared" ca="1" si="864"/>
        <v>#DIV/0!</v>
      </c>
      <c r="CJ96" s="441" t="e">
        <f t="shared" ca="1" si="864"/>
        <v>#DIV/0!</v>
      </c>
      <c r="CK96" s="441" t="e">
        <f t="shared" ca="1" si="864"/>
        <v>#DIV/0!</v>
      </c>
      <c r="CL96" s="441" t="e">
        <f t="shared" ca="1" si="864"/>
        <v>#DIV/0!</v>
      </c>
      <c r="CN96" s="391" t="str">
        <f ca="1">IFERROR((Y96/H96)^(1/17)-1,"")</f>
        <v/>
      </c>
      <c r="CO96" s="391" t="str">
        <f ca="1">IFERROR((AN96/Y96)^(1/15)-1,"")</f>
        <v/>
      </c>
      <c r="CP96" s="391" t="str">
        <f ca="1">IFERROR((AN96/H96)^(1/32)-1,"")</f>
        <v/>
      </c>
    </row>
    <row r="97" spans="1:94" hidden="1" outlineLevel="1">
      <c r="A97" s="392" t="s">
        <v>414</v>
      </c>
      <c r="B97" s="392" t="s">
        <v>407</v>
      </c>
      <c r="C97" s="392"/>
      <c r="D97" s="392"/>
      <c r="E97" s="442">
        <f>DataInt!E21</f>
        <v>949.99347881860001</v>
      </c>
      <c r="F97" s="571">
        <f>DataInt!F21</f>
        <v>997.67848085540004</v>
      </c>
      <c r="G97" s="571">
        <f>DataInt!G21</f>
        <v>1045.3634828922</v>
      </c>
      <c r="H97" s="571">
        <f>DataInt!H21</f>
        <v>1093.0484849290001</v>
      </c>
      <c r="I97" s="571">
        <f>DataInt!I21</f>
        <v>1113.2430097929002</v>
      </c>
      <c r="J97" s="571">
        <f>DataInt!J21</f>
        <v>1108.8080640473377</v>
      </c>
      <c r="K97" s="571">
        <f>DataInt!K21</f>
        <v>1104.3731183017753</v>
      </c>
      <c r="L97" s="571">
        <f>DataInt!L21</f>
        <v>1099.938172556213</v>
      </c>
      <c r="M97" s="571">
        <f>DataInt!M21</f>
        <v>1095.5032268106504</v>
      </c>
      <c r="N97" s="571">
        <f>DataInt!N21</f>
        <v>1091.0682810650883</v>
      </c>
      <c r="O97" s="571">
        <f>DataInt!O21</f>
        <v>1086.6333353195259</v>
      </c>
      <c r="P97" s="571">
        <f>DataInt!P21</f>
        <v>1082.1983895739636</v>
      </c>
      <c r="Q97" s="571">
        <f>DataInt!Q21</f>
        <v>1077.7634438284013</v>
      </c>
      <c r="R97" s="571">
        <f>DataInt!R21</f>
        <v>1073.3284980828387</v>
      </c>
      <c r="S97" s="571">
        <f>DataInt!S21</f>
        <v>1068.8935523372761</v>
      </c>
      <c r="T97" s="571">
        <f>DataInt!T21</f>
        <v>1064.4586065917131</v>
      </c>
      <c r="U97" s="571">
        <f>DataInt!U21</f>
        <v>1053.2736495455192</v>
      </c>
      <c r="V97" s="571">
        <f>DataInt!V21</f>
        <v>1048.5939082540926</v>
      </c>
      <c r="W97" s="442" t="e">
        <f t="shared" ref="W97:AN97" ca="1" si="865">IF(W8&lt;sector_base,W106,(SUM(((W81/W92)*W75),((W65/W92)*W59),((W49/W92)*W43),((W33/W92)*W27),((W17/W92)*W11))))</f>
        <v>#DIV/0!</v>
      </c>
      <c r="X97" s="442" t="e">
        <f t="shared" ca="1" si="865"/>
        <v>#DIV/0!</v>
      </c>
      <c r="Y97" s="442" t="e">
        <f t="shared" ca="1" si="865"/>
        <v>#DIV/0!</v>
      </c>
      <c r="Z97" s="442" t="e">
        <f t="shared" ca="1" si="865"/>
        <v>#DIV/0!</v>
      </c>
      <c r="AA97" s="442" t="e">
        <f t="shared" ca="1" si="865"/>
        <v>#DIV/0!</v>
      </c>
      <c r="AB97" s="442" t="e">
        <f t="shared" ca="1" si="865"/>
        <v>#DIV/0!</v>
      </c>
      <c r="AC97" s="442" t="e">
        <f t="shared" ca="1" si="865"/>
        <v>#DIV/0!</v>
      </c>
      <c r="AD97" s="442" t="e">
        <f t="shared" ca="1" si="865"/>
        <v>#DIV/0!</v>
      </c>
      <c r="AE97" s="442" t="e">
        <f t="shared" ca="1" si="865"/>
        <v>#DIV/0!</v>
      </c>
      <c r="AF97" s="442" t="e">
        <f t="shared" ca="1" si="865"/>
        <v>#DIV/0!</v>
      </c>
      <c r="AG97" s="442" t="e">
        <f t="shared" ca="1" si="865"/>
        <v>#DIV/0!</v>
      </c>
      <c r="AH97" s="442" t="e">
        <f t="shared" ca="1" si="865"/>
        <v>#DIV/0!</v>
      </c>
      <c r="AI97" s="442" t="e">
        <f t="shared" ca="1" si="865"/>
        <v>#DIV/0!</v>
      </c>
      <c r="AJ97" s="442" t="e">
        <f t="shared" ca="1" si="865"/>
        <v>#DIV/0!</v>
      </c>
      <c r="AK97" s="442" t="e">
        <f t="shared" ca="1" si="865"/>
        <v>#DIV/0!</v>
      </c>
      <c r="AL97" s="442" t="e">
        <f t="shared" ca="1" si="865"/>
        <v>#DIV/0!</v>
      </c>
      <c r="AM97" s="442" t="e">
        <f t="shared" ca="1" si="865"/>
        <v>#DIV/0!</v>
      </c>
      <c r="AN97" s="442" t="e">
        <f t="shared" ca="1" si="865"/>
        <v>#DIV/0!</v>
      </c>
      <c r="AO97" s="442" t="e">
        <f t="shared" ref="AO97:BT97" ca="1" si="866">IF(AO8&lt;sector_base,AO106,(SUM(((AO81/AO92)*AO75),((AO65/AO92)*AO59),((AO49/AO92)*AO43),((AO33/AO92)*AO27),((AO17/AO92)*AO11))))</f>
        <v>#DIV/0!</v>
      </c>
      <c r="AP97" s="442" t="e">
        <f t="shared" ca="1" si="866"/>
        <v>#DIV/0!</v>
      </c>
      <c r="AQ97" s="442" t="e">
        <f t="shared" ca="1" si="866"/>
        <v>#DIV/0!</v>
      </c>
      <c r="AR97" s="442" t="e">
        <f t="shared" ca="1" si="866"/>
        <v>#DIV/0!</v>
      </c>
      <c r="AS97" s="442" t="e">
        <f t="shared" ca="1" si="866"/>
        <v>#DIV/0!</v>
      </c>
      <c r="AT97" s="442" t="e">
        <f t="shared" ca="1" si="866"/>
        <v>#DIV/0!</v>
      </c>
      <c r="AU97" s="442" t="e">
        <f t="shared" ca="1" si="866"/>
        <v>#DIV/0!</v>
      </c>
      <c r="AV97" s="442" t="e">
        <f t="shared" ca="1" si="866"/>
        <v>#DIV/0!</v>
      </c>
      <c r="AW97" s="442" t="e">
        <f t="shared" ca="1" si="866"/>
        <v>#DIV/0!</v>
      </c>
      <c r="AX97" s="442" t="e">
        <f t="shared" ca="1" si="866"/>
        <v>#DIV/0!</v>
      </c>
      <c r="AY97" s="442" t="e">
        <f t="shared" ca="1" si="866"/>
        <v>#DIV/0!</v>
      </c>
      <c r="AZ97" s="442" t="e">
        <f t="shared" ca="1" si="866"/>
        <v>#DIV/0!</v>
      </c>
      <c r="BA97" s="442" t="e">
        <f t="shared" ca="1" si="866"/>
        <v>#DIV/0!</v>
      </c>
      <c r="BB97" s="442" t="e">
        <f t="shared" ca="1" si="866"/>
        <v>#DIV/0!</v>
      </c>
      <c r="BC97" s="442" t="e">
        <f t="shared" ca="1" si="866"/>
        <v>#DIV/0!</v>
      </c>
      <c r="BD97" s="442" t="e">
        <f t="shared" ca="1" si="866"/>
        <v>#DIV/0!</v>
      </c>
      <c r="BE97" s="442" t="e">
        <f t="shared" ca="1" si="866"/>
        <v>#DIV/0!</v>
      </c>
      <c r="BF97" s="442" t="e">
        <f t="shared" ca="1" si="866"/>
        <v>#DIV/0!</v>
      </c>
      <c r="BG97" s="442" t="e">
        <f t="shared" ca="1" si="866"/>
        <v>#DIV/0!</v>
      </c>
      <c r="BH97" s="442" t="e">
        <f t="shared" ca="1" si="866"/>
        <v>#DIV/0!</v>
      </c>
      <c r="BI97" s="442" t="e">
        <f t="shared" ca="1" si="866"/>
        <v>#DIV/0!</v>
      </c>
      <c r="BJ97" s="442" t="e">
        <f t="shared" ca="1" si="866"/>
        <v>#DIV/0!</v>
      </c>
      <c r="BK97" s="442" t="e">
        <f t="shared" ca="1" si="866"/>
        <v>#DIV/0!</v>
      </c>
      <c r="BL97" s="442" t="e">
        <f t="shared" ca="1" si="866"/>
        <v>#DIV/0!</v>
      </c>
      <c r="BM97" s="442" t="e">
        <f t="shared" ca="1" si="866"/>
        <v>#DIV/0!</v>
      </c>
      <c r="BN97" s="442" t="e">
        <f t="shared" ca="1" si="866"/>
        <v>#DIV/0!</v>
      </c>
      <c r="BO97" s="442" t="e">
        <f t="shared" ca="1" si="866"/>
        <v>#DIV/0!</v>
      </c>
      <c r="BP97" s="442" t="e">
        <f t="shared" ca="1" si="866"/>
        <v>#DIV/0!</v>
      </c>
      <c r="BQ97" s="442" t="e">
        <f t="shared" ca="1" si="866"/>
        <v>#DIV/0!</v>
      </c>
      <c r="BR97" s="442" t="e">
        <f t="shared" ca="1" si="866"/>
        <v>#DIV/0!</v>
      </c>
      <c r="BS97" s="442" t="e">
        <f t="shared" ca="1" si="866"/>
        <v>#DIV/0!</v>
      </c>
      <c r="BT97" s="442" t="e">
        <f t="shared" ca="1" si="866"/>
        <v>#DIV/0!</v>
      </c>
      <c r="BU97" s="442" t="e">
        <f t="shared" ref="BU97:CL97" ca="1" si="867">IF(BU8&lt;sector_base,BU106,(SUM(((BU81/BU92)*BU75),((BU65/BU92)*BU59),((BU49/BU92)*BU43),((BU33/BU92)*BU27),((BU17/BU92)*BU11))))</f>
        <v>#DIV/0!</v>
      </c>
      <c r="BV97" s="442" t="e">
        <f t="shared" ca="1" si="867"/>
        <v>#DIV/0!</v>
      </c>
      <c r="BW97" s="442" t="e">
        <f t="shared" ca="1" si="867"/>
        <v>#DIV/0!</v>
      </c>
      <c r="BX97" s="442" t="e">
        <f t="shared" ca="1" si="867"/>
        <v>#DIV/0!</v>
      </c>
      <c r="BY97" s="442" t="e">
        <f t="shared" ca="1" si="867"/>
        <v>#DIV/0!</v>
      </c>
      <c r="BZ97" s="442" t="e">
        <f t="shared" ca="1" si="867"/>
        <v>#DIV/0!</v>
      </c>
      <c r="CA97" s="442" t="e">
        <f t="shared" ca="1" si="867"/>
        <v>#DIV/0!</v>
      </c>
      <c r="CB97" s="442" t="e">
        <f t="shared" ca="1" si="867"/>
        <v>#DIV/0!</v>
      </c>
      <c r="CC97" s="442" t="e">
        <f t="shared" ca="1" si="867"/>
        <v>#DIV/0!</v>
      </c>
      <c r="CD97" s="442" t="e">
        <f t="shared" ca="1" si="867"/>
        <v>#DIV/0!</v>
      </c>
      <c r="CE97" s="442" t="e">
        <f t="shared" ca="1" si="867"/>
        <v>#DIV/0!</v>
      </c>
      <c r="CF97" s="442" t="e">
        <f t="shared" ca="1" si="867"/>
        <v>#DIV/0!</v>
      </c>
      <c r="CG97" s="442" t="e">
        <f t="shared" ca="1" si="867"/>
        <v>#DIV/0!</v>
      </c>
      <c r="CH97" s="442" t="e">
        <f t="shared" ca="1" si="867"/>
        <v>#DIV/0!</v>
      </c>
      <c r="CI97" s="442" t="e">
        <f t="shared" ca="1" si="867"/>
        <v>#DIV/0!</v>
      </c>
      <c r="CJ97" s="442" t="e">
        <f t="shared" ca="1" si="867"/>
        <v>#DIV/0!</v>
      </c>
      <c r="CK97" s="442" t="e">
        <f t="shared" ca="1" si="867"/>
        <v>#DIV/0!</v>
      </c>
      <c r="CL97" s="442" t="e">
        <f t="shared" ca="1" si="867"/>
        <v>#DIV/0!</v>
      </c>
      <c r="CN97" s="443" t="str">
        <f ca="1">IFERROR((Y97/H97)^(1/17)-1,"")</f>
        <v/>
      </c>
      <c r="CO97" s="443" t="str">
        <f ca="1">IFERROR((AN97/Y97)^(1/15)-1,"")</f>
        <v/>
      </c>
      <c r="CP97" s="443" t="str">
        <f ca="1">IFERROR((AN97/H97)^(1/32)-1,"")</f>
        <v/>
      </c>
    </row>
    <row r="98" spans="1:94" ht="16.5" hidden="1" outlineLevel="1" thickBot="1">
      <c r="A98" s="444" t="s">
        <v>414</v>
      </c>
      <c r="B98" s="444" t="s">
        <v>413</v>
      </c>
      <c r="C98" s="444"/>
      <c r="D98" s="444"/>
      <c r="E98" s="445" t="e">
        <f t="shared" ref="E98:AJ98" ca="1" si="868">IF(E8&lt;sector_base,E105*(F98/F105),(SUM(((E81/E92)*E76),((E65/E92)*E60),((E49/E92)*E44),((E33/E92)*E28),((E17/E92)*E12))))</f>
        <v>#DIV/0!</v>
      </c>
      <c r="F98" s="445" t="e">
        <f t="shared" ca="1" si="868"/>
        <v>#DIV/0!</v>
      </c>
      <c r="G98" s="445" t="e">
        <f t="shared" ca="1" si="868"/>
        <v>#DIV/0!</v>
      </c>
      <c r="H98" s="445" t="e">
        <f t="shared" ca="1" si="868"/>
        <v>#DIV/0!</v>
      </c>
      <c r="I98" s="445" t="e">
        <f t="shared" ca="1" si="868"/>
        <v>#DIV/0!</v>
      </c>
      <c r="J98" s="445" t="e">
        <f t="shared" ca="1" si="868"/>
        <v>#DIV/0!</v>
      </c>
      <c r="K98" s="445" t="e">
        <f t="shared" ca="1" si="868"/>
        <v>#DIV/0!</v>
      </c>
      <c r="L98" s="445" t="e">
        <f t="shared" ca="1" si="868"/>
        <v>#DIV/0!</v>
      </c>
      <c r="M98" s="445" t="e">
        <f t="shared" ca="1" si="868"/>
        <v>#DIV/0!</v>
      </c>
      <c r="N98" s="445" t="e">
        <f t="shared" ca="1" si="868"/>
        <v>#DIV/0!</v>
      </c>
      <c r="O98" s="445" t="e">
        <f t="shared" ca="1" si="868"/>
        <v>#DIV/0!</v>
      </c>
      <c r="P98" s="445" t="e">
        <f t="shared" ca="1" si="868"/>
        <v>#DIV/0!</v>
      </c>
      <c r="Q98" s="445" t="e">
        <f t="shared" ca="1" si="868"/>
        <v>#DIV/0!</v>
      </c>
      <c r="R98" s="445" t="e">
        <f t="shared" ca="1" si="868"/>
        <v>#DIV/0!</v>
      </c>
      <c r="S98" s="445" t="e">
        <f t="shared" ca="1" si="868"/>
        <v>#DIV/0!</v>
      </c>
      <c r="T98" s="445" t="e">
        <f t="shared" ca="1" si="868"/>
        <v>#DIV/0!</v>
      </c>
      <c r="U98" s="445" t="e">
        <f t="shared" ca="1" si="868"/>
        <v>#DIV/0!</v>
      </c>
      <c r="V98" s="445" t="e">
        <f t="shared" ca="1" si="868"/>
        <v>#DIV/0!</v>
      </c>
      <c r="W98" s="445" t="e">
        <f t="shared" ca="1" si="868"/>
        <v>#DIV/0!</v>
      </c>
      <c r="X98" s="445" t="e">
        <f t="shared" ca="1" si="868"/>
        <v>#DIV/0!</v>
      </c>
      <c r="Y98" s="445" t="e">
        <f t="shared" ca="1" si="868"/>
        <v>#DIV/0!</v>
      </c>
      <c r="Z98" s="445" t="e">
        <f t="shared" ca="1" si="868"/>
        <v>#DIV/0!</v>
      </c>
      <c r="AA98" s="445" t="e">
        <f t="shared" ca="1" si="868"/>
        <v>#DIV/0!</v>
      </c>
      <c r="AB98" s="445" t="e">
        <f t="shared" ca="1" si="868"/>
        <v>#DIV/0!</v>
      </c>
      <c r="AC98" s="445" t="e">
        <f t="shared" ca="1" si="868"/>
        <v>#DIV/0!</v>
      </c>
      <c r="AD98" s="445" t="e">
        <f t="shared" ca="1" si="868"/>
        <v>#DIV/0!</v>
      </c>
      <c r="AE98" s="445" t="e">
        <f t="shared" ca="1" si="868"/>
        <v>#DIV/0!</v>
      </c>
      <c r="AF98" s="445" t="e">
        <f t="shared" ca="1" si="868"/>
        <v>#DIV/0!</v>
      </c>
      <c r="AG98" s="445" t="e">
        <f t="shared" ca="1" si="868"/>
        <v>#DIV/0!</v>
      </c>
      <c r="AH98" s="445" t="e">
        <f t="shared" ca="1" si="868"/>
        <v>#DIV/0!</v>
      </c>
      <c r="AI98" s="445" t="e">
        <f t="shared" ca="1" si="868"/>
        <v>#DIV/0!</v>
      </c>
      <c r="AJ98" s="445" t="e">
        <f t="shared" ca="1" si="868"/>
        <v>#DIV/0!</v>
      </c>
      <c r="AK98" s="445" t="e">
        <f t="shared" ref="AK98:BP98" ca="1" si="869">IF(AK8&lt;sector_base,AK105*(AL98/AL105),(SUM(((AK81/AK92)*AK76),((AK65/AK92)*AK60),((AK49/AK92)*AK44),((AK33/AK92)*AK28),((AK17/AK92)*AK12))))</f>
        <v>#DIV/0!</v>
      </c>
      <c r="AL98" s="445" t="e">
        <f t="shared" ca="1" si="869"/>
        <v>#DIV/0!</v>
      </c>
      <c r="AM98" s="445" t="e">
        <f t="shared" ca="1" si="869"/>
        <v>#DIV/0!</v>
      </c>
      <c r="AN98" s="445" t="e">
        <f t="shared" ca="1" si="869"/>
        <v>#DIV/0!</v>
      </c>
      <c r="AO98" s="445" t="e">
        <f t="shared" ca="1" si="869"/>
        <v>#DIV/0!</v>
      </c>
      <c r="AP98" s="445" t="e">
        <f t="shared" ca="1" si="869"/>
        <v>#DIV/0!</v>
      </c>
      <c r="AQ98" s="445" t="e">
        <f t="shared" ca="1" si="869"/>
        <v>#DIV/0!</v>
      </c>
      <c r="AR98" s="445" t="e">
        <f t="shared" ca="1" si="869"/>
        <v>#DIV/0!</v>
      </c>
      <c r="AS98" s="445" t="e">
        <f t="shared" ca="1" si="869"/>
        <v>#DIV/0!</v>
      </c>
      <c r="AT98" s="445" t="e">
        <f t="shared" ca="1" si="869"/>
        <v>#DIV/0!</v>
      </c>
      <c r="AU98" s="445" t="e">
        <f t="shared" ca="1" si="869"/>
        <v>#DIV/0!</v>
      </c>
      <c r="AV98" s="445" t="e">
        <f t="shared" ca="1" si="869"/>
        <v>#DIV/0!</v>
      </c>
      <c r="AW98" s="445" t="e">
        <f t="shared" ca="1" si="869"/>
        <v>#DIV/0!</v>
      </c>
      <c r="AX98" s="445" t="e">
        <f t="shared" ca="1" si="869"/>
        <v>#DIV/0!</v>
      </c>
      <c r="AY98" s="445" t="e">
        <f t="shared" ca="1" si="869"/>
        <v>#DIV/0!</v>
      </c>
      <c r="AZ98" s="445" t="e">
        <f t="shared" ca="1" si="869"/>
        <v>#DIV/0!</v>
      </c>
      <c r="BA98" s="445" t="e">
        <f t="shared" ca="1" si="869"/>
        <v>#DIV/0!</v>
      </c>
      <c r="BB98" s="445" t="e">
        <f t="shared" ca="1" si="869"/>
        <v>#DIV/0!</v>
      </c>
      <c r="BC98" s="445" t="e">
        <f t="shared" ca="1" si="869"/>
        <v>#DIV/0!</v>
      </c>
      <c r="BD98" s="445" t="e">
        <f t="shared" ca="1" si="869"/>
        <v>#DIV/0!</v>
      </c>
      <c r="BE98" s="445" t="e">
        <f t="shared" ca="1" si="869"/>
        <v>#DIV/0!</v>
      </c>
      <c r="BF98" s="445" t="e">
        <f t="shared" ca="1" si="869"/>
        <v>#DIV/0!</v>
      </c>
      <c r="BG98" s="445" t="e">
        <f t="shared" ca="1" si="869"/>
        <v>#DIV/0!</v>
      </c>
      <c r="BH98" s="445" t="e">
        <f t="shared" ca="1" si="869"/>
        <v>#DIV/0!</v>
      </c>
      <c r="BI98" s="445" t="e">
        <f t="shared" ca="1" si="869"/>
        <v>#DIV/0!</v>
      </c>
      <c r="BJ98" s="445" t="e">
        <f t="shared" ca="1" si="869"/>
        <v>#DIV/0!</v>
      </c>
      <c r="BK98" s="445" t="e">
        <f t="shared" ca="1" si="869"/>
        <v>#DIV/0!</v>
      </c>
      <c r="BL98" s="445" t="e">
        <f t="shared" ca="1" si="869"/>
        <v>#DIV/0!</v>
      </c>
      <c r="BM98" s="445" t="e">
        <f t="shared" ca="1" si="869"/>
        <v>#DIV/0!</v>
      </c>
      <c r="BN98" s="445" t="e">
        <f t="shared" ca="1" si="869"/>
        <v>#DIV/0!</v>
      </c>
      <c r="BO98" s="445" t="e">
        <f t="shared" ca="1" si="869"/>
        <v>#DIV/0!</v>
      </c>
      <c r="BP98" s="445" t="e">
        <f t="shared" ca="1" si="869"/>
        <v>#DIV/0!</v>
      </c>
      <c r="BQ98" s="445" t="e">
        <f t="shared" ref="BQ98:CL98" ca="1" si="870">IF(BQ8&lt;sector_base,BQ105*(BR98/BR105),(SUM(((BQ81/BQ92)*BQ76),((BQ65/BQ92)*BQ60),((BQ49/BQ92)*BQ44),((BQ33/BQ92)*BQ28),((BQ17/BQ92)*BQ12))))</f>
        <v>#DIV/0!</v>
      </c>
      <c r="BR98" s="445" t="e">
        <f t="shared" ca="1" si="870"/>
        <v>#DIV/0!</v>
      </c>
      <c r="BS98" s="445" t="e">
        <f t="shared" ca="1" si="870"/>
        <v>#DIV/0!</v>
      </c>
      <c r="BT98" s="445" t="e">
        <f t="shared" ca="1" si="870"/>
        <v>#DIV/0!</v>
      </c>
      <c r="BU98" s="445" t="e">
        <f t="shared" ca="1" si="870"/>
        <v>#DIV/0!</v>
      </c>
      <c r="BV98" s="445" t="e">
        <f t="shared" ca="1" si="870"/>
        <v>#DIV/0!</v>
      </c>
      <c r="BW98" s="445" t="e">
        <f t="shared" ca="1" si="870"/>
        <v>#DIV/0!</v>
      </c>
      <c r="BX98" s="445" t="e">
        <f t="shared" ca="1" si="870"/>
        <v>#DIV/0!</v>
      </c>
      <c r="BY98" s="445" t="e">
        <f t="shared" ca="1" si="870"/>
        <v>#DIV/0!</v>
      </c>
      <c r="BZ98" s="445" t="e">
        <f t="shared" ca="1" si="870"/>
        <v>#DIV/0!</v>
      </c>
      <c r="CA98" s="445" t="e">
        <f t="shared" ca="1" si="870"/>
        <v>#DIV/0!</v>
      </c>
      <c r="CB98" s="445" t="e">
        <f t="shared" ca="1" si="870"/>
        <v>#DIV/0!</v>
      </c>
      <c r="CC98" s="445" t="e">
        <f t="shared" ca="1" si="870"/>
        <v>#DIV/0!</v>
      </c>
      <c r="CD98" s="445" t="e">
        <f t="shared" ca="1" si="870"/>
        <v>#DIV/0!</v>
      </c>
      <c r="CE98" s="445" t="e">
        <f t="shared" ca="1" si="870"/>
        <v>#DIV/0!</v>
      </c>
      <c r="CF98" s="445" t="e">
        <f t="shared" ca="1" si="870"/>
        <v>#DIV/0!</v>
      </c>
      <c r="CG98" s="445" t="e">
        <f t="shared" ca="1" si="870"/>
        <v>#DIV/0!</v>
      </c>
      <c r="CH98" s="445" t="e">
        <f t="shared" ca="1" si="870"/>
        <v>#DIV/0!</v>
      </c>
      <c r="CI98" s="445" t="e">
        <f t="shared" ca="1" si="870"/>
        <v>#DIV/0!</v>
      </c>
      <c r="CJ98" s="445" t="e">
        <f t="shared" ca="1" si="870"/>
        <v>#DIV/0!</v>
      </c>
      <c r="CK98" s="445" t="e">
        <f t="shared" ca="1" si="870"/>
        <v>#DIV/0!</v>
      </c>
      <c r="CL98" s="445" t="e">
        <f t="shared" ca="1" si="870"/>
        <v>#DIV/0!</v>
      </c>
      <c r="CN98" s="434" t="str">
        <f ca="1">IFERROR((Y98/H98)^(1/17)-1,"")</f>
        <v/>
      </c>
      <c r="CO98" s="434" t="str">
        <f ca="1">IFERROR((AN98/Y98)^(1/15)-1,"")</f>
        <v/>
      </c>
      <c r="CP98" s="434" t="str">
        <f ca="1">IFERROR((AN98/H98)^(1/32)-1,"")</f>
        <v/>
      </c>
    </row>
    <row r="99" spans="1:94" ht="16.5" hidden="1" outlineLevel="1" thickTop="1">
      <c r="A99" s="389" t="s">
        <v>255</v>
      </c>
      <c r="B99" s="389" t="s">
        <v>379</v>
      </c>
      <c r="C99" s="389"/>
      <c r="D99" s="389"/>
      <c r="E99" s="446" t="e">
        <f t="shared" ref="E99:AJ99" si="871">IF($B$6="ON",IF(E90=covid_start-1,E93,IF(E90=covid_recovery,E93,IF(E90&gt;=covid_start,IF(E90&lt;covid_recovery,D99-(INDEX($E$90:$CL$93,4,MATCH(covid_start-1,$E$90:$CL$90,0))-INDEX($E$90:$CL$93,4,MATCH(covid_recovery,$E$90:$CL$90,0)))/(covid_recovery-covid_start+1),NA()),NA()))),NA())</f>
        <v>#N/A</v>
      </c>
      <c r="F99" s="446" t="e">
        <f t="shared" si="871"/>
        <v>#N/A</v>
      </c>
      <c r="G99" s="446" t="e">
        <f t="shared" si="871"/>
        <v>#N/A</v>
      </c>
      <c r="H99" s="446" t="e">
        <f t="shared" si="871"/>
        <v>#N/A</v>
      </c>
      <c r="I99" s="446" t="e">
        <f ca="1">IF($B$6="ON",IF(I90=covid_start-1,I93,IF(I90=covid_recovery,I93,IF(I90&gt;=covid_start,IF(I90&lt;covid_recovery,H99-(INDEX($E$90:$CL$93,4,MATCH(covid_start-1,$E$90:$CL$90,0))-INDEX($E$90:$CL$93,4,MATCH(covid_recovery,$E$90:$CL$90,0)))/(covid_recovery-covid_start+1),NA()),NA()))),NA())</f>
        <v>#DIV/0!</v>
      </c>
      <c r="J99" s="446" t="e">
        <f t="shared" ca="1" si="871"/>
        <v>#DIV/0!</v>
      </c>
      <c r="K99" s="446" t="e">
        <f t="shared" ca="1" si="871"/>
        <v>#DIV/0!</v>
      </c>
      <c r="L99" s="446" t="e">
        <f t="shared" ca="1" si="871"/>
        <v>#DIV/0!</v>
      </c>
      <c r="M99" s="446" t="e">
        <f t="shared" ca="1" si="871"/>
        <v>#DIV/0!</v>
      </c>
      <c r="N99" s="446" t="e">
        <f t="shared" si="871"/>
        <v>#N/A</v>
      </c>
      <c r="O99" s="446" t="e">
        <f t="shared" si="871"/>
        <v>#N/A</v>
      </c>
      <c r="P99" s="446" t="e">
        <f t="shared" si="871"/>
        <v>#N/A</v>
      </c>
      <c r="Q99" s="446" t="e">
        <f t="shared" si="871"/>
        <v>#N/A</v>
      </c>
      <c r="R99" s="446" t="e">
        <f t="shared" si="871"/>
        <v>#N/A</v>
      </c>
      <c r="S99" s="446" t="e">
        <f t="shared" si="871"/>
        <v>#N/A</v>
      </c>
      <c r="T99" s="446" t="e">
        <f t="shared" si="871"/>
        <v>#N/A</v>
      </c>
      <c r="U99" s="446" t="e">
        <f t="shared" si="871"/>
        <v>#N/A</v>
      </c>
      <c r="V99" s="446" t="e">
        <f t="shared" si="871"/>
        <v>#N/A</v>
      </c>
      <c r="W99" s="446" t="e">
        <f t="shared" si="871"/>
        <v>#N/A</v>
      </c>
      <c r="X99" s="446" t="e">
        <f t="shared" si="871"/>
        <v>#N/A</v>
      </c>
      <c r="Y99" s="446" t="e">
        <f t="shared" si="871"/>
        <v>#N/A</v>
      </c>
      <c r="Z99" s="446" t="e">
        <f t="shared" si="871"/>
        <v>#N/A</v>
      </c>
      <c r="AA99" s="446" t="e">
        <f t="shared" si="871"/>
        <v>#N/A</v>
      </c>
      <c r="AB99" s="446" t="e">
        <f t="shared" si="871"/>
        <v>#N/A</v>
      </c>
      <c r="AC99" s="446" t="e">
        <f t="shared" si="871"/>
        <v>#N/A</v>
      </c>
      <c r="AD99" s="446" t="e">
        <f t="shared" si="871"/>
        <v>#N/A</v>
      </c>
      <c r="AE99" s="446" t="e">
        <f t="shared" si="871"/>
        <v>#N/A</v>
      </c>
      <c r="AF99" s="446" t="e">
        <f t="shared" si="871"/>
        <v>#N/A</v>
      </c>
      <c r="AG99" s="446" t="e">
        <f t="shared" si="871"/>
        <v>#N/A</v>
      </c>
      <c r="AH99" s="446" t="e">
        <f t="shared" si="871"/>
        <v>#N/A</v>
      </c>
      <c r="AI99" s="446" t="e">
        <f t="shared" si="871"/>
        <v>#N/A</v>
      </c>
      <c r="AJ99" s="446" t="e">
        <f t="shared" si="871"/>
        <v>#N/A</v>
      </c>
      <c r="AK99" s="446" t="e">
        <f t="shared" ref="AK99:BP99" si="872">IF($B$6="ON",IF(AK90=covid_start-1,AK93,IF(AK90=covid_recovery,AK93,IF(AK90&gt;=covid_start,IF(AK90&lt;covid_recovery,AJ99-(INDEX($E$90:$CL$93,4,MATCH(covid_start-1,$E$90:$CL$90,0))-INDEX($E$90:$CL$93,4,MATCH(covid_recovery,$E$90:$CL$90,0)))/(covid_recovery-covid_start+1),NA()),NA()))),NA())</f>
        <v>#N/A</v>
      </c>
      <c r="AL99" s="446" t="e">
        <f t="shared" si="872"/>
        <v>#N/A</v>
      </c>
      <c r="AM99" s="446" t="e">
        <f t="shared" si="872"/>
        <v>#N/A</v>
      </c>
      <c r="AN99" s="446" t="e">
        <f t="shared" si="872"/>
        <v>#N/A</v>
      </c>
      <c r="AO99" s="446" t="e">
        <f t="shared" si="872"/>
        <v>#N/A</v>
      </c>
      <c r="AP99" s="446" t="e">
        <f t="shared" si="872"/>
        <v>#N/A</v>
      </c>
      <c r="AQ99" s="446" t="e">
        <f t="shared" si="872"/>
        <v>#N/A</v>
      </c>
      <c r="AR99" s="446" t="e">
        <f t="shared" si="872"/>
        <v>#N/A</v>
      </c>
      <c r="AS99" s="446" t="e">
        <f t="shared" si="872"/>
        <v>#N/A</v>
      </c>
      <c r="AT99" s="446" t="e">
        <f t="shared" si="872"/>
        <v>#N/A</v>
      </c>
      <c r="AU99" s="446" t="e">
        <f t="shared" si="872"/>
        <v>#N/A</v>
      </c>
      <c r="AV99" s="446" t="e">
        <f t="shared" si="872"/>
        <v>#N/A</v>
      </c>
      <c r="AW99" s="446" t="e">
        <f t="shared" si="872"/>
        <v>#N/A</v>
      </c>
      <c r="AX99" s="446" t="e">
        <f t="shared" si="872"/>
        <v>#N/A</v>
      </c>
      <c r="AY99" s="446" t="e">
        <f t="shared" si="872"/>
        <v>#N/A</v>
      </c>
      <c r="AZ99" s="446" t="e">
        <f t="shared" si="872"/>
        <v>#N/A</v>
      </c>
      <c r="BA99" s="446" t="e">
        <f t="shared" si="872"/>
        <v>#N/A</v>
      </c>
      <c r="BB99" s="446" t="e">
        <f t="shared" si="872"/>
        <v>#N/A</v>
      </c>
      <c r="BC99" s="446" t="e">
        <f t="shared" si="872"/>
        <v>#N/A</v>
      </c>
      <c r="BD99" s="446" t="e">
        <f t="shared" si="872"/>
        <v>#N/A</v>
      </c>
      <c r="BE99" s="446" t="e">
        <f t="shared" si="872"/>
        <v>#N/A</v>
      </c>
      <c r="BF99" s="446" t="e">
        <f t="shared" si="872"/>
        <v>#N/A</v>
      </c>
      <c r="BG99" s="446" t="e">
        <f t="shared" si="872"/>
        <v>#N/A</v>
      </c>
      <c r="BH99" s="446" t="e">
        <f t="shared" si="872"/>
        <v>#N/A</v>
      </c>
      <c r="BI99" s="446" t="e">
        <f t="shared" si="872"/>
        <v>#N/A</v>
      </c>
      <c r="BJ99" s="446" t="e">
        <f t="shared" si="872"/>
        <v>#N/A</v>
      </c>
      <c r="BK99" s="446" t="e">
        <f t="shared" si="872"/>
        <v>#N/A</v>
      </c>
      <c r="BL99" s="446" t="e">
        <f t="shared" si="872"/>
        <v>#N/A</v>
      </c>
      <c r="BM99" s="446" t="e">
        <f t="shared" si="872"/>
        <v>#N/A</v>
      </c>
      <c r="BN99" s="446" t="e">
        <f t="shared" si="872"/>
        <v>#N/A</v>
      </c>
      <c r="BO99" s="446" t="e">
        <f t="shared" si="872"/>
        <v>#N/A</v>
      </c>
      <c r="BP99" s="446" t="e">
        <f t="shared" si="872"/>
        <v>#N/A</v>
      </c>
      <c r="BQ99" s="446" t="e">
        <f t="shared" ref="BQ99:CL99" si="873">IF($B$6="ON",IF(BQ90=covid_start-1,BQ93,IF(BQ90=covid_recovery,BQ93,IF(BQ90&gt;=covid_start,IF(BQ90&lt;covid_recovery,BP99-(INDEX($E$90:$CL$93,4,MATCH(covid_start-1,$E$90:$CL$90,0))-INDEX($E$90:$CL$93,4,MATCH(covid_recovery,$E$90:$CL$90,0)))/(covid_recovery-covid_start+1),NA()),NA()))),NA())</f>
        <v>#N/A</v>
      </c>
      <c r="BR99" s="446" t="e">
        <f t="shared" si="873"/>
        <v>#N/A</v>
      </c>
      <c r="BS99" s="446" t="e">
        <f t="shared" si="873"/>
        <v>#N/A</v>
      </c>
      <c r="BT99" s="446" t="e">
        <f t="shared" si="873"/>
        <v>#N/A</v>
      </c>
      <c r="BU99" s="446" t="e">
        <f t="shared" si="873"/>
        <v>#N/A</v>
      </c>
      <c r="BV99" s="446" t="e">
        <f t="shared" si="873"/>
        <v>#N/A</v>
      </c>
      <c r="BW99" s="446" t="e">
        <f t="shared" si="873"/>
        <v>#N/A</v>
      </c>
      <c r="BX99" s="446" t="e">
        <f t="shared" si="873"/>
        <v>#N/A</v>
      </c>
      <c r="BY99" s="446" t="e">
        <f t="shared" si="873"/>
        <v>#N/A</v>
      </c>
      <c r="BZ99" s="446" t="e">
        <f t="shared" si="873"/>
        <v>#N/A</v>
      </c>
      <c r="CA99" s="446" t="e">
        <f t="shared" si="873"/>
        <v>#N/A</v>
      </c>
      <c r="CB99" s="446" t="e">
        <f t="shared" si="873"/>
        <v>#N/A</v>
      </c>
      <c r="CC99" s="446" t="e">
        <f t="shared" si="873"/>
        <v>#N/A</v>
      </c>
      <c r="CD99" s="446" t="e">
        <f t="shared" si="873"/>
        <v>#N/A</v>
      </c>
      <c r="CE99" s="446" t="e">
        <f t="shared" si="873"/>
        <v>#N/A</v>
      </c>
      <c r="CF99" s="446" t="e">
        <f t="shared" si="873"/>
        <v>#N/A</v>
      </c>
      <c r="CG99" s="446" t="e">
        <f t="shared" si="873"/>
        <v>#N/A</v>
      </c>
      <c r="CH99" s="446" t="e">
        <f t="shared" si="873"/>
        <v>#N/A</v>
      </c>
      <c r="CI99" s="446" t="e">
        <f t="shared" si="873"/>
        <v>#N/A</v>
      </c>
      <c r="CJ99" s="446" t="e">
        <f t="shared" si="873"/>
        <v>#N/A</v>
      </c>
      <c r="CK99" s="446" t="e">
        <f t="shared" si="873"/>
        <v>#N/A</v>
      </c>
      <c r="CL99" s="446" t="e">
        <f t="shared" si="873"/>
        <v>#N/A</v>
      </c>
      <c r="CN99" s="391" t="str">
        <f t="shared" ref="CN99:CN102" si="874">IFERROR((Y99/H99)^(1/17)-1,"")</f>
        <v/>
      </c>
      <c r="CO99" s="391" t="str">
        <f t="shared" ref="CO99:CO102" si="875">IFERROR((AN99/Y99)^(1/15)-1,"")</f>
        <v/>
      </c>
      <c r="CP99" s="391" t="str">
        <f t="shared" ref="CP99:CP102" si="876">IFERROR((AN99/H99)^(1/32)-1,"")</f>
        <v/>
      </c>
    </row>
    <row r="100" spans="1:94" hidden="1" outlineLevel="1">
      <c r="A100" s="392" t="s">
        <v>255</v>
      </c>
      <c r="B100" s="392" t="s">
        <v>381</v>
      </c>
      <c r="C100" s="392"/>
      <c r="D100" s="392"/>
      <c r="E100" s="446" t="e">
        <f t="shared" ref="E100:AJ100" si="877">IF($B$6="ON",IF(E90=covid_start-1,E91,IF(E90=covid_recovery,E91,IF(E90&gt;=covid_start,IF(E90&lt;covid_recovery,D100-(INDEX($E$90:$CL$96,2,MATCH(covid_start-1,$E$90:$CL$90,0))-INDEX($E$90:$CL$96,2,MATCH(covid_recovery,$E$90:$CL$90,0)))/(covid_recovery-covid_start+1),NA()),NA()))),NA())</f>
        <v>#N/A</v>
      </c>
      <c r="F100" s="446" t="e">
        <f t="shared" si="877"/>
        <v>#N/A</v>
      </c>
      <c r="G100" s="446" t="e">
        <f t="shared" si="877"/>
        <v>#N/A</v>
      </c>
      <c r="H100" s="446" t="e">
        <f t="shared" si="877"/>
        <v>#N/A</v>
      </c>
      <c r="I100" s="446">
        <f t="shared" ca="1" si="877"/>
        <v>0</v>
      </c>
      <c r="J100" s="446">
        <f t="shared" ca="1" si="877"/>
        <v>0</v>
      </c>
      <c r="K100" s="446">
        <f t="shared" ca="1" si="877"/>
        <v>0</v>
      </c>
      <c r="L100" s="446">
        <f t="shared" ca="1" si="877"/>
        <v>0</v>
      </c>
      <c r="M100" s="446">
        <f t="shared" ca="1" si="877"/>
        <v>0</v>
      </c>
      <c r="N100" s="446" t="e">
        <f t="shared" si="877"/>
        <v>#N/A</v>
      </c>
      <c r="O100" s="446" t="e">
        <f t="shared" si="877"/>
        <v>#N/A</v>
      </c>
      <c r="P100" s="446" t="e">
        <f t="shared" si="877"/>
        <v>#N/A</v>
      </c>
      <c r="Q100" s="446" t="e">
        <f t="shared" si="877"/>
        <v>#N/A</v>
      </c>
      <c r="R100" s="446" t="e">
        <f t="shared" si="877"/>
        <v>#N/A</v>
      </c>
      <c r="S100" s="446" t="e">
        <f t="shared" si="877"/>
        <v>#N/A</v>
      </c>
      <c r="T100" s="446" t="e">
        <f t="shared" si="877"/>
        <v>#N/A</v>
      </c>
      <c r="U100" s="446" t="e">
        <f t="shared" si="877"/>
        <v>#N/A</v>
      </c>
      <c r="V100" s="446" t="e">
        <f t="shared" si="877"/>
        <v>#N/A</v>
      </c>
      <c r="W100" s="446" t="e">
        <f t="shared" si="877"/>
        <v>#N/A</v>
      </c>
      <c r="X100" s="446" t="e">
        <f t="shared" si="877"/>
        <v>#N/A</v>
      </c>
      <c r="Y100" s="446" t="e">
        <f t="shared" si="877"/>
        <v>#N/A</v>
      </c>
      <c r="Z100" s="446" t="e">
        <f t="shared" si="877"/>
        <v>#N/A</v>
      </c>
      <c r="AA100" s="446" t="e">
        <f t="shared" si="877"/>
        <v>#N/A</v>
      </c>
      <c r="AB100" s="446" t="e">
        <f t="shared" si="877"/>
        <v>#N/A</v>
      </c>
      <c r="AC100" s="446" t="e">
        <f t="shared" si="877"/>
        <v>#N/A</v>
      </c>
      <c r="AD100" s="446" t="e">
        <f t="shared" si="877"/>
        <v>#N/A</v>
      </c>
      <c r="AE100" s="446" t="e">
        <f t="shared" si="877"/>
        <v>#N/A</v>
      </c>
      <c r="AF100" s="446" t="e">
        <f t="shared" si="877"/>
        <v>#N/A</v>
      </c>
      <c r="AG100" s="446" t="e">
        <f t="shared" si="877"/>
        <v>#N/A</v>
      </c>
      <c r="AH100" s="446" t="e">
        <f t="shared" si="877"/>
        <v>#N/A</v>
      </c>
      <c r="AI100" s="446" t="e">
        <f t="shared" si="877"/>
        <v>#N/A</v>
      </c>
      <c r="AJ100" s="446" t="e">
        <f t="shared" si="877"/>
        <v>#N/A</v>
      </c>
      <c r="AK100" s="446" t="e">
        <f t="shared" ref="AK100:BP100" si="878">IF($B$6="ON",IF(AK90=covid_start-1,AK91,IF(AK90=covid_recovery,AK91,IF(AK90&gt;=covid_start,IF(AK90&lt;covid_recovery,AJ100-(INDEX($E$90:$CL$96,2,MATCH(covid_start-1,$E$90:$CL$90,0))-INDEX($E$90:$CL$96,2,MATCH(covid_recovery,$E$90:$CL$90,0)))/(covid_recovery-covid_start+1),NA()),NA()))),NA())</f>
        <v>#N/A</v>
      </c>
      <c r="AL100" s="446" t="e">
        <f t="shared" si="878"/>
        <v>#N/A</v>
      </c>
      <c r="AM100" s="446" t="e">
        <f t="shared" si="878"/>
        <v>#N/A</v>
      </c>
      <c r="AN100" s="446" t="e">
        <f t="shared" si="878"/>
        <v>#N/A</v>
      </c>
      <c r="AO100" s="446" t="e">
        <f t="shared" si="878"/>
        <v>#N/A</v>
      </c>
      <c r="AP100" s="446" t="e">
        <f t="shared" si="878"/>
        <v>#N/A</v>
      </c>
      <c r="AQ100" s="446" t="e">
        <f t="shared" si="878"/>
        <v>#N/A</v>
      </c>
      <c r="AR100" s="446" t="e">
        <f t="shared" si="878"/>
        <v>#N/A</v>
      </c>
      <c r="AS100" s="446" t="e">
        <f t="shared" si="878"/>
        <v>#N/A</v>
      </c>
      <c r="AT100" s="446" t="e">
        <f t="shared" si="878"/>
        <v>#N/A</v>
      </c>
      <c r="AU100" s="446" t="e">
        <f t="shared" si="878"/>
        <v>#N/A</v>
      </c>
      <c r="AV100" s="446" t="e">
        <f t="shared" si="878"/>
        <v>#N/A</v>
      </c>
      <c r="AW100" s="446" t="e">
        <f t="shared" si="878"/>
        <v>#N/A</v>
      </c>
      <c r="AX100" s="446" t="e">
        <f t="shared" si="878"/>
        <v>#N/A</v>
      </c>
      <c r="AY100" s="446" t="e">
        <f t="shared" si="878"/>
        <v>#N/A</v>
      </c>
      <c r="AZ100" s="446" t="e">
        <f t="shared" si="878"/>
        <v>#N/A</v>
      </c>
      <c r="BA100" s="446" t="e">
        <f t="shared" si="878"/>
        <v>#N/A</v>
      </c>
      <c r="BB100" s="446" t="e">
        <f t="shared" si="878"/>
        <v>#N/A</v>
      </c>
      <c r="BC100" s="446" t="e">
        <f t="shared" si="878"/>
        <v>#N/A</v>
      </c>
      <c r="BD100" s="446" t="e">
        <f t="shared" si="878"/>
        <v>#N/A</v>
      </c>
      <c r="BE100" s="446" t="e">
        <f t="shared" si="878"/>
        <v>#N/A</v>
      </c>
      <c r="BF100" s="446" t="e">
        <f t="shared" si="878"/>
        <v>#N/A</v>
      </c>
      <c r="BG100" s="446" t="e">
        <f t="shared" si="878"/>
        <v>#N/A</v>
      </c>
      <c r="BH100" s="446" t="e">
        <f t="shared" si="878"/>
        <v>#N/A</v>
      </c>
      <c r="BI100" s="446" t="e">
        <f t="shared" si="878"/>
        <v>#N/A</v>
      </c>
      <c r="BJ100" s="446" t="e">
        <f t="shared" si="878"/>
        <v>#N/A</v>
      </c>
      <c r="BK100" s="446" t="e">
        <f t="shared" si="878"/>
        <v>#N/A</v>
      </c>
      <c r="BL100" s="446" t="e">
        <f t="shared" si="878"/>
        <v>#N/A</v>
      </c>
      <c r="BM100" s="446" t="e">
        <f t="shared" si="878"/>
        <v>#N/A</v>
      </c>
      <c r="BN100" s="446" t="e">
        <f t="shared" si="878"/>
        <v>#N/A</v>
      </c>
      <c r="BO100" s="446" t="e">
        <f t="shared" si="878"/>
        <v>#N/A</v>
      </c>
      <c r="BP100" s="446" t="e">
        <f t="shared" si="878"/>
        <v>#N/A</v>
      </c>
      <c r="BQ100" s="446" t="e">
        <f t="shared" ref="BQ100:CL100" si="879">IF($B$6="ON",IF(BQ90=covid_start-1,BQ91,IF(BQ90=covid_recovery,BQ91,IF(BQ90&gt;=covid_start,IF(BQ90&lt;covid_recovery,BP100-(INDEX($E$90:$CL$96,2,MATCH(covid_start-1,$E$90:$CL$90,0))-INDEX($E$90:$CL$96,2,MATCH(covid_recovery,$E$90:$CL$90,0)))/(covid_recovery-covid_start+1),NA()),NA()))),NA())</f>
        <v>#N/A</v>
      </c>
      <c r="BR100" s="446" t="e">
        <f t="shared" si="879"/>
        <v>#N/A</v>
      </c>
      <c r="BS100" s="446" t="e">
        <f t="shared" si="879"/>
        <v>#N/A</v>
      </c>
      <c r="BT100" s="446" t="e">
        <f t="shared" si="879"/>
        <v>#N/A</v>
      </c>
      <c r="BU100" s="446" t="e">
        <f t="shared" si="879"/>
        <v>#N/A</v>
      </c>
      <c r="BV100" s="446" t="e">
        <f t="shared" si="879"/>
        <v>#N/A</v>
      </c>
      <c r="BW100" s="446" t="e">
        <f t="shared" si="879"/>
        <v>#N/A</v>
      </c>
      <c r="BX100" s="446" t="e">
        <f t="shared" si="879"/>
        <v>#N/A</v>
      </c>
      <c r="BY100" s="446" t="e">
        <f t="shared" si="879"/>
        <v>#N/A</v>
      </c>
      <c r="BZ100" s="446" t="e">
        <f t="shared" si="879"/>
        <v>#N/A</v>
      </c>
      <c r="CA100" s="446" t="e">
        <f t="shared" si="879"/>
        <v>#N/A</v>
      </c>
      <c r="CB100" s="446" t="e">
        <f t="shared" si="879"/>
        <v>#N/A</v>
      </c>
      <c r="CC100" s="446" t="e">
        <f t="shared" si="879"/>
        <v>#N/A</v>
      </c>
      <c r="CD100" s="446" t="e">
        <f t="shared" si="879"/>
        <v>#N/A</v>
      </c>
      <c r="CE100" s="446" t="e">
        <f t="shared" si="879"/>
        <v>#N/A</v>
      </c>
      <c r="CF100" s="446" t="e">
        <f t="shared" si="879"/>
        <v>#N/A</v>
      </c>
      <c r="CG100" s="446" t="e">
        <f t="shared" si="879"/>
        <v>#N/A</v>
      </c>
      <c r="CH100" s="446" t="e">
        <f t="shared" si="879"/>
        <v>#N/A</v>
      </c>
      <c r="CI100" s="446" t="e">
        <f t="shared" si="879"/>
        <v>#N/A</v>
      </c>
      <c r="CJ100" s="446" t="e">
        <f t="shared" si="879"/>
        <v>#N/A</v>
      </c>
      <c r="CK100" s="446" t="e">
        <f t="shared" si="879"/>
        <v>#N/A</v>
      </c>
      <c r="CL100" s="446" t="e">
        <f t="shared" si="879"/>
        <v>#N/A</v>
      </c>
      <c r="CN100" s="447" t="str">
        <f t="shared" si="874"/>
        <v/>
      </c>
      <c r="CO100" s="398" t="str">
        <f t="shared" si="875"/>
        <v/>
      </c>
      <c r="CP100" s="398" t="str">
        <f t="shared" si="876"/>
        <v/>
      </c>
    </row>
    <row r="101" spans="1:94" hidden="1" outlineLevel="1">
      <c r="A101" s="392" t="s">
        <v>414</v>
      </c>
      <c r="B101" s="392" t="s">
        <v>380</v>
      </c>
      <c r="C101" s="392"/>
      <c r="D101" s="392"/>
      <c r="E101" s="448" t="e">
        <f t="shared" ref="E101:AJ101" si="880">IF($B$6="ON",IF(E90=covid_start-1,E96,IF(E90=covid_recovery,E96,IF(E90&gt;=covid_start,IF(E90&lt;covid_recovery,D101-(INDEX($E$90:$CL$96,7,MATCH(covid_start-1,$E$90:$CL$90,0))-INDEX($E$90:$CL$96,7,MATCH(covid_recovery,$E$90:$CL$90,0)))/(covid_recovery-covid_start+1),NA()),NA()))),NA())</f>
        <v>#N/A</v>
      </c>
      <c r="F101" s="446" t="e">
        <f t="shared" si="880"/>
        <v>#N/A</v>
      </c>
      <c r="G101" s="446" t="e">
        <f t="shared" si="880"/>
        <v>#N/A</v>
      </c>
      <c r="H101" s="446" t="e">
        <f t="shared" si="880"/>
        <v>#N/A</v>
      </c>
      <c r="I101" s="446" t="e">
        <f t="shared" ca="1" si="880"/>
        <v>#DIV/0!</v>
      </c>
      <c r="J101" s="446" t="e">
        <f t="shared" ca="1" si="880"/>
        <v>#DIV/0!</v>
      </c>
      <c r="K101" s="446" t="e">
        <f t="shared" ca="1" si="880"/>
        <v>#DIV/0!</v>
      </c>
      <c r="L101" s="446" t="e">
        <f t="shared" ca="1" si="880"/>
        <v>#DIV/0!</v>
      </c>
      <c r="M101" s="446" t="e">
        <f t="shared" ca="1" si="880"/>
        <v>#DIV/0!</v>
      </c>
      <c r="N101" s="446" t="e">
        <f t="shared" si="880"/>
        <v>#N/A</v>
      </c>
      <c r="O101" s="446" t="e">
        <f t="shared" si="880"/>
        <v>#N/A</v>
      </c>
      <c r="P101" s="446" t="e">
        <f t="shared" si="880"/>
        <v>#N/A</v>
      </c>
      <c r="Q101" s="446" t="e">
        <f t="shared" si="880"/>
        <v>#N/A</v>
      </c>
      <c r="R101" s="446" t="e">
        <f t="shared" si="880"/>
        <v>#N/A</v>
      </c>
      <c r="S101" s="446" t="e">
        <f t="shared" si="880"/>
        <v>#N/A</v>
      </c>
      <c r="T101" s="446" t="e">
        <f t="shared" si="880"/>
        <v>#N/A</v>
      </c>
      <c r="U101" s="446" t="e">
        <f t="shared" si="880"/>
        <v>#N/A</v>
      </c>
      <c r="V101" s="446" t="e">
        <f t="shared" si="880"/>
        <v>#N/A</v>
      </c>
      <c r="W101" s="446" t="e">
        <f t="shared" si="880"/>
        <v>#N/A</v>
      </c>
      <c r="X101" s="446" t="e">
        <f t="shared" si="880"/>
        <v>#N/A</v>
      </c>
      <c r="Y101" s="446" t="e">
        <f t="shared" si="880"/>
        <v>#N/A</v>
      </c>
      <c r="Z101" s="446" t="e">
        <f t="shared" si="880"/>
        <v>#N/A</v>
      </c>
      <c r="AA101" s="446" t="e">
        <f t="shared" si="880"/>
        <v>#N/A</v>
      </c>
      <c r="AB101" s="446" t="e">
        <f t="shared" si="880"/>
        <v>#N/A</v>
      </c>
      <c r="AC101" s="446" t="e">
        <f t="shared" si="880"/>
        <v>#N/A</v>
      </c>
      <c r="AD101" s="446" t="e">
        <f t="shared" si="880"/>
        <v>#N/A</v>
      </c>
      <c r="AE101" s="446" t="e">
        <f t="shared" si="880"/>
        <v>#N/A</v>
      </c>
      <c r="AF101" s="446" t="e">
        <f t="shared" si="880"/>
        <v>#N/A</v>
      </c>
      <c r="AG101" s="446" t="e">
        <f t="shared" si="880"/>
        <v>#N/A</v>
      </c>
      <c r="AH101" s="446" t="e">
        <f t="shared" si="880"/>
        <v>#N/A</v>
      </c>
      <c r="AI101" s="446" t="e">
        <f t="shared" si="880"/>
        <v>#N/A</v>
      </c>
      <c r="AJ101" s="446" t="e">
        <f t="shared" si="880"/>
        <v>#N/A</v>
      </c>
      <c r="AK101" s="446" t="e">
        <f t="shared" ref="AK101:BP101" si="881">IF($B$6="ON",IF(AK90=covid_start-1,AK96,IF(AK90=covid_recovery,AK96,IF(AK90&gt;=covid_start,IF(AK90&lt;covid_recovery,AJ101-(INDEX($E$90:$CL$96,7,MATCH(covid_start-1,$E$90:$CL$90,0))-INDEX($E$90:$CL$96,7,MATCH(covid_recovery,$E$90:$CL$90,0)))/(covid_recovery-covid_start+1),NA()),NA()))),NA())</f>
        <v>#N/A</v>
      </c>
      <c r="AL101" s="446" t="e">
        <f t="shared" si="881"/>
        <v>#N/A</v>
      </c>
      <c r="AM101" s="446" t="e">
        <f t="shared" si="881"/>
        <v>#N/A</v>
      </c>
      <c r="AN101" s="446" t="e">
        <f t="shared" si="881"/>
        <v>#N/A</v>
      </c>
      <c r="AO101" s="446" t="e">
        <f t="shared" si="881"/>
        <v>#N/A</v>
      </c>
      <c r="AP101" s="446" t="e">
        <f t="shared" si="881"/>
        <v>#N/A</v>
      </c>
      <c r="AQ101" s="446" t="e">
        <f t="shared" si="881"/>
        <v>#N/A</v>
      </c>
      <c r="AR101" s="446" t="e">
        <f t="shared" si="881"/>
        <v>#N/A</v>
      </c>
      <c r="AS101" s="446" t="e">
        <f t="shared" si="881"/>
        <v>#N/A</v>
      </c>
      <c r="AT101" s="446" t="e">
        <f t="shared" si="881"/>
        <v>#N/A</v>
      </c>
      <c r="AU101" s="446" t="e">
        <f t="shared" si="881"/>
        <v>#N/A</v>
      </c>
      <c r="AV101" s="446" t="e">
        <f t="shared" si="881"/>
        <v>#N/A</v>
      </c>
      <c r="AW101" s="446" t="e">
        <f t="shared" si="881"/>
        <v>#N/A</v>
      </c>
      <c r="AX101" s="446" t="e">
        <f t="shared" si="881"/>
        <v>#N/A</v>
      </c>
      <c r="AY101" s="446" t="e">
        <f t="shared" si="881"/>
        <v>#N/A</v>
      </c>
      <c r="AZ101" s="446" t="e">
        <f t="shared" si="881"/>
        <v>#N/A</v>
      </c>
      <c r="BA101" s="446" t="e">
        <f t="shared" si="881"/>
        <v>#N/A</v>
      </c>
      <c r="BB101" s="446" t="e">
        <f t="shared" si="881"/>
        <v>#N/A</v>
      </c>
      <c r="BC101" s="446" t="e">
        <f t="shared" si="881"/>
        <v>#N/A</v>
      </c>
      <c r="BD101" s="446" t="e">
        <f t="shared" si="881"/>
        <v>#N/A</v>
      </c>
      <c r="BE101" s="446" t="e">
        <f t="shared" si="881"/>
        <v>#N/A</v>
      </c>
      <c r="BF101" s="446" t="e">
        <f t="shared" si="881"/>
        <v>#N/A</v>
      </c>
      <c r="BG101" s="446" t="e">
        <f t="shared" si="881"/>
        <v>#N/A</v>
      </c>
      <c r="BH101" s="446" t="e">
        <f t="shared" si="881"/>
        <v>#N/A</v>
      </c>
      <c r="BI101" s="446" t="e">
        <f t="shared" si="881"/>
        <v>#N/A</v>
      </c>
      <c r="BJ101" s="446" t="e">
        <f t="shared" si="881"/>
        <v>#N/A</v>
      </c>
      <c r="BK101" s="446" t="e">
        <f t="shared" si="881"/>
        <v>#N/A</v>
      </c>
      <c r="BL101" s="446" t="e">
        <f t="shared" si="881"/>
        <v>#N/A</v>
      </c>
      <c r="BM101" s="446" t="e">
        <f t="shared" si="881"/>
        <v>#N/A</v>
      </c>
      <c r="BN101" s="446" t="e">
        <f t="shared" si="881"/>
        <v>#N/A</v>
      </c>
      <c r="BO101" s="446" t="e">
        <f t="shared" si="881"/>
        <v>#N/A</v>
      </c>
      <c r="BP101" s="446" t="e">
        <f t="shared" si="881"/>
        <v>#N/A</v>
      </c>
      <c r="BQ101" s="446" t="e">
        <f t="shared" ref="BQ101:CL101" si="882">IF($B$6="ON",IF(BQ90=covid_start-1,BQ96,IF(BQ90=covid_recovery,BQ96,IF(BQ90&gt;=covid_start,IF(BQ90&lt;covid_recovery,BP101-(INDEX($E$90:$CL$96,7,MATCH(covid_start-1,$E$90:$CL$90,0))-INDEX($E$90:$CL$96,7,MATCH(covid_recovery,$E$90:$CL$90,0)))/(covid_recovery-covid_start+1),NA()),NA()))),NA())</f>
        <v>#N/A</v>
      </c>
      <c r="BR101" s="446" t="e">
        <f t="shared" si="882"/>
        <v>#N/A</v>
      </c>
      <c r="BS101" s="446" t="e">
        <f t="shared" si="882"/>
        <v>#N/A</v>
      </c>
      <c r="BT101" s="446" t="e">
        <f t="shared" si="882"/>
        <v>#N/A</v>
      </c>
      <c r="BU101" s="446" t="e">
        <f t="shared" si="882"/>
        <v>#N/A</v>
      </c>
      <c r="BV101" s="446" t="e">
        <f t="shared" si="882"/>
        <v>#N/A</v>
      </c>
      <c r="BW101" s="446" t="e">
        <f t="shared" si="882"/>
        <v>#N/A</v>
      </c>
      <c r="BX101" s="446" t="e">
        <f t="shared" si="882"/>
        <v>#N/A</v>
      </c>
      <c r="BY101" s="446" t="e">
        <f t="shared" si="882"/>
        <v>#N/A</v>
      </c>
      <c r="BZ101" s="446" t="e">
        <f t="shared" si="882"/>
        <v>#N/A</v>
      </c>
      <c r="CA101" s="446" t="e">
        <f t="shared" si="882"/>
        <v>#N/A</v>
      </c>
      <c r="CB101" s="446" t="e">
        <f t="shared" si="882"/>
        <v>#N/A</v>
      </c>
      <c r="CC101" s="446" t="e">
        <f t="shared" si="882"/>
        <v>#N/A</v>
      </c>
      <c r="CD101" s="446" t="e">
        <f t="shared" si="882"/>
        <v>#N/A</v>
      </c>
      <c r="CE101" s="446" t="e">
        <f t="shared" si="882"/>
        <v>#N/A</v>
      </c>
      <c r="CF101" s="446" t="e">
        <f t="shared" si="882"/>
        <v>#N/A</v>
      </c>
      <c r="CG101" s="446" t="e">
        <f t="shared" si="882"/>
        <v>#N/A</v>
      </c>
      <c r="CH101" s="446" t="e">
        <f t="shared" si="882"/>
        <v>#N/A</v>
      </c>
      <c r="CI101" s="446" t="e">
        <f t="shared" si="882"/>
        <v>#N/A</v>
      </c>
      <c r="CJ101" s="446" t="e">
        <f t="shared" si="882"/>
        <v>#N/A</v>
      </c>
      <c r="CK101" s="446" t="e">
        <f t="shared" si="882"/>
        <v>#N/A</v>
      </c>
      <c r="CL101" s="446" t="e">
        <f t="shared" si="882"/>
        <v>#N/A</v>
      </c>
      <c r="CN101" s="391" t="str">
        <f>IFERROR((Y101/H101)^(1/17)-1,"")</f>
        <v/>
      </c>
      <c r="CO101" s="406" t="str">
        <f>IFERROR((AN101/Y101)^(1/15)-1,"")</f>
        <v/>
      </c>
      <c r="CP101" s="406" t="str">
        <f>IFERROR((AN101/H101)^(1/32)-1,"")</f>
        <v/>
      </c>
    </row>
    <row r="102" spans="1:94" hidden="1" outlineLevel="1">
      <c r="A102" s="363" t="s">
        <v>414</v>
      </c>
      <c r="B102" s="363" t="s">
        <v>408</v>
      </c>
      <c r="C102" s="363"/>
      <c r="D102" s="363"/>
      <c r="E102" s="449" t="e">
        <f t="shared" ref="E102:AJ102" si="883">IF($B$6="ON",IF(E90=covid_start-1,E97,IF(E90=covid_recovery,E97,IF(E90&gt;=covid_start,IF(E90&lt;covid_recovery,D102-(INDEX($E$90:$CL$97,8,MATCH(covid_start-1,$E$90:$CL$90,0))-INDEX($E$90:$CL$97,8,MATCH(covid_recovery,$E$90:$CL$90,0)))/(covid_recovery-covid_start+1),NA()),NA()))),NA())</f>
        <v>#N/A</v>
      </c>
      <c r="F102" s="449" t="e">
        <f t="shared" si="883"/>
        <v>#N/A</v>
      </c>
      <c r="G102" s="449" t="e">
        <f t="shared" si="883"/>
        <v>#N/A</v>
      </c>
      <c r="H102" s="449" t="e">
        <f t="shared" si="883"/>
        <v>#N/A</v>
      </c>
      <c r="I102" s="449">
        <f t="shared" si="883"/>
        <v>1113.2430097929002</v>
      </c>
      <c r="J102" s="449">
        <f t="shared" si="883"/>
        <v>1108.8080640473377</v>
      </c>
      <c r="K102" s="449">
        <f t="shared" si="883"/>
        <v>1104.3731183017753</v>
      </c>
      <c r="L102" s="449">
        <f t="shared" si="883"/>
        <v>1099.938172556213</v>
      </c>
      <c r="M102" s="449">
        <f t="shared" si="883"/>
        <v>1095.5032268106504</v>
      </c>
      <c r="N102" s="449" t="e">
        <f t="shared" si="883"/>
        <v>#N/A</v>
      </c>
      <c r="O102" s="449" t="e">
        <f t="shared" si="883"/>
        <v>#N/A</v>
      </c>
      <c r="P102" s="449" t="e">
        <f t="shared" si="883"/>
        <v>#N/A</v>
      </c>
      <c r="Q102" s="449" t="e">
        <f t="shared" si="883"/>
        <v>#N/A</v>
      </c>
      <c r="R102" s="449" t="e">
        <f t="shared" si="883"/>
        <v>#N/A</v>
      </c>
      <c r="S102" s="449" t="e">
        <f t="shared" si="883"/>
        <v>#N/A</v>
      </c>
      <c r="T102" s="449" t="e">
        <f t="shared" si="883"/>
        <v>#N/A</v>
      </c>
      <c r="U102" s="449" t="e">
        <f t="shared" si="883"/>
        <v>#N/A</v>
      </c>
      <c r="V102" s="449" t="e">
        <f t="shared" si="883"/>
        <v>#N/A</v>
      </c>
      <c r="W102" s="449" t="e">
        <f t="shared" si="883"/>
        <v>#N/A</v>
      </c>
      <c r="X102" s="449" t="e">
        <f t="shared" si="883"/>
        <v>#N/A</v>
      </c>
      <c r="Y102" s="449" t="e">
        <f t="shared" si="883"/>
        <v>#N/A</v>
      </c>
      <c r="Z102" s="449" t="e">
        <f t="shared" si="883"/>
        <v>#N/A</v>
      </c>
      <c r="AA102" s="449" t="e">
        <f t="shared" si="883"/>
        <v>#N/A</v>
      </c>
      <c r="AB102" s="449" t="e">
        <f t="shared" si="883"/>
        <v>#N/A</v>
      </c>
      <c r="AC102" s="449" t="e">
        <f t="shared" si="883"/>
        <v>#N/A</v>
      </c>
      <c r="AD102" s="449" t="e">
        <f t="shared" si="883"/>
        <v>#N/A</v>
      </c>
      <c r="AE102" s="449" t="e">
        <f t="shared" si="883"/>
        <v>#N/A</v>
      </c>
      <c r="AF102" s="449" t="e">
        <f t="shared" si="883"/>
        <v>#N/A</v>
      </c>
      <c r="AG102" s="449" t="e">
        <f t="shared" si="883"/>
        <v>#N/A</v>
      </c>
      <c r="AH102" s="449" t="e">
        <f t="shared" si="883"/>
        <v>#N/A</v>
      </c>
      <c r="AI102" s="449" t="e">
        <f t="shared" si="883"/>
        <v>#N/A</v>
      </c>
      <c r="AJ102" s="449" t="e">
        <f t="shared" si="883"/>
        <v>#N/A</v>
      </c>
      <c r="AK102" s="449" t="e">
        <f t="shared" ref="AK102:BP102" si="884">IF($B$6="ON",IF(AK90=covid_start-1,AK97,IF(AK90=covid_recovery,AK97,IF(AK90&gt;=covid_start,IF(AK90&lt;covid_recovery,AJ102-(INDEX($E$90:$CL$97,8,MATCH(covid_start-1,$E$90:$CL$90,0))-INDEX($E$90:$CL$97,8,MATCH(covid_recovery,$E$90:$CL$90,0)))/(covid_recovery-covid_start+1),NA()),NA()))),NA())</f>
        <v>#N/A</v>
      </c>
      <c r="AL102" s="449" t="e">
        <f t="shared" si="884"/>
        <v>#N/A</v>
      </c>
      <c r="AM102" s="449" t="e">
        <f t="shared" si="884"/>
        <v>#N/A</v>
      </c>
      <c r="AN102" s="449" t="e">
        <f t="shared" si="884"/>
        <v>#N/A</v>
      </c>
      <c r="AO102" s="449" t="e">
        <f t="shared" si="884"/>
        <v>#N/A</v>
      </c>
      <c r="AP102" s="449" t="e">
        <f t="shared" si="884"/>
        <v>#N/A</v>
      </c>
      <c r="AQ102" s="449" t="e">
        <f t="shared" si="884"/>
        <v>#N/A</v>
      </c>
      <c r="AR102" s="449" t="e">
        <f t="shared" si="884"/>
        <v>#N/A</v>
      </c>
      <c r="AS102" s="449" t="e">
        <f t="shared" si="884"/>
        <v>#N/A</v>
      </c>
      <c r="AT102" s="449" t="e">
        <f t="shared" si="884"/>
        <v>#N/A</v>
      </c>
      <c r="AU102" s="449" t="e">
        <f t="shared" si="884"/>
        <v>#N/A</v>
      </c>
      <c r="AV102" s="449" t="e">
        <f t="shared" si="884"/>
        <v>#N/A</v>
      </c>
      <c r="AW102" s="449" t="e">
        <f t="shared" si="884"/>
        <v>#N/A</v>
      </c>
      <c r="AX102" s="449" t="e">
        <f t="shared" si="884"/>
        <v>#N/A</v>
      </c>
      <c r="AY102" s="449" t="e">
        <f t="shared" si="884"/>
        <v>#N/A</v>
      </c>
      <c r="AZ102" s="449" t="e">
        <f t="shared" si="884"/>
        <v>#N/A</v>
      </c>
      <c r="BA102" s="449" t="e">
        <f t="shared" si="884"/>
        <v>#N/A</v>
      </c>
      <c r="BB102" s="449" t="e">
        <f t="shared" si="884"/>
        <v>#N/A</v>
      </c>
      <c r="BC102" s="449" t="e">
        <f t="shared" si="884"/>
        <v>#N/A</v>
      </c>
      <c r="BD102" s="449" t="e">
        <f t="shared" si="884"/>
        <v>#N/A</v>
      </c>
      <c r="BE102" s="449" t="e">
        <f t="shared" si="884"/>
        <v>#N/A</v>
      </c>
      <c r="BF102" s="449" t="e">
        <f t="shared" si="884"/>
        <v>#N/A</v>
      </c>
      <c r="BG102" s="449" t="e">
        <f t="shared" si="884"/>
        <v>#N/A</v>
      </c>
      <c r="BH102" s="449" t="e">
        <f t="shared" si="884"/>
        <v>#N/A</v>
      </c>
      <c r="BI102" s="449" t="e">
        <f t="shared" si="884"/>
        <v>#N/A</v>
      </c>
      <c r="BJ102" s="449" t="e">
        <f t="shared" si="884"/>
        <v>#N/A</v>
      </c>
      <c r="BK102" s="449" t="e">
        <f t="shared" si="884"/>
        <v>#N/A</v>
      </c>
      <c r="BL102" s="449" t="e">
        <f t="shared" si="884"/>
        <v>#N/A</v>
      </c>
      <c r="BM102" s="449" t="e">
        <f t="shared" si="884"/>
        <v>#N/A</v>
      </c>
      <c r="BN102" s="449" t="e">
        <f t="shared" si="884"/>
        <v>#N/A</v>
      </c>
      <c r="BO102" s="449" t="e">
        <f t="shared" si="884"/>
        <v>#N/A</v>
      </c>
      <c r="BP102" s="449" t="e">
        <f t="shared" si="884"/>
        <v>#N/A</v>
      </c>
      <c r="BQ102" s="449" t="e">
        <f t="shared" ref="BQ102:CL102" si="885">IF($B$6="ON",IF(BQ90=covid_start-1,BQ97,IF(BQ90=covid_recovery,BQ97,IF(BQ90&gt;=covid_start,IF(BQ90&lt;covid_recovery,BP102-(INDEX($E$90:$CL$97,8,MATCH(covid_start-1,$E$90:$CL$90,0))-INDEX($E$90:$CL$97,8,MATCH(covid_recovery,$E$90:$CL$90,0)))/(covid_recovery-covid_start+1),NA()),NA()))),NA())</f>
        <v>#N/A</v>
      </c>
      <c r="BR102" s="449" t="e">
        <f t="shared" si="885"/>
        <v>#N/A</v>
      </c>
      <c r="BS102" s="449" t="e">
        <f t="shared" si="885"/>
        <v>#N/A</v>
      </c>
      <c r="BT102" s="449" t="e">
        <f t="shared" si="885"/>
        <v>#N/A</v>
      </c>
      <c r="BU102" s="449" t="e">
        <f t="shared" si="885"/>
        <v>#N/A</v>
      </c>
      <c r="BV102" s="449" t="e">
        <f t="shared" si="885"/>
        <v>#N/A</v>
      </c>
      <c r="BW102" s="449" t="e">
        <f t="shared" si="885"/>
        <v>#N/A</v>
      </c>
      <c r="BX102" s="449" t="e">
        <f t="shared" si="885"/>
        <v>#N/A</v>
      </c>
      <c r="BY102" s="449" t="e">
        <f t="shared" si="885"/>
        <v>#N/A</v>
      </c>
      <c r="BZ102" s="449" t="e">
        <f t="shared" si="885"/>
        <v>#N/A</v>
      </c>
      <c r="CA102" s="449" t="e">
        <f t="shared" si="885"/>
        <v>#N/A</v>
      </c>
      <c r="CB102" s="449" t="e">
        <f t="shared" si="885"/>
        <v>#N/A</v>
      </c>
      <c r="CC102" s="449" t="e">
        <f t="shared" si="885"/>
        <v>#N/A</v>
      </c>
      <c r="CD102" s="449" t="e">
        <f t="shared" si="885"/>
        <v>#N/A</v>
      </c>
      <c r="CE102" s="449" t="e">
        <f t="shared" si="885"/>
        <v>#N/A</v>
      </c>
      <c r="CF102" s="449" t="e">
        <f t="shared" si="885"/>
        <v>#N/A</v>
      </c>
      <c r="CG102" s="449" t="e">
        <f t="shared" si="885"/>
        <v>#N/A</v>
      </c>
      <c r="CH102" s="449" t="e">
        <f t="shared" si="885"/>
        <v>#N/A</v>
      </c>
      <c r="CI102" s="449" t="e">
        <f t="shared" si="885"/>
        <v>#N/A</v>
      </c>
      <c r="CJ102" s="449" t="e">
        <f t="shared" si="885"/>
        <v>#N/A</v>
      </c>
      <c r="CK102" s="449" t="e">
        <f t="shared" si="885"/>
        <v>#N/A</v>
      </c>
      <c r="CL102" s="449" t="e">
        <f t="shared" si="885"/>
        <v>#N/A</v>
      </c>
      <c r="CN102" s="408" t="str">
        <f t="shared" si="874"/>
        <v/>
      </c>
      <c r="CO102" s="406" t="str">
        <f t="shared" si="875"/>
        <v/>
      </c>
      <c r="CP102" s="406" t="str">
        <f t="shared" si="876"/>
        <v/>
      </c>
    </row>
    <row r="103" spans="1:94" ht="16.5" collapsed="1" thickTop="1">
      <c r="A103" s="450" t="s">
        <v>128</v>
      </c>
      <c r="B103" s="450"/>
      <c r="C103" s="450"/>
      <c r="D103" s="450"/>
      <c r="E103" s="451">
        <v>2015</v>
      </c>
      <c r="F103" s="452">
        <f>E103+1</f>
        <v>2016</v>
      </c>
      <c r="G103" s="452">
        <f t="shared" ref="G103:I103" si="886">F103+1</f>
        <v>2017</v>
      </c>
      <c r="H103" s="452">
        <f t="shared" si="886"/>
        <v>2018</v>
      </c>
      <c r="I103" s="452">
        <f t="shared" si="886"/>
        <v>2019</v>
      </c>
      <c r="J103" s="452">
        <f>E103+5</f>
        <v>2020</v>
      </c>
      <c r="K103" s="452">
        <f>J103+1</f>
        <v>2021</v>
      </c>
      <c r="L103" s="452">
        <f t="shared" ref="L103:N103" si="887">K103+1</f>
        <v>2022</v>
      </c>
      <c r="M103" s="452">
        <f t="shared" si="887"/>
        <v>2023</v>
      </c>
      <c r="N103" s="452">
        <f t="shared" si="887"/>
        <v>2024</v>
      </c>
      <c r="O103" s="452">
        <f>J103+5</f>
        <v>2025</v>
      </c>
      <c r="P103" s="452">
        <f>O103+1</f>
        <v>2026</v>
      </c>
      <c r="Q103" s="452">
        <f t="shared" ref="Q103:S103" si="888">P103+1</f>
        <v>2027</v>
      </c>
      <c r="R103" s="452">
        <f t="shared" si="888"/>
        <v>2028</v>
      </c>
      <c r="S103" s="452">
        <f t="shared" si="888"/>
        <v>2029</v>
      </c>
      <c r="T103" s="452">
        <f>O103+5</f>
        <v>2030</v>
      </c>
      <c r="U103" s="452">
        <f>T103+1</f>
        <v>2031</v>
      </c>
      <c r="V103" s="452">
        <f t="shared" ref="V103:X103" si="889">U103+1</f>
        <v>2032</v>
      </c>
      <c r="W103" s="452">
        <f t="shared" si="889"/>
        <v>2033</v>
      </c>
      <c r="X103" s="452">
        <f t="shared" si="889"/>
        <v>2034</v>
      </c>
      <c r="Y103" s="452">
        <f>T103+5</f>
        <v>2035</v>
      </c>
      <c r="Z103" s="452">
        <f>Y103+1</f>
        <v>2036</v>
      </c>
      <c r="AA103" s="452">
        <f t="shared" ref="AA103:AC103" si="890">Z103+1</f>
        <v>2037</v>
      </c>
      <c r="AB103" s="452">
        <f t="shared" si="890"/>
        <v>2038</v>
      </c>
      <c r="AC103" s="452">
        <f t="shared" si="890"/>
        <v>2039</v>
      </c>
      <c r="AD103" s="452">
        <f>Y103+5</f>
        <v>2040</v>
      </c>
      <c r="AE103" s="452">
        <f>AD103+1</f>
        <v>2041</v>
      </c>
      <c r="AF103" s="452">
        <f t="shared" ref="AF103:AH103" si="891">AE103+1</f>
        <v>2042</v>
      </c>
      <c r="AG103" s="452">
        <f t="shared" si="891"/>
        <v>2043</v>
      </c>
      <c r="AH103" s="452">
        <f t="shared" si="891"/>
        <v>2044</v>
      </c>
      <c r="AI103" s="452">
        <f>AD103+5</f>
        <v>2045</v>
      </c>
      <c r="AJ103" s="452">
        <f>AI103+1</f>
        <v>2046</v>
      </c>
      <c r="AK103" s="452">
        <f t="shared" ref="AK103:AM103" si="892">AJ103+1</f>
        <v>2047</v>
      </c>
      <c r="AL103" s="452">
        <f t="shared" si="892"/>
        <v>2048</v>
      </c>
      <c r="AM103" s="452">
        <f t="shared" si="892"/>
        <v>2049</v>
      </c>
      <c r="AN103" s="452">
        <f>AI103+5</f>
        <v>2050</v>
      </c>
      <c r="AO103" s="452">
        <f>AN103+1</f>
        <v>2051</v>
      </c>
      <c r="AP103" s="452">
        <f t="shared" ref="AP103:AR103" si="893">AO103+1</f>
        <v>2052</v>
      </c>
      <c r="AQ103" s="452">
        <f t="shared" si="893"/>
        <v>2053</v>
      </c>
      <c r="AR103" s="452">
        <f t="shared" si="893"/>
        <v>2054</v>
      </c>
      <c r="AS103" s="452">
        <f>AN103+5</f>
        <v>2055</v>
      </c>
      <c r="AT103" s="452">
        <f>AS103+1</f>
        <v>2056</v>
      </c>
      <c r="AU103" s="452">
        <f t="shared" ref="AU103:AW103" si="894">AT103+1</f>
        <v>2057</v>
      </c>
      <c r="AV103" s="452">
        <f t="shared" si="894"/>
        <v>2058</v>
      </c>
      <c r="AW103" s="452">
        <f t="shared" si="894"/>
        <v>2059</v>
      </c>
      <c r="AX103" s="452">
        <f>AS103+5</f>
        <v>2060</v>
      </c>
      <c r="AY103" s="452">
        <f>AX103+1</f>
        <v>2061</v>
      </c>
      <c r="AZ103" s="452">
        <f t="shared" ref="AZ103:BB103" si="895">AY103+1</f>
        <v>2062</v>
      </c>
      <c r="BA103" s="452">
        <f t="shared" si="895"/>
        <v>2063</v>
      </c>
      <c r="BB103" s="452">
        <f t="shared" si="895"/>
        <v>2064</v>
      </c>
      <c r="BC103" s="452">
        <f>AX103+5</f>
        <v>2065</v>
      </c>
      <c r="BD103" s="452">
        <f>BC103+1</f>
        <v>2066</v>
      </c>
      <c r="BE103" s="452">
        <f t="shared" ref="BE103:BG103" si="896">BD103+1</f>
        <v>2067</v>
      </c>
      <c r="BF103" s="452">
        <f t="shared" si="896"/>
        <v>2068</v>
      </c>
      <c r="BG103" s="452">
        <f t="shared" si="896"/>
        <v>2069</v>
      </c>
      <c r="BH103" s="452">
        <f>BC103+5</f>
        <v>2070</v>
      </c>
      <c r="BI103" s="452">
        <f>BH103+1</f>
        <v>2071</v>
      </c>
      <c r="BJ103" s="452">
        <f t="shared" ref="BJ103:BL103" si="897">BI103+1</f>
        <v>2072</v>
      </c>
      <c r="BK103" s="452">
        <f t="shared" si="897"/>
        <v>2073</v>
      </c>
      <c r="BL103" s="452">
        <f t="shared" si="897"/>
        <v>2074</v>
      </c>
      <c r="BM103" s="452">
        <f>BH103+5</f>
        <v>2075</v>
      </c>
      <c r="BN103" s="452">
        <f>BM103+1</f>
        <v>2076</v>
      </c>
      <c r="BO103" s="452">
        <f t="shared" ref="BO103:BQ103" si="898">BN103+1</f>
        <v>2077</v>
      </c>
      <c r="BP103" s="452">
        <f t="shared" si="898"/>
        <v>2078</v>
      </c>
      <c r="BQ103" s="452">
        <f t="shared" si="898"/>
        <v>2079</v>
      </c>
      <c r="BR103" s="452">
        <f>BM103+5</f>
        <v>2080</v>
      </c>
      <c r="BS103" s="452">
        <f>BR103+1</f>
        <v>2081</v>
      </c>
      <c r="BT103" s="452">
        <f t="shared" ref="BT103:BV103" si="899">BS103+1</f>
        <v>2082</v>
      </c>
      <c r="BU103" s="452">
        <f t="shared" si="899"/>
        <v>2083</v>
      </c>
      <c r="BV103" s="452">
        <f t="shared" si="899"/>
        <v>2084</v>
      </c>
      <c r="BW103" s="452">
        <f>BR103+5</f>
        <v>2085</v>
      </c>
      <c r="BX103" s="452">
        <f>BW103+1</f>
        <v>2086</v>
      </c>
      <c r="BY103" s="452">
        <f t="shared" ref="BY103:CA103" si="900">BX103+1</f>
        <v>2087</v>
      </c>
      <c r="BZ103" s="452">
        <f t="shared" si="900"/>
        <v>2088</v>
      </c>
      <c r="CA103" s="452">
        <f t="shared" si="900"/>
        <v>2089</v>
      </c>
      <c r="CB103" s="452">
        <f>BW103+5</f>
        <v>2090</v>
      </c>
      <c r="CC103" s="452">
        <f>CB103+1</f>
        <v>2091</v>
      </c>
      <c r="CD103" s="452">
        <f t="shared" ref="CD103:CF103" si="901">CC103+1</f>
        <v>2092</v>
      </c>
      <c r="CE103" s="452">
        <f t="shared" si="901"/>
        <v>2093</v>
      </c>
      <c r="CF103" s="452">
        <f t="shared" si="901"/>
        <v>2094</v>
      </c>
      <c r="CG103" s="452">
        <f>CB103+5</f>
        <v>2095</v>
      </c>
      <c r="CH103" s="452">
        <f>CG103+1</f>
        <v>2096</v>
      </c>
      <c r="CI103" s="452">
        <f t="shared" ref="CI103:CK103" si="902">CH103+1</f>
        <v>2097</v>
      </c>
      <c r="CJ103" s="452">
        <f t="shared" si="902"/>
        <v>2098</v>
      </c>
      <c r="CK103" s="452">
        <f t="shared" si="902"/>
        <v>2099</v>
      </c>
      <c r="CL103" s="452">
        <f>CG103+5</f>
        <v>2100</v>
      </c>
      <c r="CN103" s="452" t="s">
        <v>409</v>
      </c>
      <c r="CO103" s="452" t="s">
        <v>411</v>
      </c>
      <c r="CP103" s="452" t="s">
        <v>410</v>
      </c>
    </row>
    <row r="104" spans="1:94" hidden="1" outlineLevel="1">
      <c r="A104" s="389" t="s">
        <v>414</v>
      </c>
      <c r="B104" s="389" t="s">
        <v>120</v>
      </c>
      <c r="C104" s="389"/>
      <c r="D104" s="389"/>
      <c r="E104" s="409">
        <f t="shared" ref="E104:AJ104" ca="1" si="903">E75+E59+E43+E27+E11</f>
        <v>949.99347881860001</v>
      </c>
      <c r="F104" s="390">
        <f t="shared" ca="1" si="903"/>
        <v>997.67848085539993</v>
      </c>
      <c r="G104" s="390">
        <f t="shared" ca="1" si="903"/>
        <v>1045.3634828922</v>
      </c>
      <c r="H104" s="390">
        <f t="shared" ca="1" si="903"/>
        <v>1093.0484849290001</v>
      </c>
      <c r="I104" s="390">
        <f t="shared" ca="1" si="903"/>
        <v>1113.2430097929002</v>
      </c>
      <c r="J104" s="390" t="e">
        <f t="shared" ca="1" si="903"/>
        <v>#N/A</v>
      </c>
      <c r="K104" s="390" t="e">
        <f t="shared" ca="1" si="903"/>
        <v>#N/A</v>
      </c>
      <c r="L104" s="390" t="e">
        <f t="shared" ca="1" si="903"/>
        <v>#N/A</v>
      </c>
      <c r="M104" s="390">
        <f t="shared" ca="1" si="903"/>
        <v>1095.5032268106504</v>
      </c>
      <c r="N104" s="390">
        <f t="shared" ca="1" si="903"/>
        <v>1091.0682810650885</v>
      </c>
      <c r="O104" s="390">
        <f t="shared" ca="1" si="903"/>
        <v>1086.6333353195259</v>
      </c>
      <c r="P104" s="390">
        <f t="shared" ca="1" si="903"/>
        <v>1082.1983895739638</v>
      </c>
      <c r="Q104" s="390">
        <f t="shared" ca="1" si="903"/>
        <v>1077.7634438284013</v>
      </c>
      <c r="R104" s="390">
        <f t="shared" ca="1" si="903"/>
        <v>1073.3284980828385</v>
      </c>
      <c r="S104" s="390">
        <f t="shared" ca="1" si="903"/>
        <v>1068.8935523372763</v>
      </c>
      <c r="T104" s="390">
        <f t="shared" ca="1" si="903"/>
        <v>1064.4586065917129</v>
      </c>
      <c r="U104" s="390">
        <f t="shared" ca="1" si="903"/>
        <v>1053.2736495455192</v>
      </c>
      <c r="V104" s="390">
        <f t="shared" ca="1" si="903"/>
        <v>1006.6285652598915</v>
      </c>
      <c r="W104" s="390">
        <f t="shared" ca="1" si="903"/>
        <v>963.95113701174796</v>
      </c>
      <c r="X104" s="390">
        <f t="shared" ca="1" si="903"/>
        <v>920.60826820254408</v>
      </c>
      <c r="Y104" s="390">
        <f t="shared" ca="1" si="903"/>
        <v>858.84756126518107</v>
      </c>
      <c r="Z104" s="390">
        <f t="shared" ca="1" si="903"/>
        <v>795.40212499321615</v>
      </c>
      <c r="AA104" s="390">
        <f t="shared" ca="1" si="903"/>
        <v>731.61083873248515</v>
      </c>
      <c r="AB104" s="390">
        <f t="shared" ca="1" si="903"/>
        <v>667.75401808030836</v>
      </c>
      <c r="AC104" s="390">
        <f t="shared" ca="1" si="903"/>
        <v>604.10737387225402</v>
      </c>
      <c r="AD104" s="390">
        <f t="shared" ca="1" si="903"/>
        <v>540.86370582476513</v>
      </c>
      <c r="AE104" s="390">
        <f t="shared" ca="1" si="903"/>
        <v>485.07628547795809</v>
      </c>
      <c r="AF104" s="390">
        <f t="shared" ca="1" si="903"/>
        <v>429.8218466035184</v>
      </c>
      <c r="AG104" s="390">
        <f t="shared" ca="1" si="903"/>
        <v>374.96371349977562</v>
      </c>
      <c r="AH104" s="390">
        <f t="shared" ca="1" si="903"/>
        <v>320.29348720302181</v>
      </c>
      <c r="AI104" s="390">
        <f t="shared" ca="1" si="903"/>
        <v>265.55951632767113</v>
      </c>
      <c r="AJ104" s="390">
        <f t="shared" ca="1" si="903"/>
        <v>209.909031952828</v>
      </c>
      <c r="AK104" s="390">
        <f t="shared" ref="AK104:BP104" ca="1" si="904">AK75+AK59+AK43+AK27+AK11</f>
        <v>153.6697949241011</v>
      </c>
      <c r="AL104" s="390">
        <f t="shared" ca="1" si="904"/>
        <v>96.612789693395285</v>
      </c>
      <c r="AM104" s="390">
        <f t="shared" ca="1" si="904"/>
        <v>77.623954873889332</v>
      </c>
      <c r="AN104" s="390">
        <f t="shared" ca="1" si="904"/>
        <v>69.472519533170157</v>
      </c>
      <c r="AO104" s="390">
        <f t="shared" ca="1" si="904"/>
        <v>0</v>
      </c>
      <c r="AP104" s="390">
        <f t="shared" ca="1" si="904"/>
        <v>0</v>
      </c>
      <c r="AQ104" s="390">
        <f t="shared" ca="1" si="904"/>
        <v>0</v>
      </c>
      <c r="AR104" s="390">
        <f t="shared" ca="1" si="904"/>
        <v>0</v>
      </c>
      <c r="AS104" s="390">
        <f t="shared" ca="1" si="904"/>
        <v>0</v>
      </c>
      <c r="AT104" s="390">
        <f t="shared" ca="1" si="904"/>
        <v>0</v>
      </c>
      <c r="AU104" s="390">
        <f t="shared" ca="1" si="904"/>
        <v>0</v>
      </c>
      <c r="AV104" s="390">
        <f t="shared" ca="1" si="904"/>
        <v>0</v>
      </c>
      <c r="AW104" s="390">
        <f t="shared" ca="1" si="904"/>
        <v>0</v>
      </c>
      <c r="AX104" s="390">
        <f t="shared" ca="1" si="904"/>
        <v>0</v>
      </c>
      <c r="AY104" s="390">
        <f t="shared" ca="1" si="904"/>
        <v>0</v>
      </c>
      <c r="AZ104" s="390">
        <f t="shared" ca="1" si="904"/>
        <v>0</v>
      </c>
      <c r="BA104" s="390">
        <f t="shared" ca="1" si="904"/>
        <v>0</v>
      </c>
      <c r="BB104" s="390">
        <f t="shared" ca="1" si="904"/>
        <v>0</v>
      </c>
      <c r="BC104" s="390">
        <f t="shared" ca="1" si="904"/>
        <v>0</v>
      </c>
      <c r="BD104" s="390">
        <f t="shared" ca="1" si="904"/>
        <v>0</v>
      </c>
      <c r="BE104" s="390">
        <f t="shared" ca="1" si="904"/>
        <v>0</v>
      </c>
      <c r="BF104" s="390">
        <f t="shared" ca="1" si="904"/>
        <v>0</v>
      </c>
      <c r="BG104" s="390">
        <f t="shared" ca="1" si="904"/>
        <v>0</v>
      </c>
      <c r="BH104" s="390">
        <f t="shared" ca="1" si="904"/>
        <v>0</v>
      </c>
      <c r="BI104" s="390">
        <f t="shared" ca="1" si="904"/>
        <v>0</v>
      </c>
      <c r="BJ104" s="390">
        <f t="shared" ca="1" si="904"/>
        <v>0</v>
      </c>
      <c r="BK104" s="390">
        <f t="shared" ca="1" si="904"/>
        <v>0</v>
      </c>
      <c r="BL104" s="390">
        <f t="shared" ca="1" si="904"/>
        <v>0</v>
      </c>
      <c r="BM104" s="390">
        <f t="shared" ca="1" si="904"/>
        <v>0</v>
      </c>
      <c r="BN104" s="390">
        <f t="shared" ca="1" si="904"/>
        <v>0</v>
      </c>
      <c r="BO104" s="390">
        <f t="shared" ca="1" si="904"/>
        <v>0</v>
      </c>
      <c r="BP104" s="390">
        <f t="shared" ca="1" si="904"/>
        <v>0</v>
      </c>
      <c r="BQ104" s="390">
        <f t="shared" ref="BQ104:CL104" ca="1" si="905">BQ75+BQ59+BQ43+BQ27+BQ11</f>
        <v>0</v>
      </c>
      <c r="BR104" s="390">
        <f t="shared" ca="1" si="905"/>
        <v>0</v>
      </c>
      <c r="BS104" s="390">
        <f t="shared" ca="1" si="905"/>
        <v>0</v>
      </c>
      <c r="BT104" s="390">
        <f t="shared" ca="1" si="905"/>
        <v>0</v>
      </c>
      <c r="BU104" s="390">
        <f t="shared" ca="1" si="905"/>
        <v>0</v>
      </c>
      <c r="BV104" s="390">
        <f t="shared" ca="1" si="905"/>
        <v>0</v>
      </c>
      <c r="BW104" s="390">
        <f t="shared" ca="1" si="905"/>
        <v>0</v>
      </c>
      <c r="BX104" s="390">
        <f t="shared" ca="1" si="905"/>
        <v>0</v>
      </c>
      <c r="BY104" s="390">
        <f t="shared" ca="1" si="905"/>
        <v>0</v>
      </c>
      <c r="BZ104" s="390">
        <f t="shared" ca="1" si="905"/>
        <v>0</v>
      </c>
      <c r="CA104" s="390">
        <f t="shared" ca="1" si="905"/>
        <v>0</v>
      </c>
      <c r="CB104" s="390">
        <f t="shared" ca="1" si="905"/>
        <v>0</v>
      </c>
      <c r="CC104" s="390">
        <f t="shared" ca="1" si="905"/>
        <v>0</v>
      </c>
      <c r="CD104" s="390">
        <f t="shared" ca="1" si="905"/>
        <v>0</v>
      </c>
      <c r="CE104" s="390">
        <f t="shared" ca="1" si="905"/>
        <v>0</v>
      </c>
      <c r="CF104" s="390">
        <f t="shared" ca="1" si="905"/>
        <v>0</v>
      </c>
      <c r="CG104" s="390">
        <f t="shared" ca="1" si="905"/>
        <v>0</v>
      </c>
      <c r="CH104" s="390">
        <f t="shared" ca="1" si="905"/>
        <v>0</v>
      </c>
      <c r="CI104" s="390">
        <f t="shared" ca="1" si="905"/>
        <v>0</v>
      </c>
      <c r="CJ104" s="390">
        <f t="shared" ca="1" si="905"/>
        <v>0</v>
      </c>
      <c r="CK104" s="390">
        <f t="shared" ca="1" si="905"/>
        <v>0</v>
      </c>
      <c r="CL104" s="390">
        <f t="shared" ca="1" si="905"/>
        <v>0</v>
      </c>
      <c r="CN104" s="443">
        <f ca="1">IFERROR((Y104/H104)^(1/17)-1,"")</f>
        <v>-1.4084252228389937E-2</v>
      </c>
      <c r="CO104" s="443">
        <f ca="1">IFERROR((AN104/Y104)^(1/15)-1,"")</f>
        <v>-0.15434517556056093</v>
      </c>
      <c r="CP104" s="443">
        <f ca="1">IFERROR((AN104/H104)^(1/32)-1,"")</f>
        <v>-8.2514571074564391E-2</v>
      </c>
    </row>
    <row r="105" spans="1:94" hidden="1" outlineLevel="1">
      <c r="A105" s="393" t="s">
        <v>414</v>
      </c>
      <c r="B105" s="393" t="s">
        <v>121</v>
      </c>
      <c r="C105" s="393"/>
      <c r="D105" s="393"/>
      <c r="E105" s="453">
        <f t="shared" ref="E105:AJ105" ca="1" si="906">E76+E60+E44+E28+E12</f>
        <v>899.81883773080006</v>
      </c>
      <c r="F105" s="454">
        <f t="shared" ca="1" si="906"/>
        <v>964.17298304620022</v>
      </c>
      <c r="G105" s="454">
        <f t="shared" ca="1" si="906"/>
        <v>1028.5271283616003</v>
      </c>
      <c r="H105" s="454">
        <f t="shared" ca="1" si="906"/>
        <v>1092.8812736770001</v>
      </c>
      <c r="I105" s="454">
        <f t="shared" ca="1" si="906"/>
        <v>1124.000086751</v>
      </c>
      <c r="J105" s="454" t="e">
        <f t="shared" ca="1" si="906"/>
        <v>#N/A</v>
      </c>
      <c r="K105" s="454" t="e">
        <f t="shared" ca="1" si="906"/>
        <v>#N/A</v>
      </c>
      <c r="L105" s="454" t="e">
        <f t="shared" ca="1" si="906"/>
        <v>#N/A</v>
      </c>
      <c r="M105" s="454">
        <f t="shared" ca="1" si="906"/>
        <v>1270.1152075829791</v>
      </c>
      <c r="N105" s="454">
        <f t="shared" ca="1" si="906"/>
        <v>1306.6439877909738</v>
      </c>
      <c r="O105" s="454">
        <f t="shared" ca="1" si="906"/>
        <v>1343.1727679989683</v>
      </c>
      <c r="P105" s="454">
        <f t="shared" ca="1" si="906"/>
        <v>1379.7015482069633</v>
      </c>
      <c r="Q105" s="454">
        <f t="shared" ca="1" si="906"/>
        <v>1416.2303284149582</v>
      </c>
      <c r="R105" s="454">
        <f t="shared" ca="1" si="906"/>
        <v>1452.7591086229527</v>
      </c>
      <c r="S105" s="454">
        <f t="shared" ca="1" si="906"/>
        <v>1489.2878888309474</v>
      </c>
      <c r="T105" s="454">
        <f t="shared" ca="1" si="906"/>
        <v>1525.816669038943</v>
      </c>
      <c r="U105" s="454">
        <f t="shared" ca="1" si="906"/>
        <v>1572.1377357616541</v>
      </c>
      <c r="V105" s="454">
        <f t="shared" ca="1" si="906"/>
        <v>1623.0949782422222</v>
      </c>
      <c r="W105" s="454">
        <f t="shared" ca="1" si="906"/>
        <v>1669.6982090799022</v>
      </c>
      <c r="X105" s="454">
        <f t="shared" ca="1" si="906"/>
        <v>1717.6681797745171</v>
      </c>
      <c r="Y105" s="454">
        <f t="shared" ca="1" si="906"/>
        <v>1767.0814182841009</v>
      </c>
      <c r="Z105" s="454">
        <f t="shared" ca="1" si="906"/>
        <v>1817.9882010080339</v>
      </c>
      <c r="AA105" s="454">
        <f t="shared" ca="1" si="906"/>
        <v>1870.3398237668148</v>
      </c>
      <c r="AB105" s="454">
        <f t="shared" ca="1" si="906"/>
        <v>1924.192884699529</v>
      </c>
      <c r="AC105" s="454">
        <f t="shared" ca="1" si="906"/>
        <v>1979.6060344982193</v>
      </c>
      <c r="AD105" s="454">
        <f t="shared" ca="1" si="906"/>
        <v>2036.640336048745</v>
      </c>
      <c r="AE105" s="454">
        <f t="shared" ca="1" si="906"/>
        <v>2095.3594697893323</v>
      </c>
      <c r="AF105" s="454">
        <f t="shared" ca="1" si="906"/>
        <v>2155.8368351720501</v>
      </c>
      <c r="AG105" s="454">
        <f t="shared" ca="1" si="906"/>
        <v>2218.1481983749632</v>
      </c>
      <c r="AH105" s="454">
        <f t="shared" ca="1" si="906"/>
        <v>2282.3724956549986</v>
      </c>
      <c r="AI105" s="454">
        <f t="shared" ca="1" si="906"/>
        <v>2348.5919159208902</v>
      </c>
      <c r="AJ105" s="454">
        <f t="shared" ca="1" si="906"/>
        <v>2416.892038697004</v>
      </c>
      <c r="AK105" s="454">
        <f t="shared" ref="AK105:BP105" ca="1" si="907">AK76+AK60+AK44+AK28+AK12</f>
        <v>2487.3622843037538</v>
      </c>
      <c r="AL105" s="454">
        <f t="shared" ca="1" si="907"/>
        <v>2560.0960676552872</v>
      </c>
      <c r="AM105" s="454">
        <f t="shared" ca="1" si="907"/>
        <v>2635.1911878960382</v>
      </c>
      <c r="AN105" s="454">
        <f t="shared" ca="1" si="907"/>
        <v>2712.8821705533592</v>
      </c>
      <c r="AO105" s="454">
        <f t="shared" ca="1" si="907"/>
        <v>0</v>
      </c>
      <c r="AP105" s="454">
        <f t="shared" ca="1" si="907"/>
        <v>0</v>
      </c>
      <c r="AQ105" s="454">
        <f t="shared" ca="1" si="907"/>
        <v>0</v>
      </c>
      <c r="AR105" s="454">
        <f t="shared" ca="1" si="907"/>
        <v>0</v>
      </c>
      <c r="AS105" s="454">
        <f t="shared" ca="1" si="907"/>
        <v>0</v>
      </c>
      <c r="AT105" s="454">
        <f t="shared" ca="1" si="907"/>
        <v>0</v>
      </c>
      <c r="AU105" s="454">
        <f t="shared" ca="1" si="907"/>
        <v>0</v>
      </c>
      <c r="AV105" s="454">
        <f t="shared" ca="1" si="907"/>
        <v>0</v>
      </c>
      <c r="AW105" s="454">
        <f t="shared" ca="1" si="907"/>
        <v>0</v>
      </c>
      <c r="AX105" s="454">
        <f t="shared" ca="1" si="907"/>
        <v>0</v>
      </c>
      <c r="AY105" s="454">
        <f t="shared" ca="1" si="907"/>
        <v>0</v>
      </c>
      <c r="AZ105" s="454">
        <f t="shared" ca="1" si="907"/>
        <v>0</v>
      </c>
      <c r="BA105" s="454">
        <f t="shared" ca="1" si="907"/>
        <v>0</v>
      </c>
      <c r="BB105" s="454">
        <f t="shared" ca="1" si="907"/>
        <v>0</v>
      </c>
      <c r="BC105" s="454">
        <f t="shared" ca="1" si="907"/>
        <v>0</v>
      </c>
      <c r="BD105" s="454">
        <f t="shared" ca="1" si="907"/>
        <v>0</v>
      </c>
      <c r="BE105" s="454">
        <f t="shared" ca="1" si="907"/>
        <v>0</v>
      </c>
      <c r="BF105" s="454">
        <f t="shared" ca="1" si="907"/>
        <v>0</v>
      </c>
      <c r="BG105" s="454">
        <f t="shared" ca="1" si="907"/>
        <v>0</v>
      </c>
      <c r="BH105" s="454">
        <f t="shared" ca="1" si="907"/>
        <v>0</v>
      </c>
      <c r="BI105" s="454">
        <f t="shared" ca="1" si="907"/>
        <v>0</v>
      </c>
      <c r="BJ105" s="454">
        <f t="shared" ca="1" si="907"/>
        <v>0</v>
      </c>
      <c r="BK105" s="454">
        <f t="shared" ca="1" si="907"/>
        <v>0</v>
      </c>
      <c r="BL105" s="454">
        <f t="shared" ca="1" si="907"/>
        <v>0</v>
      </c>
      <c r="BM105" s="454">
        <f t="shared" ca="1" si="907"/>
        <v>0</v>
      </c>
      <c r="BN105" s="454">
        <f t="shared" ca="1" si="907"/>
        <v>0</v>
      </c>
      <c r="BO105" s="454">
        <f t="shared" ca="1" si="907"/>
        <v>0</v>
      </c>
      <c r="BP105" s="454">
        <f t="shared" ca="1" si="907"/>
        <v>0</v>
      </c>
      <c r="BQ105" s="454">
        <f t="shared" ref="BQ105:CL105" ca="1" si="908">BQ76+BQ60+BQ44+BQ28+BQ12</f>
        <v>0</v>
      </c>
      <c r="BR105" s="454">
        <f t="shared" ca="1" si="908"/>
        <v>0</v>
      </c>
      <c r="BS105" s="454">
        <f t="shared" ca="1" si="908"/>
        <v>0</v>
      </c>
      <c r="BT105" s="454">
        <f t="shared" ca="1" si="908"/>
        <v>0</v>
      </c>
      <c r="BU105" s="454">
        <f t="shared" ca="1" si="908"/>
        <v>0</v>
      </c>
      <c r="BV105" s="454">
        <f t="shared" ca="1" si="908"/>
        <v>0</v>
      </c>
      <c r="BW105" s="454">
        <f t="shared" ca="1" si="908"/>
        <v>0</v>
      </c>
      <c r="BX105" s="454">
        <f t="shared" ca="1" si="908"/>
        <v>0</v>
      </c>
      <c r="BY105" s="454">
        <f t="shared" ca="1" si="908"/>
        <v>0</v>
      </c>
      <c r="BZ105" s="454">
        <f t="shared" ca="1" si="908"/>
        <v>0</v>
      </c>
      <c r="CA105" s="454">
        <f t="shared" ca="1" si="908"/>
        <v>0</v>
      </c>
      <c r="CB105" s="454">
        <f t="shared" ca="1" si="908"/>
        <v>0</v>
      </c>
      <c r="CC105" s="454">
        <f t="shared" ca="1" si="908"/>
        <v>0</v>
      </c>
      <c r="CD105" s="454">
        <f t="shared" ca="1" si="908"/>
        <v>0</v>
      </c>
      <c r="CE105" s="454">
        <f t="shared" ca="1" si="908"/>
        <v>0</v>
      </c>
      <c r="CF105" s="454">
        <f t="shared" ca="1" si="908"/>
        <v>0</v>
      </c>
      <c r="CG105" s="454">
        <f t="shared" ca="1" si="908"/>
        <v>0</v>
      </c>
      <c r="CH105" s="454">
        <f t="shared" ca="1" si="908"/>
        <v>0</v>
      </c>
      <c r="CI105" s="454">
        <f t="shared" ca="1" si="908"/>
        <v>0</v>
      </c>
      <c r="CJ105" s="454">
        <f t="shared" ca="1" si="908"/>
        <v>0</v>
      </c>
      <c r="CK105" s="454">
        <f t="shared" ca="1" si="908"/>
        <v>0</v>
      </c>
      <c r="CL105" s="454">
        <f t="shared" ca="1" si="908"/>
        <v>0</v>
      </c>
      <c r="CN105" s="443">
        <f ca="1">IFERROR((Y105/H105)^(1/17)-1,"")</f>
        <v>2.8668650224529468E-2</v>
      </c>
      <c r="CO105" s="443">
        <f ca="1">IFERROR((AN105/Y105)^(1/15)-1,"")</f>
        <v>2.8991114906675497E-2</v>
      </c>
      <c r="CP105" s="443">
        <f ca="1">IFERROR((AN105/H105)^(1/32)-1,"")</f>
        <v>2.8819792959971169E-2</v>
      </c>
    </row>
    <row r="106" spans="1:94" hidden="1" outlineLevel="1">
      <c r="A106" s="389" t="s">
        <v>414</v>
      </c>
      <c r="B106" s="389" t="s">
        <v>122</v>
      </c>
      <c r="C106" s="389"/>
      <c r="D106" s="389"/>
      <c r="E106" s="409">
        <f t="shared" ref="E106:AJ106" ca="1" si="909">(E104/E105)*1000</f>
        <v>1055.7608253838432</v>
      </c>
      <c r="F106" s="390">
        <f t="shared" ca="1" si="909"/>
        <v>1034.7505047313634</v>
      </c>
      <c r="G106" s="390">
        <f t="shared" ca="1" si="909"/>
        <v>1016.3693830394336</v>
      </c>
      <c r="H106" s="390">
        <f t="shared" ca="1" si="909"/>
        <v>1000.1530003816767</v>
      </c>
      <c r="I106" s="390">
        <f t="shared" ca="1" si="909"/>
        <v>990.42964757307641</v>
      </c>
      <c r="J106" s="390" t="e">
        <f t="shared" ca="1" si="909"/>
        <v>#N/A</v>
      </c>
      <c r="K106" s="390" t="e">
        <f t="shared" ca="1" si="909"/>
        <v>#N/A</v>
      </c>
      <c r="L106" s="390" t="e">
        <f t="shared" ca="1" si="909"/>
        <v>#N/A</v>
      </c>
      <c r="M106" s="390">
        <f t="shared" ca="1" si="909"/>
        <v>862.52272256103902</v>
      </c>
      <c r="N106" s="390">
        <f t="shared" ca="1" si="909"/>
        <v>835.01572827779978</v>
      </c>
      <c r="O106" s="390">
        <f t="shared" ca="1" si="909"/>
        <v>809.00488843171706</v>
      </c>
      <c r="P106" s="390">
        <f t="shared" ca="1" si="909"/>
        <v>784.3713671122357</v>
      </c>
      <c r="Q106" s="390">
        <f t="shared" ca="1" si="909"/>
        <v>761.00858893103327</v>
      </c>
      <c r="R106" s="390">
        <f t="shared" ca="1" si="909"/>
        <v>738.82069760363061</v>
      </c>
      <c r="S106" s="390">
        <f t="shared" ca="1" si="909"/>
        <v>717.72124137552089</v>
      </c>
      <c r="T106" s="390">
        <f t="shared" ca="1" si="909"/>
        <v>697.63204727746029</v>
      </c>
      <c r="U106" s="390">
        <f t="shared" ca="1" si="909"/>
        <v>669.96270465783289</v>
      </c>
      <c r="V106" s="390">
        <f t="shared" ca="1" si="909"/>
        <v>620.19079521153424</v>
      </c>
      <c r="W106" s="390">
        <f t="shared" ca="1" si="909"/>
        <v>577.32057911407799</v>
      </c>
      <c r="X106" s="390">
        <f t="shared" ca="1" si="909"/>
        <v>535.96397665315942</v>
      </c>
      <c r="Y106" s="390">
        <f t="shared" ca="1" si="909"/>
        <v>486.02602708547113</v>
      </c>
      <c r="Z106" s="390">
        <f t="shared" ca="1" si="909"/>
        <v>437.51775976993878</v>
      </c>
      <c r="AA106" s="390">
        <f t="shared" ca="1" si="909"/>
        <v>391.16465865493916</v>
      </c>
      <c r="AB106" s="390">
        <f t="shared" ca="1" si="909"/>
        <v>347.03070746703287</v>
      </c>
      <c r="AC106" s="390">
        <f t="shared" ca="1" si="909"/>
        <v>305.16545380474156</v>
      </c>
      <c r="AD106" s="390">
        <f t="shared" ca="1" si="909"/>
        <v>265.56662767176977</v>
      </c>
      <c r="AE106" s="390">
        <f t="shared" ca="1" si="909"/>
        <v>231.50027118102449</v>
      </c>
      <c r="AF106" s="390">
        <f t="shared" ca="1" si="909"/>
        <v>199.37587093376467</v>
      </c>
      <c r="AG106" s="390">
        <f t="shared" ca="1" si="909"/>
        <v>169.04358048505401</v>
      </c>
      <c r="AH106" s="390">
        <f t="shared" ca="1" si="909"/>
        <v>140.33357298721896</v>
      </c>
      <c r="AI106" s="390">
        <f t="shared" ca="1" si="909"/>
        <v>113.07180039557635</v>
      </c>
      <c r="AJ106" s="390">
        <f t="shared" ca="1" si="909"/>
        <v>86.850810293534778</v>
      </c>
      <c r="AK106" s="390">
        <f t="shared" ref="AK106:BP106" ca="1" si="910">(AK104/AK105)*1000</f>
        <v>61.780222323792024</v>
      </c>
      <c r="AL106" s="390">
        <f t="shared" ca="1" si="910"/>
        <v>37.737954803344529</v>
      </c>
      <c r="AM106" s="390">
        <f t="shared" ca="1" si="910"/>
        <v>29.456669113964757</v>
      </c>
      <c r="AN106" s="390">
        <f t="shared" ca="1" si="910"/>
        <v>25.608380742536831</v>
      </c>
      <c r="AO106" s="390" t="e">
        <f t="shared" ca="1" si="910"/>
        <v>#DIV/0!</v>
      </c>
      <c r="AP106" s="390" t="e">
        <f t="shared" ca="1" si="910"/>
        <v>#DIV/0!</v>
      </c>
      <c r="AQ106" s="390" t="e">
        <f t="shared" ca="1" si="910"/>
        <v>#DIV/0!</v>
      </c>
      <c r="AR106" s="390" t="e">
        <f t="shared" ca="1" si="910"/>
        <v>#DIV/0!</v>
      </c>
      <c r="AS106" s="390" t="e">
        <f t="shared" ca="1" si="910"/>
        <v>#DIV/0!</v>
      </c>
      <c r="AT106" s="390" t="e">
        <f t="shared" ca="1" si="910"/>
        <v>#DIV/0!</v>
      </c>
      <c r="AU106" s="390" t="e">
        <f t="shared" ca="1" si="910"/>
        <v>#DIV/0!</v>
      </c>
      <c r="AV106" s="390" t="e">
        <f t="shared" ca="1" si="910"/>
        <v>#DIV/0!</v>
      </c>
      <c r="AW106" s="390" t="e">
        <f t="shared" ca="1" si="910"/>
        <v>#DIV/0!</v>
      </c>
      <c r="AX106" s="390" t="e">
        <f t="shared" ca="1" si="910"/>
        <v>#DIV/0!</v>
      </c>
      <c r="AY106" s="390" t="e">
        <f t="shared" ca="1" si="910"/>
        <v>#DIV/0!</v>
      </c>
      <c r="AZ106" s="390" t="e">
        <f t="shared" ca="1" si="910"/>
        <v>#DIV/0!</v>
      </c>
      <c r="BA106" s="390" t="e">
        <f t="shared" ca="1" si="910"/>
        <v>#DIV/0!</v>
      </c>
      <c r="BB106" s="390" t="e">
        <f t="shared" ca="1" si="910"/>
        <v>#DIV/0!</v>
      </c>
      <c r="BC106" s="390" t="e">
        <f t="shared" ca="1" si="910"/>
        <v>#DIV/0!</v>
      </c>
      <c r="BD106" s="390" t="e">
        <f t="shared" ca="1" si="910"/>
        <v>#DIV/0!</v>
      </c>
      <c r="BE106" s="390" t="e">
        <f t="shared" ca="1" si="910"/>
        <v>#DIV/0!</v>
      </c>
      <c r="BF106" s="390" t="e">
        <f t="shared" ca="1" si="910"/>
        <v>#DIV/0!</v>
      </c>
      <c r="BG106" s="390" t="e">
        <f t="shared" ca="1" si="910"/>
        <v>#DIV/0!</v>
      </c>
      <c r="BH106" s="390" t="e">
        <f t="shared" ca="1" si="910"/>
        <v>#DIV/0!</v>
      </c>
      <c r="BI106" s="390" t="e">
        <f t="shared" ca="1" si="910"/>
        <v>#DIV/0!</v>
      </c>
      <c r="BJ106" s="390" t="e">
        <f t="shared" ca="1" si="910"/>
        <v>#DIV/0!</v>
      </c>
      <c r="BK106" s="390" t="e">
        <f t="shared" ca="1" si="910"/>
        <v>#DIV/0!</v>
      </c>
      <c r="BL106" s="390" t="e">
        <f t="shared" ca="1" si="910"/>
        <v>#DIV/0!</v>
      </c>
      <c r="BM106" s="390" t="e">
        <f t="shared" ca="1" si="910"/>
        <v>#DIV/0!</v>
      </c>
      <c r="BN106" s="390" t="e">
        <f t="shared" ca="1" si="910"/>
        <v>#DIV/0!</v>
      </c>
      <c r="BO106" s="390" t="e">
        <f t="shared" ca="1" si="910"/>
        <v>#DIV/0!</v>
      </c>
      <c r="BP106" s="390" t="e">
        <f t="shared" ca="1" si="910"/>
        <v>#DIV/0!</v>
      </c>
      <c r="BQ106" s="390" t="e">
        <f t="shared" ref="BQ106:CL106" ca="1" si="911">(BQ104/BQ105)*1000</f>
        <v>#DIV/0!</v>
      </c>
      <c r="BR106" s="390" t="e">
        <f t="shared" ca="1" si="911"/>
        <v>#DIV/0!</v>
      </c>
      <c r="BS106" s="390" t="e">
        <f t="shared" ca="1" si="911"/>
        <v>#DIV/0!</v>
      </c>
      <c r="BT106" s="390" t="e">
        <f t="shared" ca="1" si="911"/>
        <v>#DIV/0!</v>
      </c>
      <c r="BU106" s="390" t="e">
        <f t="shared" ca="1" si="911"/>
        <v>#DIV/0!</v>
      </c>
      <c r="BV106" s="390" t="e">
        <f t="shared" ca="1" si="911"/>
        <v>#DIV/0!</v>
      </c>
      <c r="BW106" s="390" t="e">
        <f t="shared" ca="1" si="911"/>
        <v>#DIV/0!</v>
      </c>
      <c r="BX106" s="390" t="e">
        <f t="shared" ca="1" si="911"/>
        <v>#DIV/0!</v>
      </c>
      <c r="BY106" s="390" t="e">
        <f t="shared" ca="1" si="911"/>
        <v>#DIV/0!</v>
      </c>
      <c r="BZ106" s="390" t="e">
        <f t="shared" ca="1" si="911"/>
        <v>#DIV/0!</v>
      </c>
      <c r="CA106" s="390" t="e">
        <f t="shared" ca="1" si="911"/>
        <v>#DIV/0!</v>
      </c>
      <c r="CB106" s="390" t="e">
        <f t="shared" ca="1" si="911"/>
        <v>#DIV/0!</v>
      </c>
      <c r="CC106" s="390" t="e">
        <f t="shared" ca="1" si="911"/>
        <v>#DIV/0!</v>
      </c>
      <c r="CD106" s="390" t="e">
        <f t="shared" ca="1" si="911"/>
        <v>#DIV/0!</v>
      </c>
      <c r="CE106" s="390" t="e">
        <f t="shared" ca="1" si="911"/>
        <v>#DIV/0!</v>
      </c>
      <c r="CF106" s="390" t="e">
        <f t="shared" ca="1" si="911"/>
        <v>#DIV/0!</v>
      </c>
      <c r="CG106" s="390" t="e">
        <f t="shared" ca="1" si="911"/>
        <v>#DIV/0!</v>
      </c>
      <c r="CH106" s="390" t="e">
        <f t="shared" ca="1" si="911"/>
        <v>#DIV/0!</v>
      </c>
      <c r="CI106" s="390" t="e">
        <f t="shared" ca="1" si="911"/>
        <v>#DIV/0!</v>
      </c>
      <c r="CJ106" s="390" t="e">
        <f t="shared" ca="1" si="911"/>
        <v>#DIV/0!</v>
      </c>
      <c r="CK106" s="390" t="e">
        <f t="shared" ca="1" si="911"/>
        <v>#DIV/0!</v>
      </c>
      <c r="CL106" s="390" t="e">
        <f t="shared" ca="1" si="911"/>
        <v>#DIV/0!</v>
      </c>
      <c r="CN106" s="391">
        <f ca="1">IFERROR((Y106/H106)^(1/17)-1,"")</f>
        <v>-4.1561393402615776E-2</v>
      </c>
      <c r="CO106" s="391">
        <f ca="1">IFERROR((AN106/Y106)^(1/15)-1,"")</f>
        <v>-0.17817091694116738</v>
      </c>
      <c r="CP106" s="391">
        <f ca="1">IFERROR((AN106/H106)^(1/32)-1,"")</f>
        <v>-0.10821561248760636</v>
      </c>
    </row>
    <row r="107" spans="1:94" hidden="1" outlineLevel="1">
      <c r="A107" s="400" t="s">
        <v>414</v>
      </c>
      <c r="B107" s="400" t="s">
        <v>427</v>
      </c>
      <c r="C107" s="400"/>
      <c r="D107" s="400"/>
      <c r="E107" s="413">
        <f ca="1">IF($B$6="ON", IF(E110&gt;=covid_start, IF(E110&lt;covid_recovery,NA(),SUMIFS(INDIRECT("Data_main"&amp;"["&amp;E$8&amp;"]"),Data_main[Data],$A113, Data_main[Segment],"Total", Data_main[Scenario],$B$3)),SUMIFS(INDIRECT("Data_main"&amp;"["&amp;E$8&amp;"]"),Data_main[Data],$A113, Data_main[Segment],"Total", Data_main[Scenario],$B$3)),SUMIFS(INDIRECT("Data_main"&amp;"["&amp;E$8&amp;"]"),Data_main[Data],$A113, Data_main[Segment],"Total", Data_main[Scenario],$B$3))</f>
        <v>1055.7608253838434</v>
      </c>
      <c r="F107" s="407">
        <f ca="1">IF($B$6="ON", IF(F110&gt;=covid_start, IF(F110&lt;covid_recovery,NA(),SUMIFS(INDIRECT("Data_main"&amp;"["&amp;F$8&amp;"]"),Data_main[Data],$A113, Data_main[Segment],"Total", Data_main[Scenario],$B$3)),SUMIFS(INDIRECT("Data_main"&amp;"["&amp;F$8&amp;"]"),Data_main[Data],$A113, Data_main[Segment],"Total", Data_main[Scenario],$B$3)),SUMIFS(INDIRECT("Data_main"&amp;"["&amp;F$8&amp;"]"),Data_main[Data],$A113, Data_main[Segment],"Total", Data_main[Scenario],$B$3))</f>
        <v>1034.7505047313637</v>
      </c>
      <c r="G107" s="407">
        <f ca="1">IF($B$6="ON", IF(G110&gt;=covid_start, IF(G110&lt;covid_recovery,NA(),SUMIFS(INDIRECT("Data_main"&amp;"["&amp;G$8&amp;"]"),Data_main[Data],$A113, Data_main[Segment],"Total", Data_main[Scenario],$B$3)),SUMIFS(INDIRECT("Data_main"&amp;"["&amp;G$8&amp;"]"),Data_main[Data],$A113, Data_main[Segment],"Total", Data_main[Scenario],$B$3)),SUMIFS(INDIRECT("Data_main"&amp;"["&amp;G$8&amp;"]"),Data_main[Data],$A113, Data_main[Segment],"Total", Data_main[Scenario],$B$3))</f>
        <v>1016.3693830394336</v>
      </c>
      <c r="H107" s="407">
        <f ca="1">IF($B$6="ON", IF(H110&gt;=covid_start, IF(H110&lt;covid_recovery,NA(),SUMIFS(INDIRECT("Data_main"&amp;"["&amp;H$8&amp;"]"),Data_main[Data],$A113, Data_main[Segment],"Total", Data_main[Scenario],$B$3)),SUMIFS(INDIRECT("Data_main"&amp;"["&amp;H$8&amp;"]"),Data_main[Data],$A113, Data_main[Segment],"Total", Data_main[Scenario],$B$3)),SUMIFS(INDIRECT("Data_main"&amp;"["&amp;H$8&amp;"]"),Data_main[Data],$A113, Data_main[Segment],"Total", Data_main[Scenario],$B$3))</f>
        <v>1000.1530003816767</v>
      </c>
      <c r="I107" s="407">
        <f ca="1">IF($B$6="ON", IF(I110&gt;=covid_start, IF(I110&lt;covid_recovery,NA(),SUMIFS(INDIRECT("Data_main"&amp;"["&amp;I$8&amp;"]"),Data_main[Data],$A113, Data_main[Segment],"Total", Data_main[Scenario],$B$3)),SUMIFS(INDIRECT("Data_main"&amp;"["&amp;I$8&amp;"]"),Data_main[Data],$A113, Data_main[Segment],"Total", Data_main[Scenario],$B$3)),SUMIFS(INDIRECT("Data_main"&amp;"["&amp;I$8&amp;"]"),Data_main[Data],$A113, Data_main[Segment],"Total", Data_main[Scenario],$B$3))</f>
        <v>990.42964757307641</v>
      </c>
      <c r="J107" s="407" t="e">
        <f ca="1">IF($B$6="ON", IF(J110&gt;=covid_start, IF(J110&lt;covid_recovery,NA(),SUMIFS(INDIRECT("Data_main"&amp;"["&amp;J$8&amp;"]"),Data_main[Data],$A113, Data_main[Segment],"Total", Data_main[Scenario],$B$3)),SUMIFS(INDIRECT("Data_main"&amp;"["&amp;J$8&amp;"]"),Data_main[Data],$A113, Data_main[Segment],"Total", Data_main[Scenario],$B$3)),SUMIFS(INDIRECT("Data_main"&amp;"["&amp;J$8&amp;"]"),Data_main[Data],$A113, Data_main[Segment],"Total", Data_main[Scenario],$B$3))</f>
        <v>#N/A</v>
      </c>
      <c r="K107" s="407" t="e">
        <f ca="1">IF($B$6="ON", IF(K110&gt;=covid_start, IF(K110&lt;covid_recovery,NA(),SUMIFS(INDIRECT("Data_main"&amp;"["&amp;K$8&amp;"]"),Data_main[Data],$A113, Data_main[Segment],"Total", Data_main[Scenario],$B$3)),SUMIFS(INDIRECT("Data_main"&amp;"["&amp;K$8&amp;"]"),Data_main[Data],$A113, Data_main[Segment],"Total", Data_main[Scenario],$B$3)),SUMIFS(INDIRECT("Data_main"&amp;"["&amp;K$8&amp;"]"),Data_main[Data],$A113, Data_main[Segment],"Total", Data_main[Scenario],$B$3))</f>
        <v>#N/A</v>
      </c>
      <c r="L107" s="407" t="e">
        <f ca="1">IF($B$6="ON", IF(L110&gt;=covid_start, IF(L110&lt;covid_recovery,NA(),SUMIFS(INDIRECT("Data_main"&amp;"["&amp;L$8&amp;"]"),Data_main[Data],$A113, Data_main[Segment],"Total", Data_main[Scenario],$B$3)),SUMIFS(INDIRECT("Data_main"&amp;"["&amp;L$8&amp;"]"),Data_main[Data],$A113, Data_main[Segment],"Total", Data_main[Scenario],$B$3)),SUMIFS(INDIRECT("Data_main"&amp;"["&amp;L$8&amp;"]"),Data_main[Data],$A113, Data_main[Segment],"Total", Data_main[Scenario],$B$3))</f>
        <v>#N/A</v>
      </c>
      <c r="M107" s="407">
        <f ca="1">IF($B$6="ON", IF(M110&gt;=covid_start, IF(M110&lt;covid_recovery,NA(),SUMIFS(INDIRECT("Data_main"&amp;"["&amp;M$8&amp;"]"),Data_main[Data],$A113, Data_main[Segment],"Total", Data_main[Scenario],$B$3)),SUMIFS(INDIRECT("Data_main"&amp;"["&amp;M$8&amp;"]"),Data_main[Data],$A113, Data_main[Segment],"Total", Data_main[Scenario],$B$3)),SUMIFS(INDIRECT("Data_main"&amp;"["&amp;M$8&amp;"]"),Data_main[Data],$A113, Data_main[Segment],"Total", Data_main[Scenario],$B$3))</f>
        <v>862.52272256103902</v>
      </c>
      <c r="N107" s="407">
        <f ca="1">IF($B$6="ON", IF(N110&gt;=covid_start, IF(N110&lt;covid_recovery,NA(),SUMIFS(INDIRECT("Data_main"&amp;"["&amp;N$8&amp;"]"),Data_main[Data],$A113, Data_main[Segment],"Total", Data_main[Scenario],$B$3)),SUMIFS(INDIRECT("Data_main"&amp;"["&amp;N$8&amp;"]"),Data_main[Data],$A113, Data_main[Segment],"Total", Data_main[Scenario],$B$3)),SUMIFS(INDIRECT("Data_main"&amp;"["&amp;N$8&amp;"]"),Data_main[Data],$A113, Data_main[Segment],"Total", Data_main[Scenario],$B$3))</f>
        <v>835.01572827779955</v>
      </c>
      <c r="O107" s="407">
        <f ca="1">IF($B$6="ON", IF(O110&gt;=covid_start, IF(O110&lt;covid_recovery,NA(),SUMIFS(INDIRECT("Data_main"&amp;"["&amp;O$8&amp;"]"),Data_main[Data],$A113, Data_main[Segment],"Total", Data_main[Scenario],$B$3)),SUMIFS(INDIRECT("Data_main"&amp;"["&amp;O$8&amp;"]"),Data_main[Data],$A113, Data_main[Segment],"Total", Data_main[Scenario],$B$3)),SUMIFS(INDIRECT("Data_main"&amp;"["&amp;O$8&amp;"]"),Data_main[Data],$A113, Data_main[Segment],"Total", Data_main[Scenario],$B$3))</f>
        <v>809.00488843171695</v>
      </c>
      <c r="P107" s="407">
        <f ca="1">IF($B$6="ON", IF(P110&gt;=covid_start, IF(P110&lt;covid_recovery,NA(),SUMIFS(INDIRECT("Data_main"&amp;"["&amp;P$8&amp;"]"),Data_main[Data],$A113, Data_main[Segment],"Total", Data_main[Scenario],$B$3)),SUMIFS(INDIRECT("Data_main"&amp;"["&amp;P$8&amp;"]"),Data_main[Data],$A113, Data_main[Segment],"Total", Data_main[Scenario],$B$3)),SUMIFS(INDIRECT("Data_main"&amp;"["&amp;P$8&amp;"]"),Data_main[Data],$A113, Data_main[Segment],"Total", Data_main[Scenario],$B$3))</f>
        <v>784.37136711223548</v>
      </c>
      <c r="Q107" s="407">
        <f ca="1">IF($B$6="ON", IF(Q110&gt;=covid_start, IF(Q110&lt;covid_recovery,NA(),SUMIFS(INDIRECT("Data_main"&amp;"["&amp;Q$8&amp;"]"),Data_main[Data],$A113, Data_main[Segment],"Total", Data_main[Scenario],$B$3)),SUMIFS(INDIRECT("Data_main"&amp;"["&amp;Q$8&amp;"]"),Data_main[Data],$A113, Data_main[Segment],"Total", Data_main[Scenario],$B$3)),SUMIFS(INDIRECT("Data_main"&amp;"["&amp;Q$8&amp;"]"),Data_main[Data],$A113, Data_main[Segment],"Total", Data_main[Scenario],$B$3))</f>
        <v>761.00858893103339</v>
      </c>
      <c r="R107" s="407">
        <f ca="1">IF($B$6="ON", IF(R110&gt;=covid_start, IF(R110&lt;covid_recovery,NA(),SUMIFS(INDIRECT("Data_main"&amp;"["&amp;R$8&amp;"]"),Data_main[Data],$A113, Data_main[Segment],"Total", Data_main[Scenario],$B$3)),SUMIFS(INDIRECT("Data_main"&amp;"["&amp;R$8&amp;"]"),Data_main[Data],$A113, Data_main[Segment],"Total", Data_main[Scenario],$B$3)),SUMIFS(INDIRECT("Data_main"&amp;"["&amp;R$8&amp;"]"),Data_main[Data],$A113, Data_main[Segment],"Total", Data_main[Scenario],$B$3))</f>
        <v>738.82069760363083</v>
      </c>
      <c r="S107" s="407">
        <f ca="1">IF($B$6="ON", IF(S110&gt;=covid_start, IF(S110&lt;covid_recovery,NA(),SUMIFS(INDIRECT("Data_main"&amp;"["&amp;S$8&amp;"]"),Data_main[Data],$A113, Data_main[Segment],"Total", Data_main[Scenario],$B$3)),SUMIFS(INDIRECT("Data_main"&amp;"["&amp;S$8&amp;"]"),Data_main[Data],$A113, Data_main[Segment],"Total", Data_main[Scenario],$B$3)),SUMIFS(INDIRECT("Data_main"&amp;"["&amp;S$8&amp;"]"),Data_main[Data],$A113, Data_main[Segment],"Total", Data_main[Scenario],$B$3))</f>
        <v>717.72124137552078</v>
      </c>
      <c r="T107" s="407">
        <f ca="1">IF($B$6="ON", IF(T110&gt;=covid_start, IF(T110&lt;covid_recovery,NA(),SUMIFS(INDIRECT("Data_main"&amp;"["&amp;T$8&amp;"]"),Data_main[Data],$A113, Data_main[Segment],"Total", Data_main[Scenario],$B$3)),SUMIFS(INDIRECT("Data_main"&amp;"["&amp;T$8&amp;"]"),Data_main[Data],$A113, Data_main[Segment],"Total", Data_main[Scenario],$B$3)),SUMIFS(INDIRECT("Data_main"&amp;"["&amp;T$8&amp;"]"),Data_main[Data],$A113, Data_main[Segment],"Total", Data_main[Scenario],$B$3))</f>
        <v>697.6320472774604</v>
      </c>
      <c r="U107" s="407">
        <f ca="1">IF($B$6="ON", IF(U110&gt;=covid_start, IF(U110&lt;covid_recovery,NA(),SUMIFS(INDIRECT("Data_main"&amp;"["&amp;U$8&amp;"]"),Data_main[Data],$A113, Data_main[Segment],"Total", Data_main[Scenario],$B$3)),SUMIFS(INDIRECT("Data_main"&amp;"["&amp;U$8&amp;"]"),Data_main[Data],$A113, Data_main[Segment],"Total", Data_main[Scenario],$B$3)),SUMIFS(INDIRECT("Data_main"&amp;"["&amp;U$8&amp;"]"),Data_main[Data],$A113, Data_main[Segment],"Total", Data_main[Scenario],$B$3))</f>
        <v>669.962704657833</v>
      </c>
      <c r="V107" s="407">
        <f ca="1">IF($B$6="ON", IF(V110&gt;=covid_start, IF(V110&lt;covid_recovery,NA(),SUMIFS(INDIRECT("Data_main"&amp;"["&amp;V$8&amp;"]"),Data_main[Data],$A113, Data_main[Segment],"Total", Data_main[Scenario],$B$3)),SUMIFS(INDIRECT("Data_main"&amp;"["&amp;V$8&amp;"]"),Data_main[Data],$A113, Data_main[Segment],"Total", Data_main[Scenario],$B$3)),SUMIFS(INDIRECT("Data_main"&amp;"["&amp;V$8&amp;"]"),Data_main[Data],$A113, Data_main[Segment],"Total", Data_main[Scenario],$B$3))</f>
        <v>620.19079521153435</v>
      </c>
      <c r="W107" s="407">
        <f ca="1">IF($B$6="ON", IF(W110&gt;=covid_start, IF(W110&lt;covid_recovery,NA(),SUMIFS(INDIRECT("Data_main"&amp;"["&amp;W$8&amp;"]"),Data_main[Data],$A113, Data_main[Segment],"Total", Data_main[Scenario],$B$3)),SUMIFS(INDIRECT("Data_main"&amp;"["&amp;W$8&amp;"]"),Data_main[Data],$A113, Data_main[Segment],"Total", Data_main[Scenario],$B$3)),SUMIFS(INDIRECT("Data_main"&amp;"["&amp;W$8&amp;"]"),Data_main[Data],$A113, Data_main[Segment],"Total", Data_main[Scenario],$B$3))</f>
        <v>577.3205791140781</v>
      </c>
      <c r="X107" s="407">
        <f ca="1">IF($B$6="ON", IF(X110&gt;=covid_start, IF(X110&lt;covid_recovery,NA(),SUMIFS(INDIRECT("Data_main"&amp;"["&amp;X$8&amp;"]"),Data_main[Data],$A113, Data_main[Segment],"Total", Data_main[Scenario],$B$3)),SUMIFS(INDIRECT("Data_main"&amp;"["&amp;X$8&amp;"]"),Data_main[Data],$A113, Data_main[Segment],"Total", Data_main[Scenario],$B$3)),SUMIFS(INDIRECT("Data_main"&amp;"["&amp;X$8&amp;"]"),Data_main[Data],$A113, Data_main[Segment],"Total", Data_main[Scenario],$B$3))</f>
        <v>535.96397665315942</v>
      </c>
      <c r="Y107" s="407">
        <f ca="1">IF($B$6="ON", IF(Y110&gt;=covid_start, IF(Y110&lt;covid_recovery,NA(),SUMIFS(INDIRECT("Data_main"&amp;"["&amp;Y$8&amp;"]"),Data_main[Data],$A113, Data_main[Segment],"Total", Data_main[Scenario],$B$3)),SUMIFS(INDIRECT("Data_main"&amp;"["&amp;Y$8&amp;"]"),Data_main[Data],$A113, Data_main[Segment],"Total", Data_main[Scenario],$B$3)),SUMIFS(INDIRECT("Data_main"&amp;"["&amp;Y$8&amp;"]"),Data_main[Data],$A113, Data_main[Segment],"Total", Data_main[Scenario],$B$3))</f>
        <v>486.02602708547118</v>
      </c>
      <c r="Z107" s="407">
        <f ca="1">IF($B$6="ON", IF(Z110&gt;=covid_start, IF(Z110&lt;covid_recovery,NA(),SUMIFS(INDIRECT("Data_main"&amp;"["&amp;Z$8&amp;"]"),Data_main[Data],$A113, Data_main[Segment],"Total", Data_main[Scenario],$B$3)),SUMIFS(INDIRECT("Data_main"&amp;"["&amp;Z$8&amp;"]"),Data_main[Data],$A113, Data_main[Segment],"Total", Data_main[Scenario],$B$3)),SUMIFS(INDIRECT("Data_main"&amp;"["&amp;Z$8&amp;"]"),Data_main[Data],$A113, Data_main[Segment],"Total", Data_main[Scenario],$B$3))</f>
        <v>437.51775976993872</v>
      </c>
      <c r="AA107" s="407">
        <f ca="1">IF($B$6="ON", IF(AA110&gt;=covid_start, IF(AA110&lt;covid_recovery,NA(),SUMIFS(INDIRECT("Data_main"&amp;"["&amp;AA$8&amp;"]"),Data_main[Data],$A113, Data_main[Segment],"Total", Data_main[Scenario],$B$3)),SUMIFS(INDIRECT("Data_main"&amp;"["&amp;AA$8&amp;"]"),Data_main[Data],$A113, Data_main[Segment],"Total", Data_main[Scenario],$B$3)),SUMIFS(INDIRECT("Data_main"&amp;"["&amp;AA$8&amp;"]"),Data_main[Data],$A113, Data_main[Segment],"Total", Data_main[Scenario],$B$3))</f>
        <v>391.1646586549391</v>
      </c>
      <c r="AB107" s="407">
        <f ca="1">IF($B$6="ON", IF(AB110&gt;=covid_start, IF(AB110&lt;covid_recovery,NA(),SUMIFS(INDIRECT("Data_main"&amp;"["&amp;AB$8&amp;"]"),Data_main[Data],$A113, Data_main[Segment],"Total", Data_main[Scenario],$B$3)),SUMIFS(INDIRECT("Data_main"&amp;"["&amp;AB$8&amp;"]"),Data_main[Data],$A113, Data_main[Segment],"Total", Data_main[Scenario],$B$3)),SUMIFS(INDIRECT("Data_main"&amp;"["&amp;AB$8&amp;"]"),Data_main[Data],$A113, Data_main[Segment],"Total", Data_main[Scenario],$B$3))</f>
        <v>347.03070746703281</v>
      </c>
      <c r="AC107" s="407">
        <f ca="1">IF($B$6="ON", IF(AC110&gt;=covid_start, IF(AC110&lt;covid_recovery,NA(),SUMIFS(INDIRECT("Data_main"&amp;"["&amp;AC$8&amp;"]"),Data_main[Data],$A113, Data_main[Segment],"Total", Data_main[Scenario],$B$3)),SUMIFS(INDIRECT("Data_main"&amp;"["&amp;AC$8&amp;"]"),Data_main[Data],$A113, Data_main[Segment],"Total", Data_main[Scenario],$B$3)),SUMIFS(INDIRECT("Data_main"&amp;"["&amp;AC$8&amp;"]"),Data_main[Data],$A113, Data_main[Segment],"Total", Data_main[Scenario],$B$3))</f>
        <v>305.16545380474156</v>
      </c>
      <c r="AD107" s="407">
        <f ca="1">IF($B$6="ON", IF(AD110&gt;=covid_start, IF(AD110&lt;covid_recovery,NA(),SUMIFS(INDIRECT("Data_main"&amp;"["&amp;AD$8&amp;"]"),Data_main[Data],$A113, Data_main[Segment],"Total", Data_main[Scenario],$B$3)),SUMIFS(INDIRECT("Data_main"&amp;"["&amp;AD$8&amp;"]"),Data_main[Data],$A113, Data_main[Segment],"Total", Data_main[Scenario],$B$3)),SUMIFS(INDIRECT("Data_main"&amp;"["&amp;AD$8&amp;"]"),Data_main[Data],$A113, Data_main[Segment],"Total", Data_main[Scenario],$B$3))</f>
        <v>265.56662767176977</v>
      </c>
      <c r="AE107" s="407">
        <f ca="1">IF($B$6="ON", IF(AE110&gt;=covid_start, IF(AE110&lt;covid_recovery,NA(),SUMIFS(INDIRECT("Data_main"&amp;"["&amp;AE$8&amp;"]"),Data_main[Data],$A113, Data_main[Segment],"Total", Data_main[Scenario],$B$3)),SUMIFS(INDIRECT("Data_main"&amp;"["&amp;AE$8&amp;"]"),Data_main[Data],$A113, Data_main[Segment],"Total", Data_main[Scenario],$B$3)),SUMIFS(INDIRECT("Data_main"&amp;"["&amp;AE$8&amp;"]"),Data_main[Data],$A113, Data_main[Segment],"Total", Data_main[Scenario],$B$3))</f>
        <v>231.50027118102449</v>
      </c>
      <c r="AF107" s="407">
        <f ca="1">IF($B$6="ON", IF(AF110&gt;=covid_start, IF(AF110&lt;covid_recovery,NA(),SUMIFS(INDIRECT("Data_main"&amp;"["&amp;AF$8&amp;"]"),Data_main[Data],$A113, Data_main[Segment],"Total", Data_main[Scenario],$B$3)),SUMIFS(INDIRECT("Data_main"&amp;"["&amp;AF$8&amp;"]"),Data_main[Data],$A113, Data_main[Segment],"Total", Data_main[Scenario],$B$3)),SUMIFS(INDIRECT("Data_main"&amp;"["&amp;AF$8&amp;"]"),Data_main[Data],$A113, Data_main[Segment],"Total", Data_main[Scenario],$B$3))</f>
        <v>199.37587093376467</v>
      </c>
      <c r="AG107" s="407">
        <f ca="1">IF($B$6="ON", IF(AG110&gt;=covid_start, IF(AG110&lt;covid_recovery,NA(),SUMIFS(INDIRECT("Data_main"&amp;"["&amp;AG$8&amp;"]"),Data_main[Data],$A113, Data_main[Segment],"Total", Data_main[Scenario],$B$3)),SUMIFS(INDIRECT("Data_main"&amp;"["&amp;AG$8&amp;"]"),Data_main[Data],$A113, Data_main[Segment],"Total", Data_main[Scenario],$B$3)),SUMIFS(INDIRECT("Data_main"&amp;"["&amp;AG$8&amp;"]"),Data_main[Data],$A113, Data_main[Segment],"Total", Data_main[Scenario],$B$3))</f>
        <v>169.04358048505401</v>
      </c>
      <c r="AH107" s="407">
        <f ca="1">IF($B$6="ON", IF(AH110&gt;=covid_start, IF(AH110&lt;covid_recovery,NA(),SUMIFS(INDIRECT("Data_main"&amp;"["&amp;AH$8&amp;"]"),Data_main[Data],$A113, Data_main[Segment],"Total", Data_main[Scenario],$B$3)),SUMIFS(INDIRECT("Data_main"&amp;"["&amp;AH$8&amp;"]"),Data_main[Data],$A113, Data_main[Segment],"Total", Data_main[Scenario],$B$3)),SUMIFS(INDIRECT("Data_main"&amp;"["&amp;AH$8&amp;"]"),Data_main[Data],$A113, Data_main[Segment],"Total", Data_main[Scenario],$B$3))</f>
        <v>140.33357298721896</v>
      </c>
      <c r="AI107" s="407">
        <f ca="1">IF($B$6="ON", IF(AI110&gt;=covid_start, IF(AI110&lt;covid_recovery,NA(),SUMIFS(INDIRECT("Data_main"&amp;"["&amp;AI$8&amp;"]"),Data_main[Data],$A113, Data_main[Segment],"Total", Data_main[Scenario],$B$3)),SUMIFS(INDIRECT("Data_main"&amp;"["&amp;AI$8&amp;"]"),Data_main[Data],$A113, Data_main[Segment],"Total", Data_main[Scenario],$B$3)),SUMIFS(INDIRECT("Data_main"&amp;"["&amp;AI$8&amp;"]"),Data_main[Data],$A113, Data_main[Segment],"Total", Data_main[Scenario],$B$3))</f>
        <v>113.07180039557635</v>
      </c>
      <c r="AJ107" s="407">
        <f ca="1">IF($B$6="ON", IF(AJ110&gt;=covid_start, IF(AJ110&lt;covid_recovery,NA(),SUMIFS(INDIRECT("Data_main"&amp;"["&amp;AJ$8&amp;"]"),Data_main[Data],$A113, Data_main[Segment],"Total", Data_main[Scenario],$B$3)),SUMIFS(INDIRECT("Data_main"&amp;"["&amp;AJ$8&amp;"]"),Data_main[Data],$A113, Data_main[Segment],"Total", Data_main[Scenario],$B$3)),SUMIFS(INDIRECT("Data_main"&amp;"["&amp;AJ$8&amp;"]"),Data_main[Data],$A113, Data_main[Segment],"Total", Data_main[Scenario],$B$3))</f>
        <v>86.850810293534778</v>
      </c>
      <c r="AK107" s="407">
        <f ca="1">IF($B$6="ON", IF(AK110&gt;=covid_start, IF(AK110&lt;covid_recovery,NA(),SUMIFS(INDIRECT("Data_main"&amp;"["&amp;AK$8&amp;"]"),Data_main[Data],$A113, Data_main[Segment],"Total", Data_main[Scenario],$B$3)),SUMIFS(INDIRECT("Data_main"&amp;"["&amp;AK$8&amp;"]"),Data_main[Data],$A113, Data_main[Segment],"Total", Data_main[Scenario],$B$3)),SUMIFS(INDIRECT("Data_main"&amp;"["&amp;AK$8&amp;"]"),Data_main[Data],$A113, Data_main[Segment],"Total", Data_main[Scenario],$B$3))</f>
        <v>61.780222323792017</v>
      </c>
      <c r="AL107" s="407">
        <f ca="1">IF($B$6="ON", IF(AL110&gt;=covid_start, IF(AL110&lt;covid_recovery,NA(),SUMIFS(INDIRECT("Data_main"&amp;"["&amp;AL$8&amp;"]"),Data_main[Data],$A113, Data_main[Segment],"Total", Data_main[Scenario],$B$3)),SUMIFS(INDIRECT("Data_main"&amp;"["&amp;AL$8&amp;"]"),Data_main[Data],$A113, Data_main[Segment],"Total", Data_main[Scenario],$B$3)),SUMIFS(INDIRECT("Data_main"&amp;"["&amp;AL$8&amp;"]"),Data_main[Data],$A113, Data_main[Segment],"Total", Data_main[Scenario],$B$3))</f>
        <v>37.737954803344536</v>
      </c>
      <c r="AM107" s="407">
        <f ca="1">IF($B$6="ON", IF(AM110&gt;=covid_start, IF(AM110&lt;covid_recovery,NA(),SUMIFS(INDIRECT("Data_main"&amp;"["&amp;AM$8&amp;"]"),Data_main[Data],$A113, Data_main[Segment],"Total", Data_main[Scenario],$B$3)),SUMIFS(INDIRECT("Data_main"&amp;"["&amp;AM$8&amp;"]"),Data_main[Data],$A113, Data_main[Segment],"Total", Data_main[Scenario],$B$3)),SUMIFS(INDIRECT("Data_main"&amp;"["&amp;AM$8&amp;"]"),Data_main[Data],$A113, Data_main[Segment],"Total", Data_main[Scenario],$B$3))</f>
        <v>29.456669113964765</v>
      </c>
      <c r="AN107" s="407">
        <f ca="1">IF($B$6="ON", IF(AN110&gt;=covid_start, IF(AN110&lt;covid_recovery,NA(),SUMIFS(INDIRECT("Data_main"&amp;"["&amp;AN$8&amp;"]"),Data_main[Data],$A113, Data_main[Segment],"Total", Data_main[Scenario],$B$3)),SUMIFS(INDIRECT("Data_main"&amp;"["&amp;AN$8&amp;"]"),Data_main[Data],$A113, Data_main[Segment],"Total", Data_main[Scenario],$B$3)),SUMIFS(INDIRECT("Data_main"&amp;"["&amp;AN$8&amp;"]"),Data_main[Data],$A113, Data_main[Segment],"Total", Data_main[Scenario],$B$3))</f>
        <v>25.608380742536831</v>
      </c>
      <c r="AO107" s="407">
        <f ca="1">IF($B$6="ON", IF(AO110&gt;=covid_start, IF(AO110&lt;covid_recovery,NA(),SUMIFS(INDIRECT("Data_main"&amp;"["&amp;AO$8&amp;"]"),Data_main[Data],$A113, Data_main[Segment],"Total", Data_main[Scenario],$B$3)),SUMIFS(INDIRECT("Data_main"&amp;"["&amp;AO$8&amp;"]"),Data_main[Data],$A113, Data_main[Segment],"Total", Data_main[Scenario],$B$3)),SUMIFS(INDIRECT("Data_main"&amp;"["&amp;AO$8&amp;"]"),Data_main[Data],$A113, Data_main[Segment],"Total", Data_main[Scenario],$B$3))</f>
        <v>0</v>
      </c>
      <c r="AP107" s="407">
        <f ca="1">IF($B$6="ON", IF(AP110&gt;=covid_start, IF(AP110&lt;covid_recovery,NA(),SUMIFS(INDIRECT("Data_main"&amp;"["&amp;AP$8&amp;"]"),Data_main[Data],$A113, Data_main[Segment],"Total", Data_main[Scenario],$B$3)),SUMIFS(INDIRECT("Data_main"&amp;"["&amp;AP$8&amp;"]"),Data_main[Data],$A113, Data_main[Segment],"Total", Data_main[Scenario],$B$3)),SUMIFS(INDIRECT("Data_main"&amp;"["&amp;AP$8&amp;"]"),Data_main[Data],$A113, Data_main[Segment],"Total", Data_main[Scenario],$B$3))</f>
        <v>0</v>
      </c>
      <c r="AQ107" s="407">
        <f ca="1">IF($B$6="ON", IF(AQ110&gt;=covid_start, IF(AQ110&lt;covid_recovery,NA(),SUMIFS(INDIRECT("Data_main"&amp;"["&amp;AQ$8&amp;"]"),Data_main[Data],$A113, Data_main[Segment],"Total", Data_main[Scenario],$B$3)),SUMIFS(INDIRECT("Data_main"&amp;"["&amp;AQ$8&amp;"]"),Data_main[Data],$A113, Data_main[Segment],"Total", Data_main[Scenario],$B$3)),SUMIFS(INDIRECT("Data_main"&amp;"["&amp;AQ$8&amp;"]"),Data_main[Data],$A113, Data_main[Segment],"Total", Data_main[Scenario],$B$3))</f>
        <v>0</v>
      </c>
      <c r="AR107" s="407">
        <f ca="1">IF($B$6="ON", IF(AR110&gt;=covid_start, IF(AR110&lt;covid_recovery,NA(),SUMIFS(INDIRECT("Data_main"&amp;"["&amp;AR$8&amp;"]"),Data_main[Data],$A113, Data_main[Segment],"Total", Data_main[Scenario],$B$3)),SUMIFS(INDIRECT("Data_main"&amp;"["&amp;AR$8&amp;"]"),Data_main[Data],$A113, Data_main[Segment],"Total", Data_main[Scenario],$B$3)),SUMIFS(INDIRECT("Data_main"&amp;"["&amp;AR$8&amp;"]"),Data_main[Data],$A113, Data_main[Segment],"Total", Data_main[Scenario],$B$3))</f>
        <v>0</v>
      </c>
      <c r="AS107" s="407">
        <f ca="1">IF($B$6="ON", IF(AS110&gt;=covid_start, IF(AS110&lt;covid_recovery,NA(),SUMIFS(INDIRECT("Data_main"&amp;"["&amp;AS$8&amp;"]"),Data_main[Data],$A113, Data_main[Segment],"Total", Data_main[Scenario],$B$3)),SUMIFS(INDIRECT("Data_main"&amp;"["&amp;AS$8&amp;"]"),Data_main[Data],$A113, Data_main[Segment],"Total", Data_main[Scenario],$B$3)),SUMIFS(INDIRECT("Data_main"&amp;"["&amp;AS$8&amp;"]"),Data_main[Data],$A113, Data_main[Segment],"Total", Data_main[Scenario],$B$3))</f>
        <v>0</v>
      </c>
      <c r="AT107" s="407">
        <f ca="1">IF($B$6="ON", IF(AT110&gt;=covid_start, IF(AT110&lt;covid_recovery,NA(),SUMIFS(INDIRECT("Data_main"&amp;"["&amp;AT$8&amp;"]"),Data_main[Data],$A113, Data_main[Segment],"Total", Data_main[Scenario],$B$3)),SUMIFS(INDIRECT("Data_main"&amp;"["&amp;AT$8&amp;"]"),Data_main[Data],$A113, Data_main[Segment],"Total", Data_main[Scenario],$B$3)),SUMIFS(INDIRECT("Data_main"&amp;"["&amp;AT$8&amp;"]"),Data_main[Data],$A113, Data_main[Segment],"Total", Data_main[Scenario],$B$3))</f>
        <v>0</v>
      </c>
      <c r="AU107" s="407">
        <f ca="1">IF($B$6="ON", IF(AU110&gt;=covid_start, IF(AU110&lt;covid_recovery,NA(),SUMIFS(INDIRECT("Data_main"&amp;"["&amp;AU$8&amp;"]"),Data_main[Data],$A113, Data_main[Segment],"Total", Data_main[Scenario],$B$3)),SUMIFS(INDIRECT("Data_main"&amp;"["&amp;AU$8&amp;"]"),Data_main[Data],$A113, Data_main[Segment],"Total", Data_main[Scenario],$B$3)),SUMIFS(INDIRECT("Data_main"&amp;"["&amp;AU$8&amp;"]"),Data_main[Data],$A113, Data_main[Segment],"Total", Data_main[Scenario],$B$3))</f>
        <v>0</v>
      </c>
      <c r="AV107" s="407">
        <f ca="1">IF($B$6="ON", IF(AV110&gt;=covid_start, IF(AV110&lt;covid_recovery,NA(),SUMIFS(INDIRECT("Data_main"&amp;"["&amp;AV$8&amp;"]"),Data_main[Data],$A113, Data_main[Segment],"Total", Data_main[Scenario],$B$3)),SUMIFS(INDIRECT("Data_main"&amp;"["&amp;AV$8&amp;"]"),Data_main[Data],$A113, Data_main[Segment],"Total", Data_main[Scenario],$B$3)),SUMIFS(INDIRECT("Data_main"&amp;"["&amp;AV$8&amp;"]"),Data_main[Data],$A113, Data_main[Segment],"Total", Data_main[Scenario],$B$3))</f>
        <v>0</v>
      </c>
      <c r="AW107" s="407">
        <f ca="1">IF($B$6="ON", IF(AW110&gt;=covid_start, IF(AW110&lt;covid_recovery,NA(),SUMIFS(INDIRECT("Data_main"&amp;"["&amp;AW$8&amp;"]"),Data_main[Data],$A113, Data_main[Segment],"Total", Data_main[Scenario],$B$3)),SUMIFS(INDIRECT("Data_main"&amp;"["&amp;AW$8&amp;"]"),Data_main[Data],$A113, Data_main[Segment],"Total", Data_main[Scenario],$B$3)),SUMIFS(INDIRECT("Data_main"&amp;"["&amp;AW$8&amp;"]"),Data_main[Data],$A113, Data_main[Segment],"Total", Data_main[Scenario],$B$3))</f>
        <v>0</v>
      </c>
      <c r="AX107" s="407">
        <f ca="1">IF($B$6="ON", IF(AX110&gt;=covid_start, IF(AX110&lt;covid_recovery,NA(),SUMIFS(INDIRECT("Data_main"&amp;"["&amp;AX$8&amp;"]"),Data_main[Data],$A113, Data_main[Segment],"Total", Data_main[Scenario],$B$3)),SUMIFS(INDIRECT("Data_main"&amp;"["&amp;AX$8&amp;"]"),Data_main[Data],$A113, Data_main[Segment],"Total", Data_main[Scenario],$B$3)),SUMIFS(INDIRECT("Data_main"&amp;"["&amp;AX$8&amp;"]"),Data_main[Data],$A113, Data_main[Segment],"Total", Data_main[Scenario],$B$3))</f>
        <v>0</v>
      </c>
      <c r="AY107" s="407">
        <f ca="1">IF($B$6="ON", IF(AY110&gt;=covid_start, IF(AY110&lt;covid_recovery,NA(),SUMIFS(INDIRECT("Data_main"&amp;"["&amp;AY$8&amp;"]"),Data_main[Data],$A113, Data_main[Segment],"Total", Data_main[Scenario],$B$3)),SUMIFS(INDIRECT("Data_main"&amp;"["&amp;AY$8&amp;"]"),Data_main[Data],$A113, Data_main[Segment],"Total", Data_main[Scenario],$B$3)),SUMIFS(INDIRECT("Data_main"&amp;"["&amp;AY$8&amp;"]"),Data_main[Data],$A113, Data_main[Segment],"Total", Data_main[Scenario],$B$3))</f>
        <v>0</v>
      </c>
      <c r="AZ107" s="407">
        <f ca="1">IF($B$6="ON", IF(AZ110&gt;=covid_start, IF(AZ110&lt;covid_recovery,NA(),SUMIFS(INDIRECT("Data_main"&amp;"["&amp;AZ$8&amp;"]"),Data_main[Data],$A113, Data_main[Segment],"Total", Data_main[Scenario],$B$3)),SUMIFS(INDIRECT("Data_main"&amp;"["&amp;AZ$8&amp;"]"),Data_main[Data],$A113, Data_main[Segment],"Total", Data_main[Scenario],$B$3)),SUMIFS(INDIRECT("Data_main"&amp;"["&amp;AZ$8&amp;"]"),Data_main[Data],$A113, Data_main[Segment],"Total", Data_main[Scenario],$B$3))</f>
        <v>0</v>
      </c>
      <c r="BA107" s="407">
        <f ca="1">IF($B$6="ON", IF(BA110&gt;=covid_start, IF(BA110&lt;covid_recovery,NA(),SUMIFS(INDIRECT("Data_main"&amp;"["&amp;BA$8&amp;"]"),Data_main[Data],$A113, Data_main[Segment],"Total", Data_main[Scenario],$B$3)),SUMIFS(INDIRECT("Data_main"&amp;"["&amp;BA$8&amp;"]"),Data_main[Data],$A113, Data_main[Segment],"Total", Data_main[Scenario],$B$3)),SUMIFS(INDIRECT("Data_main"&amp;"["&amp;BA$8&amp;"]"),Data_main[Data],$A113, Data_main[Segment],"Total", Data_main[Scenario],$B$3))</f>
        <v>0</v>
      </c>
      <c r="BB107" s="407">
        <f ca="1">IF($B$6="ON", IF(BB110&gt;=covid_start, IF(BB110&lt;covid_recovery,NA(),SUMIFS(INDIRECT("Data_main"&amp;"["&amp;BB$8&amp;"]"),Data_main[Data],$A113, Data_main[Segment],"Total", Data_main[Scenario],$B$3)),SUMIFS(INDIRECT("Data_main"&amp;"["&amp;BB$8&amp;"]"),Data_main[Data],$A113, Data_main[Segment],"Total", Data_main[Scenario],$B$3)),SUMIFS(INDIRECT("Data_main"&amp;"["&amp;BB$8&amp;"]"),Data_main[Data],$A113, Data_main[Segment],"Total", Data_main[Scenario],$B$3))</f>
        <v>0</v>
      </c>
      <c r="BC107" s="407">
        <f ca="1">IF($B$6="ON", IF(BC110&gt;=covid_start, IF(BC110&lt;covid_recovery,NA(),SUMIFS(INDIRECT("Data_main"&amp;"["&amp;BC$8&amp;"]"),Data_main[Data],$A113, Data_main[Segment],"Total", Data_main[Scenario],$B$3)),SUMIFS(INDIRECT("Data_main"&amp;"["&amp;BC$8&amp;"]"),Data_main[Data],$A113, Data_main[Segment],"Total", Data_main[Scenario],$B$3)),SUMIFS(INDIRECT("Data_main"&amp;"["&amp;BC$8&amp;"]"),Data_main[Data],$A113, Data_main[Segment],"Total", Data_main[Scenario],$B$3))</f>
        <v>0</v>
      </c>
      <c r="BD107" s="407">
        <f ca="1">IF($B$6="ON", IF(BD110&gt;=covid_start, IF(BD110&lt;covid_recovery,NA(),SUMIFS(INDIRECT("Data_main"&amp;"["&amp;BD$8&amp;"]"),Data_main[Data],$A113, Data_main[Segment],"Total", Data_main[Scenario],$B$3)),SUMIFS(INDIRECT("Data_main"&amp;"["&amp;BD$8&amp;"]"),Data_main[Data],$A113, Data_main[Segment],"Total", Data_main[Scenario],$B$3)),SUMIFS(INDIRECT("Data_main"&amp;"["&amp;BD$8&amp;"]"),Data_main[Data],$A113, Data_main[Segment],"Total", Data_main[Scenario],$B$3))</f>
        <v>0</v>
      </c>
      <c r="BE107" s="407">
        <f ca="1">IF($B$6="ON", IF(BE110&gt;=covid_start, IF(BE110&lt;covid_recovery,NA(),SUMIFS(INDIRECT("Data_main"&amp;"["&amp;BE$8&amp;"]"),Data_main[Data],$A113, Data_main[Segment],"Total", Data_main[Scenario],$B$3)),SUMIFS(INDIRECT("Data_main"&amp;"["&amp;BE$8&amp;"]"),Data_main[Data],$A113, Data_main[Segment],"Total", Data_main[Scenario],$B$3)),SUMIFS(INDIRECT("Data_main"&amp;"["&amp;BE$8&amp;"]"),Data_main[Data],$A113, Data_main[Segment],"Total", Data_main[Scenario],$B$3))</f>
        <v>0</v>
      </c>
      <c r="BF107" s="407">
        <f ca="1">IF($B$6="ON", IF(BF110&gt;=covid_start, IF(BF110&lt;covid_recovery,NA(),SUMIFS(INDIRECT("Data_main"&amp;"["&amp;BF$8&amp;"]"),Data_main[Data],$A113, Data_main[Segment],"Total", Data_main[Scenario],$B$3)),SUMIFS(INDIRECT("Data_main"&amp;"["&amp;BF$8&amp;"]"),Data_main[Data],$A113, Data_main[Segment],"Total", Data_main[Scenario],$B$3)),SUMIFS(INDIRECT("Data_main"&amp;"["&amp;BF$8&amp;"]"),Data_main[Data],$A113, Data_main[Segment],"Total", Data_main[Scenario],$B$3))</f>
        <v>0</v>
      </c>
      <c r="BG107" s="407">
        <f ca="1">IF($B$6="ON", IF(BG110&gt;=covid_start, IF(BG110&lt;covid_recovery,NA(),SUMIFS(INDIRECT("Data_main"&amp;"["&amp;BG$8&amp;"]"),Data_main[Data],$A113, Data_main[Segment],"Total", Data_main[Scenario],$B$3)),SUMIFS(INDIRECT("Data_main"&amp;"["&amp;BG$8&amp;"]"),Data_main[Data],$A113, Data_main[Segment],"Total", Data_main[Scenario],$B$3)),SUMIFS(INDIRECT("Data_main"&amp;"["&amp;BG$8&amp;"]"),Data_main[Data],$A113, Data_main[Segment],"Total", Data_main[Scenario],$B$3))</f>
        <v>0</v>
      </c>
      <c r="BH107" s="407">
        <f ca="1">IF($B$6="ON", IF(BH110&gt;=covid_start, IF(BH110&lt;covid_recovery,NA(),SUMIFS(INDIRECT("Data_main"&amp;"["&amp;BH$8&amp;"]"),Data_main[Data],$A113, Data_main[Segment],"Total", Data_main[Scenario],$B$3)),SUMIFS(INDIRECT("Data_main"&amp;"["&amp;BH$8&amp;"]"),Data_main[Data],$A113, Data_main[Segment],"Total", Data_main[Scenario],$B$3)),SUMIFS(INDIRECT("Data_main"&amp;"["&amp;BH$8&amp;"]"),Data_main[Data],$A113, Data_main[Segment],"Total", Data_main[Scenario],$B$3))</f>
        <v>0</v>
      </c>
      <c r="BI107" s="407">
        <f ca="1">IF($B$6="ON", IF(BI110&gt;=covid_start, IF(BI110&lt;covid_recovery,NA(),SUMIFS(INDIRECT("Data_main"&amp;"["&amp;BI$8&amp;"]"),Data_main[Data],$A113, Data_main[Segment],"Total", Data_main[Scenario],$B$3)),SUMIFS(INDIRECT("Data_main"&amp;"["&amp;BI$8&amp;"]"),Data_main[Data],$A113, Data_main[Segment],"Total", Data_main[Scenario],$B$3)),SUMIFS(INDIRECT("Data_main"&amp;"["&amp;BI$8&amp;"]"),Data_main[Data],$A113, Data_main[Segment],"Total", Data_main[Scenario],$B$3))</f>
        <v>0</v>
      </c>
      <c r="BJ107" s="407">
        <f ca="1">IF($B$6="ON", IF(BJ110&gt;=covid_start, IF(BJ110&lt;covid_recovery,NA(),SUMIFS(INDIRECT("Data_main"&amp;"["&amp;BJ$8&amp;"]"),Data_main[Data],$A113, Data_main[Segment],"Total", Data_main[Scenario],$B$3)),SUMIFS(INDIRECT("Data_main"&amp;"["&amp;BJ$8&amp;"]"),Data_main[Data],$A113, Data_main[Segment],"Total", Data_main[Scenario],$B$3)),SUMIFS(INDIRECT("Data_main"&amp;"["&amp;BJ$8&amp;"]"),Data_main[Data],$A113, Data_main[Segment],"Total", Data_main[Scenario],$B$3))</f>
        <v>0</v>
      </c>
      <c r="BK107" s="407">
        <f ca="1">IF($B$6="ON", IF(BK110&gt;=covid_start, IF(BK110&lt;covid_recovery,NA(),SUMIFS(INDIRECT("Data_main"&amp;"["&amp;BK$8&amp;"]"),Data_main[Data],$A113, Data_main[Segment],"Total", Data_main[Scenario],$B$3)),SUMIFS(INDIRECT("Data_main"&amp;"["&amp;BK$8&amp;"]"),Data_main[Data],$A113, Data_main[Segment],"Total", Data_main[Scenario],$B$3)),SUMIFS(INDIRECT("Data_main"&amp;"["&amp;BK$8&amp;"]"),Data_main[Data],$A113, Data_main[Segment],"Total", Data_main[Scenario],$B$3))</f>
        <v>0</v>
      </c>
      <c r="BL107" s="407">
        <f ca="1">IF($B$6="ON", IF(BL110&gt;=covid_start, IF(BL110&lt;covid_recovery,NA(),SUMIFS(INDIRECT("Data_main"&amp;"["&amp;BL$8&amp;"]"),Data_main[Data],$A113, Data_main[Segment],"Total", Data_main[Scenario],$B$3)),SUMIFS(INDIRECT("Data_main"&amp;"["&amp;BL$8&amp;"]"),Data_main[Data],$A113, Data_main[Segment],"Total", Data_main[Scenario],$B$3)),SUMIFS(INDIRECT("Data_main"&amp;"["&amp;BL$8&amp;"]"),Data_main[Data],$A113, Data_main[Segment],"Total", Data_main[Scenario],$B$3))</f>
        <v>0</v>
      </c>
      <c r="BM107" s="407">
        <f ca="1">IF($B$6="ON", IF(BM110&gt;=covid_start, IF(BM110&lt;covid_recovery,NA(),SUMIFS(INDIRECT("Data_main"&amp;"["&amp;BM$8&amp;"]"),Data_main[Data],$A113, Data_main[Segment],"Total", Data_main[Scenario],$B$3)),SUMIFS(INDIRECT("Data_main"&amp;"["&amp;BM$8&amp;"]"),Data_main[Data],$A113, Data_main[Segment],"Total", Data_main[Scenario],$B$3)),SUMIFS(INDIRECT("Data_main"&amp;"["&amp;BM$8&amp;"]"),Data_main[Data],$A113, Data_main[Segment],"Total", Data_main[Scenario],$B$3))</f>
        <v>0</v>
      </c>
      <c r="BN107" s="407">
        <f ca="1">IF($B$6="ON", IF(BN110&gt;=covid_start, IF(BN110&lt;covid_recovery,NA(),SUMIFS(INDIRECT("Data_main"&amp;"["&amp;BN$8&amp;"]"),Data_main[Data],$A113, Data_main[Segment],"Total", Data_main[Scenario],$B$3)),SUMIFS(INDIRECT("Data_main"&amp;"["&amp;BN$8&amp;"]"),Data_main[Data],$A113, Data_main[Segment],"Total", Data_main[Scenario],$B$3)),SUMIFS(INDIRECT("Data_main"&amp;"["&amp;BN$8&amp;"]"),Data_main[Data],$A113, Data_main[Segment],"Total", Data_main[Scenario],$B$3))</f>
        <v>0</v>
      </c>
      <c r="BO107" s="407">
        <f ca="1">IF($B$6="ON", IF(BO110&gt;=covid_start, IF(BO110&lt;covid_recovery,NA(),SUMIFS(INDIRECT("Data_main"&amp;"["&amp;BO$8&amp;"]"),Data_main[Data],$A113, Data_main[Segment],"Total", Data_main[Scenario],$B$3)),SUMIFS(INDIRECT("Data_main"&amp;"["&amp;BO$8&amp;"]"),Data_main[Data],$A113, Data_main[Segment],"Total", Data_main[Scenario],$B$3)),SUMIFS(INDIRECT("Data_main"&amp;"["&amp;BO$8&amp;"]"),Data_main[Data],$A113, Data_main[Segment],"Total", Data_main[Scenario],$B$3))</f>
        <v>0</v>
      </c>
      <c r="BP107" s="407">
        <f ca="1">IF($B$6="ON", IF(BP110&gt;=covid_start, IF(BP110&lt;covid_recovery,NA(),SUMIFS(INDIRECT("Data_main"&amp;"["&amp;BP$8&amp;"]"),Data_main[Data],$A113, Data_main[Segment],"Total", Data_main[Scenario],$B$3)),SUMIFS(INDIRECT("Data_main"&amp;"["&amp;BP$8&amp;"]"),Data_main[Data],$A113, Data_main[Segment],"Total", Data_main[Scenario],$B$3)),SUMIFS(INDIRECT("Data_main"&amp;"["&amp;BP$8&amp;"]"),Data_main[Data],$A113, Data_main[Segment],"Total", Data_main[Scenario],$B$3))</f>
        <v>0</v>
      </c>
      <c r="BQ107" s="407">
        <f ca="1">IF($B$6="ON", IF(BQ110&gt;=covid_start, IF(BQ110&lt;covid_recovery,NA(),SUMIFS(INDIRECT("Data_main"&amp;"["&amp;BQ$8&amp;"]"),Data_main[Data],$A113, Data_main[Segment],"Total", Data_main[Scenario],$B$3)),SUMIFS(INDIRECT("Data_main"&amp;"["&amp;BQ$8&amp;"]"),Data_main[Data],$A113, Data_main[Segment],"Total", Data_main[Scenario],$B$3)),SUMIFS(INDIRECT("Data_main"&amp;"["&amp;BQ$8&amp;"]"),Data_main[Data],$A113, Data_main[Segment],"Total", Data_main[Scenario],$B$3))</f>
        <v>0</v>
      </c>
      <c r="BR107" s="407">
        <f ca="1">IF($B$6="ON", IF(BR110&gt;=covid_start, IF(BR110&lt;covid_recovery,NA(),SUMIFS(INDIRECT("Data_main"&amp;"["&amp;BR$8&amp;"]"),Data_main[Data],$A113, Data_main[Segment],"Total", Data_main[Scenario],$B$3)),SUMIFS(INDIRECT("Data_main"&amp;"["&amp;BR$8&amp;"]"),Data_main[Data],$A113, Data_main[Segment],"Total", Data_main[Scenario],$B$3)),SUMIFS(INDIRECT("Data_main"&amp;"["&amp;BR$8&amp;"]"),Data_main[Data],$A113, Data_main[Segment],"Total", Data_main[Scenario],$B$3))</f>
        <v>0</v>
      </c>
      <c r="BS107" s="407">
        <f ca="1">IF($B$6="ON", IF(BS110&gt;=covid_start, IF(BS110&lt;covid_recovery,NA(),SUMIFS(INDIRECT("Data_main"&amp;"["&amp;BS$8&amp;"]"),Data_main[Data],$A113, Data_main[Segment],"Total", Data_main[Scenario],$B$3)),SUMIFS(INDIRECT("Data_main"&amp;"["&amp;BS$8&amp;"]"),Data_main[Data],$A113, Data_main[Segment],"Total", Data_main[Scenario],$B$3)),SUMIFS(INDIRECT("Data_main"&amp;"["&amp;BS$8&amp;"]"),Data_main[Data],$A113, Data_main[Segment],"Total", Data_main[Scenario],$B$3))</f>
        <v>0</v>
      </c>
      <c r="BT107" s="407">
        <f ca="1">IF($B$6="ON", IF(BT110&gt;=covid_start, IF(BT110&lt;covid_recovery,NA(),SUMIFS(INDIRECT("Data_main"&amp;"["&amp;BT$8&amp;"]"),Data_main[Data],$A113, Data_main[Segment],"Total", Data_main[Scenario],$B$3)),SUMIFS(INDIRECT("Data_main"&amp;"["&amp;BT$8&amp;"]"),Data_main[Data],$A113, Data_main[Segment],"Total", Data_main[Scenario],$B$3)),SUMIFS(INDIRECT("Data_main"&amp;"["&amp;BT$8&amp;"]"),Data_main[Data],$A113, Data_main[Segment],"Total", Data_main[Scenario],$B$3))</f>
        <v>0</v>
      </c>
      <c r="BU107" s="407">
        <f ca="1">IF($B$6="ON", IF(BU110&gt;=covid_start, IF(BU110&lt;covid_recovery,NA(),SUMIFS(INDIRECT("Data_main"&amp;"["&amp;BU$8&amp;"]"),Data_main[Data],$A113, Data_main[Segment],"Total", Data_main[Scenario],$B$3)),SUMIFS(INDIRECT("Data_main"&amp;"["&amp;BU$8&amp;"]"),Data_main[Data],$A113, Data_main[Segment],"Total", Data_main[Scenario],$B$3)),SUMIFS(INDIRECT("Data_main"&amp;"["&amp;BU$8&amp;"]"),Data_main[Data],$A113, Data_main[Segment],"Total", Data_main[Scenario],$B$3))</f>
        <v>0</v>
      </c>
      <c r="BV107" s="407">
        <f ca="1">IF($B$6="ON", IF(BV110&gt;=covid_start, IF(BV110&lt;covid_recovery,NA(),SUMIFS(INDIRECT("Data_main"&amp;"["&amp;BV$8&amp;"]"),Data_main[Data],$A113, Data_main[Segment],"Total", Data_main[Scenario],$B$3)),SUMIFS(INDIRECT("Data_main"&amp;"["&amp;BV$8&amp;"]"),Data_main[Data],$A113, Data_main[Segment],"Total", Data_main[Scenario],$B$3)),SUMIFS(INDIRECT("Data_main"&amp;"["&amp;BV$8&amp;"]"),Data_main[Data],$A113, Data_main[Segment],"Total", Data_main[Scenario],$B$3))</f>
        <v>0</v>
      </c>
      <c r="BW107" s="407">
        <f ca="1">IF($B$6="ON", IF(BW110&gt;=covid_start, IF(BW110&lt;covid_recovery,NA(),SUMIFS(INDIRECT("Data_main"&amp;"["&amp;BW$8&amp;"]"),Data_main[Data],$A113, Data_main[Segment],"Total", Data_main[Scenario],$B$3)),SUMIFS(INDIRECT("Data_main"&amp;"["&amp;BW$8&amp;"]"),Data_main[Data],$A113, Data_main[Segment],"Total", Data_main[Scenario],$B$3)),SUMIFS(INDIRECT("Data_main"&amp;"["&amp;BW$8&amp;"]"),Data_main[Data],$A113, Data_main[Segment],"Total", Data_main[Scenario],$B$3))</f>
        <v>0</v>
      </c>
      <c r="BX107" s="407">
        <f ca="1">IF($B$6="ON", IF(BX110&gt;=covid_start, IF(BX110&lt;covid_recovery,NA(),SUMIFS(INDIRECT("Data_main"&amp;"["&amp;BX$8&amp;"]"),Data_main[Data],$A113, Data_main[Segment],"Total", Data_main[Scenario],$B$3)),SUMIFS(INDIRECT("Data_main"&amp;"["&amp;BX$8&amp;"]"),Data_main[Data],$A113, Data_main[Segment],"Total", Data_main[Scenario],$B$3)),SUMIFS(INDIRECT("Data_main"&amp;"["&amp;BX$8&amp;"]"),Data_main[Data],$A113, Data_main[Segment],"Total", Data_main[Scenario],$B$3))</f>
        <v>0</v>
      </c>
      <c r="BY107" s="407">
        <f ca="1">IF($B$6="ON", IF(BY110&gt;=covid_start, IF(BY110&lt;covid_recovery,NA(),SUMIFS(INDIRECT("Data_main"&amp;"["&amp;BY$8&amp;"]"),Data_main[Data],$A113, Data_main[Segment],"Total", Data_main[Scenario],$B$3)),SUMIFS(INDIRECT("Data_main"&amp;"["&amp;BY$8&amp;"]"),Data_main[Data],$A113, Data_main[Segment],"Total", Data_main[Scenario],$B$3)),SUMIFS(INDIRECT("Data_main"&amp;"["&amp;BY$8&amp;"]"),Data_main[Data],$A113, Data_main[Segment],"Total", Data_main[Scenario],$B$3))</f>
        <v>0</v>
      </c>
      <c r="BZ107" s="407">
        <f ca="1">IF($B$6="ON", IF(BZ110&gt;=covid_start, IF(BZ110&lt;covid_recovery,NA(),SUMIFS(INDIRECT("Data_main"&amp;"["&amp;BZ$8&amp;"]"),Data_main[Data],$A113, Data_main[Segment],"Total", Data_main[Scenario],$B$3)),SUMIFS(INDIRECT("Data_main"&amp;"["&amp;BZ$8&amp;"]"),Data_main[Data],$A113, Data_main[Segment],"Total", Data_main[Scenario],$B$3)),SUMIFS(INDIRECT("Data_main"&amp;"["&amp;BZ$8&amp;"]"),Data_main[Data],$A113, Data_main[Segment],"Total", Data_main[Scenario],$B$3))</f>
        <v>0</v>
      </c>
      <c r="CA107" s="407">
        <f ca="1">IF($B$6="ON", IF(CA110&gt;=covid_start, IF(CA110&lt;covid_recovery,NA(),SUMIFS(INDIRECT("Data_main"&amp;"["&amp;CA$8&amp;"]"),Data_main[Data],$A113, Data_main[Segment],"Total", Data_main[Scenario],$B$3)),SUMIFS(INDIRECT("Data_main"&amp;"["&amp;CA$8&amp;"]"),Data_main[Data],$A113, Data_main[Segment],"Total", Data_main[Scenario],$B$3)),SUMIFS(INDIRECT("Data_main"&amp;"["&amp;CA$8&amp;"]"),Data_main[Data],$A113, Data_main[Segment],"Total", Data_main[Scenario],$B$3))</f>
        <v>0</v>
      </c>
      <c r="CB107" s="407">
        <f ca="1">IF($B$6="ON", IF(CB110&gt;=covid_start, IF(CB110&lt;covid_recovery,NA(),SUMIFS(INDIRECT("Data_main"&amp;"["&amp;CB$8&amp;"]"),Data_main[Data],$A113, Data_main[Segment],"Total", Data_main[Scenario],$B$3)),SUMIFS(INDIRECT("Data_main"&amp;"["&amp;CB$8&amp;"]"),Data_main[Data],$A113, Data_main[Segment],"Total", Data_main[Scenario],$B$3)),SUMIFS(INDIRECT("Data_main"&amp;"["&amp;CB$8&amp;"]"),Data_main[Data],$A113, Data_main[Segment],"Total", Data_main[Scenario],$B$3))</f>
        <v>0</v>
      </c>
      <c r="CC107" s="407">
        <f ca="1">IF($B$6="ON", IF(CC110&gt;=covid_start, IF(CC110&lt;covid_recovery,NA(),SUMIFS(INDIRECT("Data_main"&amp;"["&amp;CC$8&amp;"]"),Data_main[Data],$A113, Data_main[Segment],"Total", Data_main[Scenario],$B$3)),SUMIFS(INDIRECT("Data_main"&amp;"["&amp;CC$8&amp;"]"),Data_main[Data],$A113, Data_main[Segment],"Total", Data_main[Scenario],$B$3)),SUMIFS(INDIRECT("Data_main"&amp;"["&amp;CC$8&amp;"]"),Data_main[Data],$A113, Data_main[Segment],"Total", Data_main[Scenario],$B$3))</f>
        <v>0</v>
      </c>
      <c r="CD107" s="407">
        <f ca="1">IF($B$6="ON", IF(CD110&gt;=covid_start, IF(CD110&lt;covid_recovery,NA(),SUMIFS(INDIRECT("Data_main"&amp;"["&amp;CD$8&amp;"]"),Data_main[Data],$A113, Data_main[Segment],"Total", Data_main[Scenario],$B$3)),SUMIFS(INDIRECT("Data_main"&amp;"["&amp;CD$8&amp;"]"),Data_main[Data],$A113, Data_main[Segment],"Total", Data_main[Scenario],$B$3)),SUMIFS(INDIRECT("Data_main"&amp;"["&amp;CD$8&amp;"]"),Data_main[Data],$A113, Data_main[Segment],"Total", Data_main[Scenario],$B$3))</f>
        <v>0</v>
      </c>
      <c r="CE107" s="407">
        <f ca="1">IF($B$6="ON", IF(CE110&gt;=covid_start, IF(CE110&lt;covid_recovery,NA(),SUMIFS(INDIRECT("Data_main"&amp;"["&amp;CE$8&amp;"]"),Data_main[Data],$A113, Data_main[Segment],"Total", Data_main[Scenario],$B$3)),SUMIFS(INDIRECT("Data_main"&amp;"["&amp;CE$8&amp;"]"),Data_main[Data],$A113, Data_main[Segment],"Total", Data_main[Scenario],$B$3)),SUMIFS(INDIRECT("Data_main"&amp;"["&amp;CE$8&amp;"]"),Data_main[Data],$A113, Data_main[Segment],"Total", Data_main[Scenario],$B$3))</f>
        <v>0</v>
      </c>
      <c r="CF107" s="407">
        <f ca="1">IF($B$6="ON", IF(CF110&gt;=covid_start, IF(CF110&lt;covid_recovery,NA(),SUMIFS(INDIRECT("Data_main"&amp;"["&amp;CF$8&amp;"]"),Data_main[Data],$A113, Data_main[Segment],"Total", Data_main[Scenario],$B$3)),SUMIFS(INDIRECT("Data_main"&amp;"["&amp;CF$8&amp;"]"),Data_main[Data],$A113, Data_main[Segment],"Total", Data_main[Scenario],$B$3)),SUMIFS(INDIRECT("Data_main"&amp;"["&amp;CF$8&amp;"]"),Data_main[Data],$A113, Data_main[Segment],"Total", Data_main[Scenario],$B$3))</f>
        <v>0</v>
      </c>
      <c r="CG107" s="407">
        <f ca="1">IF($B$6="ON", IF(CG110&gt;=covid_start, IF(CG110&lt;covid_recovery,NA(),SUMIFS(INDIRECT("Data_main"&amp;"["&amp;CG$8&amp;"]"),Data_main[Data],$A113, Data_main[Segment],"Total", Data_main[Scenario],$B$3)),SUMIFS(INDIRECT("Data_main"&amp;"["&amp;CG$8&amp;"]"),Data_main[Data],$A113, Data_main[Segment],"Total", Data_main[Scenario],$B$3)),SUMIFS(INDIRECT("Data_main"&amp;"["&amp;CG$8&amp;"]"),Data_main[Data],$A113, Data_main[Segment],"Total", Data_main[Scenario],$B$3))</f>
        <v>0</v>
      </c>
      <c r="CH107" s="407">
        <f ca="1">IF($B$6="ON", IF(CH110&gt;=covid_start, IF(CH110&lt;covid_recovery,NA(),SUMIFS(INDIRECT("Data_main"&amp;"["&amp;CH$8&amp;"]"),Data_main[Data],$A113, Data_main[Segment],"Total", Data_main[Scenario],$B$3)),SUMIFS(INDIRECT("Data_main"&amp;"["&amp;CH$8&amp;"]"),Data_main[Data],$A113, Data_main[Segment],"Total", Data_main[Scenario],$B$3)),SUMIFS(INDIRECT("Data_main"&amp;"["&amp;CH$8&amp;"]"),Data_main[Data],$A113, Data_main[Segment],"Total", Data_main[Scenario],$B$3))</f>
        <v>0</v>
      </c>
      <c r="CI107" s="407">
        <f ca="1">IF($B$6="ON", IF(CI110&gt;=covid_start, IF(CI110&lt;covid_recovery,NA(),SUMIFS(INDIRECT("Data_main"&amp;"["&amp;CI$8&amp;"]"),Data_main[Data],$A113, Data_main[Segment],"Total", Data_main[Scenario],$B$3)),SUMIFS(INDIRECT("Data_main"&amp;"["&amp;CI$8&amp;"]"),Data_main[Data],$A113, Data_main[Segment],"Total", Data_main[Scenario],$B$3)),SUMIFS(INDIRECT("Data_main"&amp;"["&amp;CI$8&amp;"]"),Data_main[Data],$A113, Data_main[Segment],"Total", Data_main[Scenario],$B$3))</f>
        <v>0</v>
      </c>
      <c r="CJ107" s="407">
        <f ca="1">IF($B$6="ON", IF(CJ110&gt;=covid_start, IF(CJ110&lt;covid_recovery,NA(),SUMIFS(INDIRECT("Data_main"&amp;"["&amp;CJ$8&amp;"]"),Data_main[Data],$A113, Data_main[Segment],"Total", Data_main[Scenario],$B$3)),SUMIFS(INDIRECT("Data_main"&amp;"["&amp;CJ$8&amp;"]"),Data_main[Data],$A113, Data_main[Segment],"Total", Data_main[Scenario],$B$3)),SUMIFS(INDIRECT("Data_main"&amp;"["&amp;CJ$8&amp;"]"),Data_main[Data],$A113, Data_main[Segment],"Total", Data_main[Scenario],$B$3))</f>
        <v>0</v>
      </c>
      <c r="CK107" s="407">
        <f ca="1">IF($B$6="ON", IF(CK110&gt;=covid_start, IF(CK110&lt;covid_recovery,NA(),SUMIFS(INDIRECT("Data_main"&amp;"["&amp;CK$8&amp;"]"),Data_main[Data],$A113, Data_main[Segment],"Total", Data_main[Scenario],$B$3)),SUMIFS(INDIRECT("Data_main"&amp;"["&amp;CK$8&amp;"]"),Data_main[Data],$A113, Data_main[Segment],"Total", Data_main[Scenario],$B$3)),SUMIFS(INDIRECT("Data_main"&amp;"["&amp;CK$8&amp;"]"),Data_main[Data],$A113, Data_main[Segment],"Total", Data_main[Scenario],$B$3))</f>
        <v>0</v>
      </c>
      <c r="CL107" s="407">
        <f ca="1">IF($B$6="ON", IF(CL110&gt;=covid_start, IF(CL110&lt;covid_recovery,NA(),SUMIFS(INDIRECT("Data_main"&amp;"["&amp;CL$8&amp;"]"),Data_main[Data],$A113, Data_main[Segment],"Total", Data_main[Scenario],$B$3)),SUMIFS(INDIRECT("Data_main"&amp;"["&amp;CL$8&amp;"]"),Data_main[Data],$A113, Data_main[Segment],"Total", Data_main[Scenario],$B$3)),SUMIFS(INDIRECT("Data_main"&amp;"["&amp;CL$8&amp;"]"),Data_main[Data],$A113, Data_main[Segment],"Total", Data_main[Scenario],$B$3))</f>
        <v>0</v>
      </c>
      <c r="CN107" s="408"/>
      <c r="CO107" s="408"/>
      <c r="CP107" s="408"/>
    </row>
    <row r="108" spans="1:94" hidden="1" outlineLevel="1">
      <c r="A108" s="400"/>
      <c r="B108" s="400"/>
      <c r="C108" s="400"/>
      <c r="D108" s="400"/>
      <c r="E108" s="413"/>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07"/>
      <c r="BT108" s="407"/>
      <c r="BU108" s="407"/>
      <c r="BV108" s="407"/>
      <c r="BW108" s="407"/>
      <c r="BX108" s="407"/>
      <c r="BY108" s="407"/>
      <c r="BZ108" s="407"/>
      <c r="CA108" s="407"/>
      <c r="CB108" s="407"/>
      <c r="CC108" s="407"/>
      <c r="CD108" s="407"/>
      <c r="CE108" s="407"/>
      <c r="CF108" s="407"/>
      <c r="CG108" s="407"/>
      <c r="CH108" s="407"/>
      <c r="CI108" s="407"/>
      <c r="CJ108" s="407"/>
      <c r="CK108" s="407"/>
      <c r="CL108" s="407"/>
      <c r="CN108" s="408"/>
      <c r="CO108" s="408"/>
      <c r="CP108" s="408"/>
    </row>
    <row r="109" spans="1:94" hidden="1" outlineLevel="1">
      <c r="A109" s="382" t="s">
        <v>493</v>
      </c>
      <c r="B109" s="400"/>
      <c r="C109" s="400"/>
      <c r="D109" s="400"/>
      <c r="E109" s="413"/>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07"/>
      <c r="BQ109" s="407"/>
      <c r="BR109" s="407"/>
      <c r="BS109" s="407"/>
      <c r="BT109" s="407"/>
      <c r="BU109" s="407"/>
      <c r="BV109" s="407"/>
      <c r="BW109" s="407"/>
      <c r="BX109" s="407"/>
      <c r="BY109" s="407"/>
      <c r="BZ109" s="407"/>
      <c r="CA109" s="407"/>
      <c r="CB109" s="407"/>
      <c r="CC109" s="407"/>
      <c r="CD109" s="407"/>
      <c r="CE109" s="407"/>
      <c r="CF109" s="407"/>
      <c r="CG109" s="407"/>
      <c r="CH109" s="407"/>
      <c r="CI109" s="407"/>
      <c r="CJ109" s="407"/>
      <c r="CK109" s="407"/>
      <c r="CL109" s="407"/>
      <c r="CN109" s="408"/>
      <c r="CO109" s="408"/>
      <c r="CP109" s="408"/>
    </row>
    <row r="110" spans="1:94" ht="16.5" collapsed="1" thickBot="1">
      <c r="A110" s="455" t="s">
        <v>491</v>
      </c>
      <c r="B110" s="455"/>
      <c r="C110" s="455"/>
      <c r="D110" s="455"/>
      <c r="E110" s="456">
        <v>2015</v>
      </c>
      <c r="F110" s="457">
        <f>E110+1</f>
        <v>2016</v>
      </c>
      <c r="G110" s="457">
        <f t="shared" ref="G110" si="912">F110+1</f>
        <v>2017</v>
      </c>
      <c r="H110" s="457">
        <f t="shared" ref="H110" si="913">G110+1</f>
        <v>2018</v>
      </c>
      <c r="I110" s="457">
        <f t="shared" ref="I110" si="914">H110+1</f>
        <v>2019</v>
      </c>
      <c r="J110" s="457">
        <f>E110+5</f>
        <v>2020</v>
      </c>
      <c r="K110" s="457">
        <f>J110+1</f>
        <v>2021</v>
      </c>
      <c r="L110" s="457">
        <f t="shared" ref="L110" si="915">K110+1</f>
        <v>2022</v>
      </c>
      <c r="M110" s="457">
        <f t="shared" ref="M110" si="916">L110+1</f>
        <v>2023</v>
      </c>
      <c r="N110" s="457">
        <f t="shared" ref="N110" si="917">M110+1</f>
        <v>2024</v>
      </c>
      <c r="O110" s="457">
        <f>J110+5</f>
        <v>2025</v>
      </c>
      <c r="P110" s="457">
        <f>O110+1</f>
        <v>2026</v>
      </c>
      <c r="Q110" s="457">
        <f t="shared" ref="Q110" si="918">P110+1</f>
        <v>2027</v>
      </c>
      <c r="R110" s="457">
        <f t="shared" ref="R110" si="919">Q110+1</f>
        <v>2028</v>
      </c>
      <c r="S110" s="457">
        <f t="shared" ref="S110" si="920">R110+1</f>
        <v>2029</v>
      </c>
      <c r="T110" s="457">
        <f>O110+5</f>
        <v>2030</v>
      </c>
      <c r="U110" s="457">
        <f>T110+1</f>
        <v>2031</v>
      </c>
      <c r="V110" s="457">
        <f t="shared" ref="V110" si="921">U110+1</f>
        <v>2032</v>
      </c>
      <c r="W110" s="457">
        <f t="shared" ref="W110" si="922">V110+1</f>
        <v>2033</v>
      </c>
      <c r="X110" s="457">
        <f t="shared" ref="X110" si="923">W110+1</f>
        <v>2034</v>
      </c>
      <c r="Y110" s="457">
        <f>T110+5</f>
        <v>2035</v>
      </c>
      <c r="Z110" s="457">
        <f>Y110+1</f>
        <v>2036</v>
      </c>
      <c r="AA110" s="457">
        <f t="shared" ref="AA110" si="924">Z110+1</f>
        <v>2037</v>
      </c>
      <c r="AB110" s="457">
        <f t="shared" ref="AB110" si="925">AA110+1</f>
        <v>2038</v>
      </c>
      <c r="AC110" s="457">
        <f t="shared" ref="AC110" si="926">AB110+1</f>
        <v>2039</v>
      </c>
      <c r="AD110" s="457">
        <f>Y110+5</f>
        <v>2040</v>
      </c>
      <c r="AE110" s="457">
        <f>AD110+1</f>
        <v>2041</v>
      </c>
      <c r="AF110" s="457">
        <f t="shared" ref="AF110" si="927">AE110+1</f>
        <v>2042</v>
      </c>
      <c r="AG110" s="457">
        <f t="shared" ref="AG110" si="928">AF110+1</f>
        <v>2043</v>
      </c>
      <c r="AH110" s="457">
        <f t="shared" ref="AH110" si="929">AG110+1</f>
        <v>2044</v>
      </c>
      <c r="AI110" s="457">
        <f>AD110+5</f>
        <v>2045</v>
      </c>
      <c r="AJ110" s="457">
        <f>AI110+1</f>
        <v>2046</v>
      </c>
      <c r="AK110" s="457">
        <f t="shared" ref="AK110" si="930">AJ110+1</f>
        <v>2047</v>
      </c>
      <c r="AL110" s="457">
        <f t="shared" ref="AL110" si="931">AK110+1</f>
        <v>2048</v>
      </c>
      <c r="AM110" s="457">
        <f t="shared" ref="AM110" si="932">AL110+1</f>
        <v>2049</v>
      </c>
      <c r="AN110" s="457">
        <f>AI110+5</f>
        <v>2050</v>
      </c>
      <c r="AO110" s="457">
        <f>AN110+1</f>
        <v>2051</v>
      </c>
      <c r="AP110" s="457">
        <f t="shared" ref="AP110" si="933">AO110+1</f>
        <v>2052</v>
      </c>
      <c r="AQ110" s="457">
        <f t="shared" ref="AQ110" si="934">AP110+1</f>
        <v>2053</v>
      </c>
      <c r="AR110" s="457">
        <f t="shared" ref="AR110" si="935">AQ110+1</f>
        <v>2054</v>
      </c>
      <c r="AS110" s="457">
        <f>AN110+5</f>
        <v>2055</v>
      </c>
      <c r="AT110" s="457">
        <f>AS110+1</f>
        <v>2056</v>
      </c>
      <c r="AU110" s="457">
        <f t="shared" ref="AU110" si="936">AT110+1</f>
        <v>2057</v>
      </c>
      <c r="AV110" s="457">
        <f t="shared" ref="AV110" si="937">AU110+1</f>
        <v>2058</v>
      </c>
      <c r="AW110" s="457">
        <f t="shared" ref="AW110" si="938">AV110+1</f>
        <v>2059</v>
      </c>
      <c r="AX110" s="457">
        <f>AS110+5</f>
        <v>2060</v>
      </c>
      <c r="AY110" s="457">
        <f>AX110+1</f>
        <v>2061</v>
      </c>
      <c r="AZ110" s="457">
        <f t="shared" ref="AZ110" si="939">AY110+1</f>
        <v>2062</v>
      </c>
      <c r="BA110" s="457">
        <f t="shared" ref="BA110" si="940">AZ110+1</f>
        <v>2063</v>
      </c>
      <c r="BB110" s="457">
        <f t="shared" ref="BB110" si="941">BA110+1</f>
        <v>2064</v>
      </c>
      <c r="BC110" s="457">
        <f>AX110+5</f>
        <v>2065</v>
      </c>
      <c r="BD110" s="457">
        <f>BC110+1</f>
        <v>2066</v>
      </c>
      <c r="BE110" s="457">
        <f t="shared" ref="BE110" si="942">BD110+1</f>
        <v>2067</v>
      </c>
      <c r="BF110" s="457">
        <f t="shared" ref="BF110" si="943">BE110+1</f>
        <v>2068</v>
      </c>
      <c r="BG110" s="457">
        <f t="shared" ref="BG110" si="944">BF110+1</f>
        <v>2069</v>
      </c>
      <c r="BH110" s="457">
        <f>BC110+5</f>
        <v>2070</v>
      </c>
      <c r="BI110" s="457">
        <f>BH110+1</f>
        <v>2071</v>
      </c>
      <c r="BJ110" s="457">
        <f t="shared" ref="BJ110" si="945">BI110+1</f>
        <v>2072</v>
      </c>
      <c r="BK110" s="457">
        <f t="shared" ref="BK110" si="946">BJ110+1</f>
        <v>2073</v>
      </c>
      <c r="BL110" s="457">
        <f t="shared" ref="BL110" si="947">BK110+1</f>
        <v>2074</v>
      </c>
      <c r="BM110" s="457">
        <f>BH110+5</f>
        <v>2075</v>
      </c>
      <c r="BN110" s="457">
        <f>BM110+1</f>
        <v>2076</v>
      </c>
      <c r="BO110" s="457">
        <f t="shared" ref="BO110" si="948">BN110+1</f>
        <v>2077</v>
      </c>
      <c r="BP110" s="457">
        <f t="shared" ref="BP110" si="949">BO110+1</f>
        <v>2078</v>
      </c>
      <c r="BQ110" s="457">
        <f t="shared" ref="BQ110" si="950">BP110+1</f>
        <v>2079</v>
      </c>
      <c r="BR110" s="457">
        <f>BM110+5</f>
        <v>2080</v>
      </c>
      <c r="BS110" s="457">
        <f>BR110+1</f>
        <v>2081</v>
      </c>
      <c r="BT110" s="457">
        <f t="shared" ref="BT110" si="951">BS110+1</f>
        <v>2082</v>
      </c>
      <c r="BU110" s="457">
        <f t="shared" ref="BU110" si="952">BT110+1</f>
        <v>2083</v>
      </c>
      <c r="BV110" s="457">
        <f t="shared" ref="BV110" si="953">BU110+1</f>
        <v>2084</v>
      </c>
      <c r="BW110" s="457">
        <f>BR110+5</f>
        <v>2085</v>
      </c>
      <c r="BX110" s="457">
        <f>BW110+1</f>
        <v>2086</v>
      </c>
      <c r="BY110" s="457">
        <f t="shared" ref="BY110" si="954">BX110+1</f>
        <v>2087</v>
      </c>
      <c r="BZ110" s="457">
        <f t="shared" ref="BZ110" si="955">BY110+1</f>
        <v>2088</v>
      </c>
      <c r="CA110" s="457">
        <f t="shared" ref="CA110" si="956">BZ110+1</f>
        <v>2089</v>
      </c>
      <c r="CB110" s="457">
        <f>BW110+5</f>
        <v>2090</v>
      </c>
      <c r="CC110" s="457">
        <f>CB110+1</f>
        <v>2091</v>
      </c>
      <c r="CD110" s="457">
        <f t="shared" ref="CD110" si="957">CC110+1</f>
        <v>2092</v>
      </c>
      <c r="CE110" s="457">
        <f t="shared" ref="CE110" si="958">CD110+1</f>
        <v>2093</v>
      </c>
      <c r="CF110" s="457">
        <f t="shared" ref="CF110" si="959">CE110+1</f>
        <v>2094</v>
      </c>
      <c r="CG110" s="457">
        <f>CB110+5</f>
        <v>2095</v>
      </c>
      <c r="CH110" s="457">
        <f>CG110+1</f>
        <v>2096</v>
      </c>
      <c r="CI110" s="457">
        <f t="shared" ref="CI110" si="960">CH110+1</f>
        <v>2097</v>
      </c>
      <c r="CJ110" s="457">
        <f t="shared" ref="CJ110" si="961">CI110+1</f>
        <v>2098</v>
      </c>
      <c r="CK110" s="457">
        <f t="shared" ref="CK110" si="962">CJ110+1</f>
        <v>2099</v>
      </c>
      <c r="CL110" s="457">
        <f>CG110+5</f>
        <v>2100</v>
      </c>
      <c r="CN110" s="458" t="s">
        <v>409</v>
      </c>
      <c r="CO110" s="458" t="s">
        <v>411</v>
      </c>
      <c r="CP110" s="458" t="s">
        <v>410</v>
      </c>
    </row>
    <row r="111" spans="1:94" ht="16.5" hidden="1" outlineLevel="1" thickTop="1">
      <c r="A111" s="388" t="s">
        <v>152</v>
      </c>
      <c r="B111" s="388" t="s">
        <v>417</v>
      </c>
      <c r="C111" s="389" t="s">
        <v>352</v>
      </c>
      <c r="D111" s="389"/>
      <c r="E111" s="390">
        <f ca="1">IF($B$6="ON", IF(E110&gt;=covid_start, IF(E110&lt;covid_recovery,NA(),SUMIFS(INDIRECT("Data_main"&amp;"["&amp;E$8&amp;"]"),Data_main[Data],$A111, Data_main[Segment],$B111, Data_main[Scenario],$B$3)),SUMIFS(INDIRECT("Data_main"&amp;"["&amp;E$8&amp;"]"),Data_main[Data],$A111, Data_main[Segment],$B111, Data_main[Scenario],$B$3)),SUMIFS(INDIRECT("Data_main"&amp;"["&amp;E$8&amp;"]"),Data_main[Data],$A111, Data_main[Segment],$B111, Data_main[Scenario],$B$3))</f>
        <v>0</v>
      </c>
      <c r="F111" s="390">
        <f ca="1">IF($B$6="ON", IF(F110&gt;=covid_start, IF(F110&lt;covid_recovery,NA(),SUMIFS(INDIRECT("Data_main"&amp;"["&amp;F$8&amp;"]"),Data_main[Data],$A111, Data_main[Segment],$B111, Data_main[Scenario],$B$3)),SUMIFS(INDIRECT("Data_main"&amp;"["&amp;F$8&amp;"]"),Data_main[Data],$A111, Data_main[Segment],$B111, Data_main[Scenario],$B$3)),SUMIFS(INDIRECT("Data_main"&amp;"["&amp;F$8&amp;"]"),Data_main[Data],$A111, Data_main[Segment],$B111, Data_main[Scenario],$B$3))</f>
        <v>0</v>
      </c>
      <c r="G111" s="390">
        <f ca="1">IF($B$6="ON", IF(G110&gt;=covid_start, IF(G110&lt;covid_recovery,NA(),SUMIFS(INDIRECT("Data_main"&amp;"["&amp;G$8&amp;"]"),Data_main[Data],$A111, Data_main[Segment],$B111, Data_main[Scenario],$B$3)),SUMIFS(INDIRECT("Data_main"&amp;"["&amp;G$8&amp;"]"),Data_main[Data],$A111, Data_main[Segment],$B111, Data_main[Scenario],$B$3)),SUMIFS(INDIRECT("Data_main"&amp;"["&amp;G$8&amp;"]"),Data_main[Data],$A111, Data_main[Segment],$B111, Data_main[Scenario],$B$3))</f>
        <v>0</v>
      </c>
      <c r="H111" s="390">
        <f ca="1">IF($B$6="ON", IF(H110&gt;=covid_start, IF(H110&lt;covid_recovery,NA(),SUMIFS(INDIRECT("Data_main"&amp;"["&amp;H$8&amp;"]"),Data_main[Data],$A111, Data_main[Segment],$B111, Data_main[Scenario],$B$3)),SUMIFS(INDIRECT("Data_main"&amp;"["&amp;H$8&amp;"]"),Data_main[Data],$A111, Data_main[Segment],$B111, Data_main[Scenario],$B$3)),SUMIFS(INDIRECT("Data_main"&amp;"["&amp;H$8&amp;"]"),Data_main[Data],$A111, Data_main[Segment],$B111, Data_main[Scenario],$B$3))</f>
        <v>0</v>
      </c>
      <c r="I111" s="390">
        <f ca="1">IF($B$6="ON", IF(I110&gt;=covid_start, IF(I110&lt;covid_recovery,NA(),SUMIFS(INDIRECT("Data_main"&amp;"["&amp;I$8&amp;"]"),Data_main[Data],$A111, Data_main[Segment],$B111, Data_main[Scenario],$B$3)),SUMIFS(INDIRECT("Data_main"&amp;"["&amp;I$8&amp;"]"),Data_main[Data],$A111, Data_main[Segment],$B111, Data_main[Scenario],$B$3)),SUMIFS(INDIRECT("Data_main"&amp;"["&amp;I$8&amp;"]"),Data_main[Data],$A111, Data_main[Segment],$B111, Data_main[Scenario],$B$3))</f>
        <v>0</v>
      </c>
      <c r="J111" s="390" t="e">
        <f ca="1">IF($B$6="ON", IF(J110&gt;=covid_start, IF(J110&lt;covid_recovery,NA(),SUMIFS(INDIRECT("Data_main"&amp;"["&amp;J$8&amp;"]"),Data_main[Data],$A111, Data_main[Segment],$B111, Data_main[Scenario],$B$3)),SUMIFS(INDIRECT("Data_main"&amp;"["&amp;J$8&amp;"]"),Data_main[Data],$A111, Data_main[Segment],$B111, Data_main[Scenario],$B$3)),SUMIFS(INDIRECT("Data_main"&amp;"["&amp;J$8&amp;"]"),Data_main[Data],$A111, Data_main[Segment],$B111, Data_main[Scenario],$B$3))</f>
        <v>#N/A</v>
      </c>
      <c r="K111" s="390" t="e">
        <f ca="1">IF($B$6="ON", IF(K110&gt;=covid_start, IF(K110&lt;covid_recovery,NA(),SUMIFS(INDIRECT("Data_main"&amp;"["&amp;K$8&amp;"]"),Data_main[Data],$A111, Data_main[Segment],$B111, Data_main[Scenario],$B$3)),SUMIFS(INDIRECT("Data_main"&amp;"["&amp;K$8&amp;"]"),Data_main[Data],$A111, Data_main[Segment],$B111, Data_main[Scenario],$B$3)),SUMIFS(INDIRECT("Data_main"&amp;"["&amp;K$8&amp;"]"),Data_main[Data],$A111, Data_main[Segment],$B111, Data_main[Scenario],$B$3))</f>
        <v>#N/A</v>
      </c>
      <c r="L111" s="390" t="e">
        <f ca="1">IF($B$6="ON", IF(L110&gt;=covid_start, IF(L110&lt;covid_recovery,NA(),SUMIFS(INDIRECT("Data_main"&amp;"["&amp;L$8&amp;"]"),Data_main[Data],$A111, Data_main[Segment],$B111, Data_main[Scenario],$B$3)),SUMIFS(INDIRECT("Data_main"&amp;"["&amp;L$8&amp;"]"),Data_main[Data],$A111, Data_main[Segment],$B111, Data_main[Scenario],$B$3)),SUMIFS(INDIRECT("Data_main"&amp;"["&amp;L$8&amp;"]"),Data_main[Data],$A111, Data_main[Segment],$B111, Data_main[Scenario],$B$3))</f>
        <v>#N/A</v>
      </c>
      <c r="M111" s="390">
        <f ca="1">IF($B$6="ON", IF(M110&gt;=covid_start, IF(M110&lt;covid_recovery,NA(),SUMIFS(INDIRECT("Data_main"&amp;"["&amp;M$8&amp;"]"),Data_main[Data],$A111, Data_main[Segment],$B111, Data_main[Scenario],$B$3)),SUMIFS(INDIRECT("Data_main"&amp;"["&amp;M$8&amp;"]"),Data_main[Data],$A111, Data_main[Segment],$B111, Data_main[Scenario],$B$3)),SUMIFS(INDIRECT("Data_main"&amp;"["&amp;M$8&amp;"]"),Data_main[Data],$A111, Data_main[Segment],$B111, Data_main[Scenario],$B$3))</f>
        <v>0</v>
      </c>
      <c r="N111" s="390">
        <f ca="1">IF($B$6="ON", IF(N110&gt;=covid_start, IF(N110&lt;covid_recovery,NA(),SUMIFS(INDIRECT("Data_main"&amp;"["&amp;N$8&amp;"]"),Data_main[Data],$A111, Data_main[Segment],$B111, Data_main[Scenario],$B$3)),SUMIFS(INDIRECT("Data_main"&amp;"["&amp;N$8&amp;"]"),Data_main[Data],$A111, Data_main[Segment],$B111, Data_main[Scenario],$B$3)),SUMIFS(INDIRECT("Data_main"&amp;"["&amp;N$8&amp;"]"),Data_main[Data],$A111, Data_main[Segment],$B111, Data_main[Scenario],$B$3))</f>
        <v>0</v>
      </c>
      <c r="O111" s="390">
        <f ca="1">IF($B$6="ON", IF(O110&gt;=covid_start, IF(O110&lt;covid_recovery,NA(),SUMIFS(INDIRECT("Data_main"&amp;"["&amp;O$8&amp;"]"),Data_main[Data],$A111, Data_main[Segment],$B111, Data_main[Scenario],$B$3)),SUMIFS(INDIRECT("Data_main"&amp;"["&amp;O$8&amp;"]"),Data_main[Data],$A111, Data_main[Segment],$B111, Data_main[Scenario],$B$3)),SUMIFS(INDIRECT("Data_main"&amp;"["&amp;O$8&amp;"]"),Data_main[Data],$A111, Data_main[Segment],$B111, Data_main[Scenario],$B$3))</f>
        <v>0</v>
      </c>
      <c r="P111" s="390">
        <f ca="1">IF($B$6="ON", IF(P110&gt;=covid_start, IF(P110&lt;covid_recovery,NA(),SUMIFS(INDIRECT("Data_main"&amp;"["&amp;P$8&amp;"]"),Data_main[Data],$A111, Data_main[Segment],$B111, Data_main[Scenario],$B$3)),SUMIFS(INDIRECT("Data_main"&amp;"["&amp;P$8&amp;"]"),Data_main[Data],$A111, Data_main[Segment],$B111, Data_main[Scenario],$B$3)),SUMIFS(INDIRECT("Data_main"&amp;"["&amp;P$8&amp;"]"),Data_main[Data],$A111, Data_main[Segment],$B111, Data_main[Scenario],$B$3))</f>
        <v>0</v>
      </c>
      <c r="Q111" s="390">
        <f ca="1">IF($B$6="ON", IF(Q110&gt;=covid_start, IF(Q110&lt;covid_recovery,NA(),SUMIFS(INDIRECT("Data_main"&amp;"["&amp;Q$8&amp;"]"),Data_main[Data],$A111, Data_main[Segment],$B111, Data_main[Scenario],$B$3)),SUMIFS(INDIRECT("Data_main"&amp;"["&amp;Q$8&amp;"]"),Data_main[Data],$A111, Data_main[Segment],$B111, Data_main[Scenario],$B$3)),SUMIFS(INDIRECT("Data_main"&amp;"["&amp;Q$8&amp;"]"),Data_main[Data],$A111, Data_main[Segment],$B111, Data_main[Scenario],$B$3))</f>
        <v>0</v>
      </c>
      <c r="R111" s="390">
        <f ca="1">IF($B$6="ON", IF(R110&gt;=covid_start, IF(R110&lt;covid_recovery,NA(),SUMIFS(INDIRECT("Data_main"&amp;"["&amp;R$8&amp;"]"),Data_main[Data],$A111, Data_main[Segment],$B111, Data_main[Scenario],$B$3)),SUMIFS(INDIRECT("Data_main"&amp;"["&amp;R$8&amp;"]"),Data_main[Data],$A111, Data_main[Segment],$B111, Data_main[Scenario],$B$3)),SUMIFS(INDIRECT("Data_main"&amp;"["&amp;R$8&amp;"]"),Data_main[Data],$A111, Data_main[Segment],$B111, Data_main[Scenario],$B$3))</f>
        <v>0</v>
      </c>
      <c r="S111" s="390">
        <f ca="1">IF($B$6="ON", IF(S110&gt;=covid_start, IF(S110&lt;covid_recovery,NA(),SUMIFS(INDIRECT("Data_main"&amp;"["&amp;S$8&amp;"]"),Data_main[Data],$A111, Data_main[Segment],$B111, Data_main[Scenario],$B$3)),SUMIFS(INDIRECT("Data_main"&amp;"["&amp;S$8&amp;"]"),Data_main[Data],$A111, Data_main[Segment],$B111, Data_main[Scenario],$B$3)),SUMIFS(INDIRECT("Data_main"&amp;"["&amp;S$8&amp;"]"),Data_main[Data],$A111, Data_main[Segment],$B111, Data_main[Scenario],$B$3))</f>
        <v>0</v>
      </c>
      <c r="T111" s="390">
        <f ca="1">IF($B$6="ON", IF(T110&gt;=covid_start, IF(T110&lt;covid_recovery,NA(),SUMIFS(INDIRECT("Data_main"&amp;"["&amp;T$8&amp;"]"),Data_main[Data],$A111, Data_main[Segment],$B111, Data_main[Scenario],$B$3)),SUMIFS(INDIRECT("Data_main"&amp;"["&amp;T$8&amp;"]"),Data_main[Data],$A111, Data_main[Segment],$B111, Data_main[Scenario],$B$3)),SUMIFS(INDIRECT("Data_main"&amp;"["&amp;T$8&amp;"]"),Data_main[Data],$A111, Data_main[Segment],$B111, Data_main[Scenario],$B$3))</f>
        <v>0</v>
      </c>
      <c r="U111" s="390">
        <f ca="1">IF($B$6="ON", IF(U110&gt;=covid_start, IF(U110&lt;covid_recovery,NA(),SUMIFS(INDIRECT("Data_main"&amp;"["&amp;U$8&amp;"]"),Data_main[Data],$A111, Data_main[Segment],$B111, Data_main[Scenario],$B$3)),SUMIFS(INDIRECT("Data_main"&amp;"["&amp;U$8&amp;"]"),Data_main[Data],$A111, Data_main[Segment],$B111, Data_main[Scenario],$B$3)),SUMIFS(INDIRECT("Data_main"&amp;"["&amp;U$8&amp;"]"),Data_main[Data],$A111, Data_main[Segment],$B111, Data_main[Scenario],$B$3))</f>
        <v>0</v>
      </c>
      <c r="V111" s="390">
        <f ca="1">IF($B$6="ON", IF(V110&gt;=covid_start, IF(V110&lt;covid_recovery,NA(),SUMIFS(INDIRECT("Data_main"&amp;"["&amp;V$8&amp;"]"),Data_main[Data],$A111, Data_main[Segment],$B111, Data_main[Scenario],$B$3)),SUMIFS(INDIRECT("Data_main"&amp;"["&amp;V$8&amp;"]"),Data_main[Data],$A111, Data_main[Segment],$B111, Data_main[Scenario],$B$3)),SUMIFS(INDIRECT("Data_main"&amp;"["&amp;V$8&amp;"]"),Data_main[Data],$A111, Data_main[Segment],$B111, Data_main[Scenario],$B$3))</f>
        <v>0</v>
      </c>
      <c r="W111" s="390">
        <f ca="1">IF($B$6="ON", IF(W110&gt;=covid_start, IF(W110&lt;covid_recovery,NA(),SUMIFS(INDIRECT("Data_main"&amp;"["&amp;W$8&amp;"]"),Data_main[Data],$A111, Data_main[Segment],$B111, Data_main[Scenario],$B$3)),SUMIFS(INDIRECT("Data_main"&amp;"["&amp;W$8&amp;"]"),Data_main[Data],$A111, Data_main[Segment],$B111, Data_main[Scenario],$B$3)),SUMIFS(INDIRECT("Data_main"&amp;"["&amp;W$8&amp;"]"),Data_main[Data],$A111, Data_main[Segment],$B111, Data_main[Scenario],$B$3))</f>
        <v>0</v>
      </c>
      <c r="X111" s="390">
        <f ca="1">IF($B$6="ON", IF(X110&gt;=covid_start, IF(X110&lt;covid_recovery,NA(),SUMIFS(INDIRECT("Data_main"&amp;"["&amp;X$8&amp;"]"),Data_main[Data],$A111, Data_main[Segment],$B111, Data_main[Scenario],$B$3)),SUMIFS(INDIRECT("Data_main"&amp;"["&amp;X$8&amp;"]"),Data_main[Data],$A111, Data_main[Segment],$B111, Data_main[Scenario],$B$3)),SUMIFS(INDIRECT("Data_main"&amp;"["&amp;X$8&amp;"]"),Data_main[Data],$A111, Data_main[Segment],$B111, Data_main[Scenario],$B$3))</f>
        <v>0</v>
      </c>
      <c r="Y111" s="390">
        <f ca="1">IF($B$6="ON", IF(Y110&gt;=covid_start, IF(Y110&lt;covid_recovery,NA(),SUMIFS(INDIRECT("Data_main"&amp;"["&amp;Y$8&amp;"]"),Data_main[Data],$A111, Data_main[Segment],$B111, Data_main[Scenario],$B$3)),SUMIFS(INDIRECT("Data_main"&amp;"["&amp;Y$8&amp;"]"),Data_main[Data],$A111, Data_main[Segment],$B111, Data_main[Scenario],$B$3)),SUMIFS(INDIRECT("Data_main"&amp;"["&amp;Y$8&amp;"]"),Data_main[Data],$A111, Data_main[Segment],$B111, Data_main[Scenario],$B$3))</f>
        <v>0</v>
      </c>
      <c r="Z111" s="390">
        <f ca="1">IF($B$6="ON", IF(Z110&gt;=covid_start, IF(Z110&lt;covid_recovery,NA(),SUMIFS(INDIRECT("Data_main"&amp;"["&amp;Z$8&amp;"]"),Data_main[Data],$A111, Data_main[Segment],$B111, Data_main[Scenario],$B$3)),SUMIFS(INDIRECT("Data_main"&amp;"["&amp;Z$8&amp;"]"),Data_main[Data],$A111, Data_main[Segment],$B111, Data_main[Scenario],$B$3)),SUMIFS(INDIRECT("Data_main"&amp;"["&amp;Z$8&amp;"]"),Data_main[Data],$A111, Data_main[Segment],$B111, Data_main[Scenario],$B$3))</f>
        <v>0</v>
      </c>
      <c r="AA111" s="390">
        <f ca="1">IF($B$6="ON", IF(AA110&gt;=covid_start, IF(AA110&lt;covid_recovery,NA(),SUMIFS(INDIRECT("Data_main"&amp;"["&amp;AA$8&amp;"]"),Data_main[Data],$A111, Data_main[Segment],$B111, Data_main[Scenario],$B$3)),SUMIFS(INDIRECT("Data_main"&amp;"["&amp;AA$8&amp;"]"),Data_main[Data],$A111, Data_main[Segment],$B111, Data_main[Scenario],$B$3)),SUMIFS(INDIRECT("Data_main"&amp;"["&amp;AA$8&amp;"]"),Data_main[Data],$A111, Data_main[Segment],$B111, Data_main[Scenario],$B$3))</f>
        <v>0</v>
      </c>
      <c r="AB111" s="390">
        <f ca="1">IF($B$6="ON", IF(AB110&gt;=covid_start, IF(AB110&lt;covid_recovery,NA(),SUMIFS(INDIRECT("Data_main"&amp;"["&amp;AB$8&amp;"]"),Data_main[Data],$A111, Data_main[Segment],$B111, Data_main[Scenario],$B$3)),SUMIFS(INDIRECT("Data_main"&amp;"["&amp;AB$8&amp;"]"),Data_main[Data],$A111, Data_main[Segment],$B111, Data_main[Scenario],$B$3)),SUMIFS(INDIRECT("Data_main"&amp;"["&amp;AB$8&amp;"]"),Data_main[Data],$A111, Data_main[Segment],$B111, Data_main[Scenario],$B$3))</f>
        <v>0</v>
      </c>
      <c r="AC111" s="390">
        <f ca="1">IF($B$6="ON", IF(AC110&gt;=covid_start, IF(AC110&lt;covid_recovery,NA(),SUMIFS(INDIRECT("Data_main"&amp;"["&amp;AC$8&amp;"]"),Data_main[Data],$A111, Data_main[Segment],$B111, Data_main[Scenario],$B$3)),SUMIFS(INDIRECT("Data_main"&amp;"["&amp;AC$8&amp;"]"),Data_main[Data],$A111, Data_main[Segment],$B111, Data_main[Scenario],$B$3)),SUMIFS(INDIRECT("Data_main"&amp;"["&amp;AC$8&amp;"]"),Data_main[Data],$A111, Data_main[Segment],$B111, Data_main[Scenario],$B$3))</f>
        <v>0</v>
      </c>
      <c r="AD111" s="390">
        <f ca="1">IF($B$6="ON", IF(AD110&gt;=covid_start, IF(AD110&lt;covid_recovery,NA(),SUMIFS(INDIRECT("Data_main"&amp;"["&amp;AD$8&amp;"]"),Data_main[Data],$A111, Data_main[Segment],$B111, Data_main[Scenario],$B$3)),SUMIFS(INDIRECT("Data_main"&amp;"["&amp;AD$8&amp;"]"),Data_main[Data],$A111, Data_main[Segment],$B111, Data_main[Scenario],$B$3)),SUMIFS(INDIRECT("Data_main"&amp;"["&amp;AD$8&amp;"]"),Data_main[Data],$A111, Data_main[Segment],$B111, Data_main[Scenario],$B$3))</f>
        <v>0</v>
      </c>
      <c r="AE111" s="390">
        <f ca="1">IF($B$6="ON", IF(AE110&gt;=covid_start, IF(AE110&lt;covid_recovery,NA(),SUMIFS(INDIRECT("Data_main"&amp;"["&amp;AE$8&amp;"]"),Data_main[Data],$A111, Data_main[Segment],$B111, Data_main[Scenario],$B$3)),SUMIFS(INDIRECT("Data_main"&amp;"["&amp;AE$8&amp;"]"),Data_main[Data],$A111, Data_main[Segment],$B111, Data_main[Scenario],$B$3)),SUMIFS(INDIRECT("Data_main"&amp;"["&amp;AE$8&amp;"]"),Data_main[Data],$A111, Data_main[Segment],$B111, Data_main[Scenario],$B$3))</f>
        <v>0</v>
      </c>
      <c r="AF111" s="390">
        <f ca="1">IF($B$6="ON", IF(AF110&gt;=covid_start, IF(AF110&lt;covid_recovery,NA(),SUMIFS(INDIRECT("Data_main"&amp;"["&amp;AF$8&amp;"]"),Data_main[Data],$A111, Data_main[Segment],$B111, Data_main[Scenario],$B$3)),SUMIFS(INDIRECT("Data_main"&amp;"["&amp;AF$8&amp;"]"),Data_main[Data],$A111, Data_main[Segment],$B111, Data_main[Scenario],$B$3)),SUMIFS(INDIRECT("Data_main"&amp;"["&amp;AF$8&amp;"]"),Data_main[Data],$A111, Data_main[Segment],$B111, Data_main[Scenario],$B$3))</f>
        <v>0</v>
      </c>
      <c r="AG111" s="390">
        <f ca="1">IF($B$6="ON", IF(AG110&gt;=covid_start, IF(AG110&lt;covid_recovery,NA(),SUMIFS(INDIRECT("Data_main"&amp;"["&amp;AG$8&amp;"]"),Data_main[Data],$A111, Data_main[Segment],$B111, Data_main[Scenario],$B$3)),SUMIFS(INDIRECT("Data_main"&amp;"["&amp;AG$8&amp;"]"),Data_main[Data],$A111, Data_main[Segment],$B111, Data_main[Scenario],$B$3)),SUMIFS(INDIRECT("Data_main"&amp;"["&amp;AG$8&amp;"]"),Data_main[Data],$A111, Data_main[Segment],$B111, Data_main[Scenario],$B$3))</f>
        <v>0</v>
      </c>
      <c r="AH111" s="390">
        <f ca="1">IF($B$6="ON", IF(AH110&gt;=covid_start, IF(AH110&lt;covid_recovery,NA(),SUMIFS(INDIRECT("Data_main"&amp;"["&amp;AH$8&amp;"]"),Data_main[Data],$A111, Data_main[Segment],$B111, Data_main[Scenario],$B$3)),SUMIFS(INDIRECT("Data_main"&amp;"["&amp;AH$8&amp;"]"),Data_main[Data],$A111, Data_main[Segment],$B111, Data_main[Scenario],$B$3)),SUMIFS(INDIRECT("Data_main"&amp;"["&amp;AH$8&amp;"]"),Data_main[Data],$A111, Data_main[Segment],$B111, Data_main[Scenario],$B$3))</f>
        <v>0</v>
      </c>
      <c r="AI111" s="390">
        <f ca="1">IF($B$6="ON", IF(AI110&gt;=covid_start, IF(AI110&lt;covid_recovery,NA(),SUMIFS(INDIRECT("Data_main"&amp;"["&amp;AI$8&amp;"]"),Data_main[Data],$A111, Data_main[Segment],$B111, Data_main[Scenario],$B$3)),SUMIFS(INDIRECT("Data_main"&amp;"["&amp;AI$8&amp;"]"),Data_main[Data],$A111, Data_main[Segment],$B111, Data_main[Scenario],$B$3)),SUMIFS(INDIRECT("Data_main"&amp;"["&amp;AI$8&amp;"]"),Data_main[Data],$A111, Data_main[Segment],$B111, Data_main[Scenario],$B$3))</f>
        <v>0</v>
      </c>
      <c r="AJ111" s="390">
        <f ca="1">IF($B$6="ON", IF(AJ110&gt;=covid_start, IF(AJ110&lt;covid_recovery,NA(),SUMIFS(INDIRECT("Data_main"&amp;"["&amp;AJ$8&amp;"]"),Data_main[Data],$A111, Data_main[Segment],$B111, Data_main[Scenario],$B$3)),SUMIFS(INDIRECT("Data_main"&amp;"["&amp;AJ$8&amp;"]"),Data_main[Data],$A111, Data_main[Segment],$B111, Data_main[Scenario],$B$3)),SUMIFS(INDIRECT("Data_main"&amp;"["&amp;AJ$8&amp;"]"),Data_main[Data],$A111, Data_main[Segment],$B111, Data_main[Scenario],$B$3))</f>
        <v>0</v>
      </c>
      <c r="AK111" s="390">
        <f ca="1">IF($B$6="ON", IF(AK110&gt;=covid_start, IF(AK110&lt;covid_recovery,NA(),SUMIFS(INDIRECT("Data_main"&amp;"["&amp;AK$8&amp;"]"),Data_main[Data],$A111, Data_main[Segment],$B111, Data_main[Scenario],$B$3)),SUMIFS(INDIRECT("Data_main"&amp;"["&amp;AK$8&amp;"]"),Data_main[Data],$A111, Data_main[Segment],$B111, Data_main[Scenario],$B$3)),SUMIFS(INDIRECT("Data_main"&amp;"["&amp;AK$8&amp;"]"),Data_main[Data],$A111, Data_main[Segment],$B111, Data_main[Scenario],$B$3))</f>
        <v>0</v>
      </c>
      <c r="AL111" s="390">
        <f ca="1">IF($B$6="ON", IF(AL110&gt;=covid_start, IF(AL110&lt;covid_recovery,NA(),SUMIFS(INDIRECT("Data_main"&amp;"["&amp;AL$8&amp;"]"),Data_main[Data],$A111, Data_main[Segment],$B111, Data_main[Scenario],$B$3)),SUMIFS(INDIRECT("Data_main"&amp;"["&amp;AL$8&amp;"]"),Data_main[Data],$A111, Data_main[Segment],$B111, Data_main[Scenario],$B$3)),SUMIFS(INDIRECT("Data_main"&amp;"["&amp;AL$8&amp;"]"),Data_main[Data],$A111, Data_main[Segment],$B111, Data_main[Scenario],$B$3))</f>
        <v>0</v>
      </c>
      <c r="AM111" s="390">
        <f ca="1">IF($B$6="ON", IF(AM110&gt;=covid_start, IF(AM110&lt;covid_recovery,NA(),SUMIFS(INDIRECT("Data_main"&amp;"["&amp;AM$8&amp;"]"),Data_main[Data],$A111, Data_main[Segment],$B111, Data_main[Scenario],$B$3)),SUMIFS(INDIRECT("Data_main"&amp;"["&amp;AM$8&amp;"]"),Data_main[Data],$A111, Data_main[Segment],$B111, Data_main[Scenario],$B$3)),SUMIFS(INDIRECT("Data_main"&amp;"["&amp;AM$8&amp;"]"),Data_main[Data],$A111, Data_main[Segment],$B111, Data_main[Scenario],$B$3))</f>
        <v>0</v>
      </c>
      <c r="AN111" s="390">
        <f ca="1">IF($B$6="ON", IF(AN110&gt;=covid_start, IF(AN110&lt;covid_recovery,NA(),SUMIFS(INDIRECT("Data_main"&amp;"["&amp;AN$8&amp;"]"),Data_main[Data],$A111, Data_main[Segment],$B111, Data_main[Scenario],$B$3)),SUMIFS(INDIRECT("Data_main"&amp;"["&amp;AN$8&amp;"]"),Data_main[Data],$A111, Data_main[Segment],$B111, Data_main[Scenario],$B$3)),SUMIFS(INDIRECT("Data_main"&amp;"["&amp;AN$8&amp;"]"),Data_main[Data],$A111, Data_main[Segment],$B111, Data_main[Scenario],$B$3))</f>
        <v>0</v>
      </c>
      <c r="AO111" s="390">
        <f ca="1">IF($B$6="ON", IF(AO110&gt;=covid_start, IF(AO110&lt;covid_recovery,NA(),SUMIFS(INDIRECT("Data_main"&amp;"["&amp;AO$8&amp;"]"),Data_main[Data],$A111, Data_main[Segment],$B111, Data_main[Scenario],$B$3)),SUMIFS(INDIRECT("Data_main"&amp;"["&amp;AO$8&amp;"]"),Data_main[Data],$A111, Data_main[Segment],$B111, Data_main[Scenario],$B$3)),SUMIFS(INDIRECT("Data_main"&amp;"["&amp;AO$8&amp;"]"),Data_main[Data],$A111, Data_main[Segment],$B111, Data_main[Scenario],$B$3))</f>
        <v>0</v>
      </c>
      <c r="AP111" s="390">
        <f ca="1">IF($B$6="ON", IF(AP110&gt;=covid_start, IF(AP110&lt;covid_recovery,NA(),SUMIFS(INDIRECT("Data_main"&amp;"["&amp;AP$8&amp;"]"),Data_main[Data],$A111, Data_main[Segment],$B111, Data_main[Scenario],$B$3)),SUMIFS(INDIRECT("Data_main"&amp;"["&amp;AP$8&amp;"]"),Data_main[Data],$A111, Data_main[Segment],$B111, Data_main[Scenario],$B$3)),SUMIFS(INDIRECT("Data_main"&amp;"["&amp;AP$8&amp;"]"),Data_main[Data],$A111, Data_main[Segment],$B111, Data_main[Scenario],$B$3))</f>
        <v>0</v>
      </c>
      <c r="AQ111" s="390">
        <f ca="1">IF($B$6="ON", IF(AQ110&gt;=covid_start, IF(AQ110&lt;covid_recovery,NA(),SUMIFS(INDIRECT("Data_main"&amp;"["&amp;AQ$8&amp;"]"),Data_main[Data],$A111, Data_main[Segment],$B111, Data_main[Scenario],$B$3)),SUMIFS(INDIRECT("Data_main"&amp;"["&amp;AQ$8&amp;"]"),Data_main[Data],$A111, Data_main[Segment],$B111, Data_main[Scenario],$B$3)),SUMIFS(INDIRECT("Data_main"&amp;"["&amp;AQ$8&amp;"]"),Data_main[Data],$A111, Data_main[Segment],$B111, Data_main[Scenario],$B$3))</f>
        <v>0</v>
      </c>
      <c r="AR111" s="390">
        <f ca="1">IF($B$6="ON", IF(AR110&gt;=covid_start, IF(AR110&lt;covid_recovery,NA(),SUMIFS(INDIRECT("Data_main"&amp;"["&amp;AR$8&amp;"]"),Data_main[Data],$A111, Data_main[Segment],$B111, Data_main[Scenario],$B$3)),SUMIFS(INDIRECT("Data_main"&amp;"["&amp;AR$8&amp;"]"),Data_main[Data],$A111, Data_main[Segment],$B111, Data_main[Scenario],$B$3)),SUMIFS(INDIRECT("Data_main"&amp;"["&amp;AR$8&amp;"]"),Data_main[Data],$A111, Data_main[Segment],$B111, Data_main[Scenario],$B$3))</f>
        <v>0</v>
      </c>
      <c r="AS111" s="390">
        <f ca="1">IF($B$6="ON", IF(AS110&gt;=covid_start, IF(AS110&lt;covid_recovery,NA(),SUMIFS(INDIRECT("Data_main"&amp;"["&amp;AS$8&amp;"]"),Data_main[Data],$A111, Data_main[Segment],$B111, Data_main[Scenario],$B$3)),SUMIFS(INDIRECT("Data_main"&amp;"["&amp;AS$8&amp;"]"),Data_main[Data],$A111, Data_main[Segment],$B111, Data_main[Scenario],$B$3)),SUMIFS(INDIRECT("Data_main"&amp;"["&amp;AS$8&amp;"]"),Data_main[Data],$A111, Data_main[Segment],$B111, Data_main[Scenario],$B$3))</f>
        <v>0</v>
      </c>
      <c r="AT111" s="390">
        <f ca="1">IF($B$6="ON", IF(AT110&gt;=covid_start, IF(AT110&lt;covid_recovery,NA(),SUMIFS(INDIRECT("Data_main"&amp;"["&amp;AT$8&amp;"]"),Data_main[Data],$A111, Data_main[Segment],$B111, Data_main[Scenario],$B$3)),SUMIFS(INDIRECT("Data_main"&amp;"["&amp;AT$8&amp;"]"),Data_main[Data],$A111, Data_main[Segment],$B111, Data_main[Scenario],$B$3)),SUMIFS(INDIRECT("Data_main"&amp;"["&amp;AT$8&amp;"]"),Data_main[Data],$A111, Data_main[Segment],$B111, Data_main[Scenario],$B$3))</f>
        <v>0</v>
      </c>
      <c r="AU111" s="390">
        <f ca="1">IF($B$6="ON", IF(AU110&gt;=covid_start, IF(AU110&lt;covid_recovery,NA(),SUMIFS(INDIRECT("Data_main"&amp;"["&amp;AU$8&amp;"]"),Data_main[Data],$A111, Data_main[Segment],$B111, Data_main[Scenario],$B$3)),SUMIFS(INDIRECT("Data_main"&amp;"["&amp;AU$8&amp;"]"),Data_main[Data],$A111, Data_main[Segment],$B111, Data_main[Scenario],$B$3)),SUMIFS(INDIRECT("Data_main"&amp;"["&amp;AU$8&amp;"]"),Data_main[Data],$A111, Data_main[Segment],$B111, Data_main[Scenario],$B$3))</f>
        <v>0</v>
      </c>
      <c r="AV111" s="390">
        <f ca="1">IF($B$6="ON", IF(AV110&gt;=covid_start, IF(AV110&lt;covid_recovery,NA(),SUMIFS(INDIRECT("Data_main"&amp;"["&amp;AV$8&amp;"]"),Data_main[Data],$A111, Data_main[Segment],$B111, Data_main[Scenario],$B$3)),SUMIFS(INDIRECT("Data_main"&amp;"["&amp;AV$8&amp;"]"),Data_main[Data],$A111, Data_main[Segment],$B111, Data_main[Scenario],$B$3)),SUMIFS(INDIRECT("Data_main"&amp;"["&amp;AV$8&amp;"]"),Data_main[Data],$A111, Data_main[Segment],$B111, Data_main[Scenario],$B$3))</f>
        <v>0</v>
      </c>
      <c r="AW111" s="390">
        <f ca="1">IF($B$6="ON", IF(AW110&gt;=covid_start, IF(AW110&lt;covid_recovery,NA(),SUMIFS(INDIRECT("Data_main"&amp;"["&amp;AW$8&amp;"]"),Data_main[Data],$A111, Data_main[Segment],$B111, Data_main[Scenario],$B$3)),SUMIFS(INDIRECT("Data_main"&amp;"["&amp;AW$8&amp;"]"),Data_main[Data],$A111, Data_main[Segment],$B111, Data_main[Scenario],$B$3)),SUMIFS(INDIRECT("Data_main"&amp;"["&amp;AW$8&amp;"]"),Data_main[Data],$A111, Data_main[Segment],$B111, Data_main[Scenario],$B$3))</f>
        <v>0</v>
      </c>
      <c r="AX111" s="390">
        <f ca="1">IF($B$6="ON", IF(AX110&gt;=covid_start, IF(AX110&lt;covid_recovery,NA(),SUMIFS(INDIRECT("Data_main"&amp;"["&amp;AX$8&amp;"]"),Data_main[Data],$A111, Data_main[Segment],$B111, Data_main[Scenario],$B$3)),SUMIFS(INDIRECT("Data_main"&amp;"["&amp;AX$8&amp;"]"),Data_main[Data],$A111, Data_main[Segment],$B111, Data_main[Scenario],$B$3)),SUMIFS(INDIRECT("Data_main"&amp;"["&amp;AX$8&amp;"]"),Data_main[Data],$A111, Data_main[Segment],$B111, Data_main[Scenario],$B$3))</f>
        <v>0</v>
      </c>
      <c r="AY111" s="390">
        <f ca="1">IF($B$6="ON", IF(AY110&gt;=covid_start, IF(AY110&lt;covid_recovery,NA(),SUMIFS(INDIRECT("Data_main"&amp;"["&amp;AY$8&amp;"]"),Data_main[Data],$A111, Data_main[Segment],$B111, Data_main[Scenario],$B$3)),SUMIFS(INDIRECT("Data_main"&amp;"["&amp;AY$8&amp;"]"),Data_main[Data],$A111, Data_main[Segment],$B111, Data_main[Scenario],$B$3)),SUMIFS(INDIRECT("Data_main"&amp;"["&amp;AY$8&amp;"]"),Data_main[Data],$A111, Data_main[Segment],$B111, Data_main[Scenario],$B$3))</f>
        <v>0</v>
      </c>
      <c r="AZ111" s="390">
        <f ca="1">IF($B$6="ON", IF(AZ110&gt;=covid_start, IF(AZ110&lt;covid_recovery,NA(),SUMIFS(INDIRECT("Data_main"&amp;"["&amp;AZ$8&amp;"]"),Data_main[Data],$A111, Data_main[Segment],$B111, Data_main[Scenario],$B$3)),SUMIFS(INDIRECT("Data_main"&amp;"["&amp;AZ$8&amp;"]"),Data_main[Data],$A111, Data_main[Segment],$B111, Data_main[Scenario],$B$3)),SUMIFS(INDIRECT("Data_main"&amp;"["&amp;AZ$8&amp;"]"),Data_main[Data],$A111, Data_main[Segment],$B111, Data_main[Scenario],$B$3))</f>
        <v>0</v>
      </c>
      <c r="BA111" s="390">
        <f ca="1">IF($B$6="ON", IF(BA110&gt;=covid_start, IF(BA110&lt;covid_recovery,NA(),SUMIFS(INDIRECT("Data_main"&amp;"["&amp;BA$8&amp;"]"),Data_main[Data],$A111, Data_main[Segment],$B111, Data_main[Scenario],$B$3)),SUMIFS(INDIRECT("Data_main"&amp;"["&amp;BA$8&amp;"]"),Data_main[Data],$A111, Data_main[Segment],$B111, Data_main[Scenario],$B$3)),SUMIFS(INDIRECT("Data_main"&amp;"["&amp;BA$8&amp;"]"),Data_main[Data],$A111, Data_main[Segment],$B111, Data_main[Scenario],$B$3))</f>
        <v>0</v>
      </c>
      <c r="BB111" s="390">
        <f ca="1">IF($B$6="ON", IF(BB110&gt;=covid_start, IF(BB110&lt;covid_recovery,NA(),SUMIFS(INDIRECT("Data_main"&amp;"["&amp;BB$8&amp;"]"),Data_main[Data],$A111, Data_main[Segment],$B111, Data_main[Scenario],$B$3)),SUMIFS(INDIRECT("Data_main"&amp;"["&amp;BB$8&amp;"]"),Data_main[Data],$A111, Data_main[Segment],$B111, Data_main[Scenario],$B$3)),SUMIFS(INDIRECT("Data_main"&amp;"["&amp;BB$8&amp;"]"),Data_main[Data],$A111, Data_main[Segment],$B111, Data_main[Scenario],$B$3))</f>
        <v>0</v>
      </c>
      <c r="BC111" s="390">
        <f ca="1">IF($B$6="ON", IF(BC110&gt;=covid_start, IF(BC110&lt;covid_recovery,NA(),SUMIFS(INDIRECT("Data_main"&amp;"["&amp;BC$8&amp;"]"),Data_main[Data],$A111, Data_main[Segment],$B111, Data_main[Scenario],$B$3)),SUMIFS(INDIRECT("Data_main"&amp;"["&amp;BC$8&amp;"]"),Data_main[Data],$A111, Data_main[Segment],$B111, Data_main[Scenario],$B$3)),SUMIFS(INDIRECT("Data_main"&amp;"["&amp;BC$8&amp;"]"),Data_main[Data],$A111, Data_main[Segment],$B111, Data_main[Scenario],$B$3))</f>
        <v>0</v>
      </c>
      <c r="BD111" s="390">
        <f ca="1">IF($B$6="ON", IF(BD110&gt;=covid_start, IF(BD110&lt;covid_recovery,NA(),SUMIFS(INDIRECT("Data_main"&amp;"["&amp;BD$8&amp;"]"),Data_main[Data],$A111, Data_main[Segment],$B111, Data_main[Scenario],$B$3)),SUMIFS(INDIRECT("Data_main"&amp;"["&amp;BD$8&amp;"]"),Data_main[Data],$A111, Data_main[Segment],$B111, Data_main[Scenario],$B$3)),SUMIFS(INDIRECT("Data_main"&amp;"["&amp;BD$8&amp;"]"),Data_main[Data],$A111, Data_main[Segment],$B111, Data_main[Scenario],$B$3))</f>
        <v>0</v>
      </c>
      <c r="BE111" s="390">
        <f ca="1">IF($B$6="ON", IF(BE110&gt;=covid_start, IF(BE110&lt;covid_recovery,NA(),SUMIFS(INDIRECT("Data_main"&amp;"["&amp;BE$8&amp;"]"),Data_main[Data],$A111, Data_main[Segment],$B111, Data_main[Scenario],$B$3)),SUMIFS(INDIRECT("Data_main"&amp;"["&amp;BE$8&amp;"]"),Data_main[Data],$A111, Data_main[Segment],$B111, Data_main[Scenario],$B$3)),SUMIFS(INDIRECT("Data_main"&amp;"["&amp;BE$8&amp;"]"),Data_main[Data],$A111, Data_main[Segment],$B111, Data_main[Scenario],$B$3))</f>
        <v>0</v>
      </c>
      <c r="BF111" s="390">
        <f ca="1">IF($B$6="ON", IF(BF110&gt;=covid_start, IF(BF110&lt;covid_recovery,NA(),SUMIFS(INDIRECT("Data_main"&amp;"["&amp;BF$8&amp;"]"),Data_main[Data],$A111, Data_main[Segment],$B111, Data_main[Scenario],$B$3)),SUMIFS(INDIRECT("Data_main"&amp;"["&amp;BF$8&amp;"]"),Data_main[Data],$A111, Data_main[Segment],$B111, Data_main[Scenario],$B$3)),SUMIFS(INDIRECT("Data_main"&amp;"["&amp;BF$8&amp;"]"),Data_main[Data],$A111, Data_main[Segment],$B111, Data_main[Scenario],$B$3))</f>
        <v>0</v>
      </c>
      <c r="BG111" s="390">
        <f ca="1">IF($B$6="ON", IF(BG110&gt;=covid_start, IF(BG110&lt;covid_recovery,NA(),SUMIFS(INDIRECT("Data_main"&amp;"["&amp;BG$8&amp;"]"),Data_main[Data],$A111, Data_main[Segment],$B111, Data_main[Scenario],$B$3)),SUMIFS(INDIRECT("Data_main"&amp;"["&amp;BG$8&amp;"]"),Data_main[Data],$A111, Data_main[Segment],$B111, Data_main[Scenario],$B$3)),SUMIFS(INDIRECT("Data_main"&amp;"["&amp;BG$8&amp;"]"),Data_main[Data],$A111, Data_main[Segment],$B111, Data_main[Scenario],$B$3))</f>
        <v>0</v>
      </c>
      <c r="BH111" s="390">
        <f ca="1">IF($B$6="ON", IF(BH110&gt;=covid_start, IF(BH110&lt;covid_recovery,NA(),SUMIFS(INDIRECT("Data_main"&amp;"["&amp;BH$8&amp;"]"),Data_main[Data],$A111, Data_main[Segment],$B111, Data_main[Scenario],$B$3)),SUMIFS(INDIRECT("Data_main"&amp;"["&amp;BH$8&amp;"]"),Data_main[Data],$A111, Data_main[Segment],$B111, Data_main[Scenario],$B$3)),SUMIFS(INDIRECT("Data_main"&amp;"["&amp;BH$8&amp;"]"),Data_main[Data],$A111, Data_main[Segment],$B111, Data_main[Scenario],$B$3))</f>
        <v>0</v>
      </c>
      <c r="BI111" s="390">
        <f ca="1">IF($B$6="ON", IF(BI110&gt;=covid_start, IF(BI110&lt;covid_recovery,NA(),SUMIFS(INDIRECT("Data_main"&amp;"["&amp;BI$8&amp;"]"),Data_main[Data],$A111, Data_main[Segment],$B111, Data_main[Scenario],$B$3)),SUMIFS(INDIRECT("Data_main"&amp;"["&amp;BI$8&amp;"]"),Data_main[Data],$A111, Data_main[Segment],$B111, Data_main[Scenario],$B$3)),SUMIFS(INDIRECT("Data_main"&amp;"["&amp;BI$8&amp;"]"),Data_main[Data],$A111, Data_main[Segment],$B111, Data_main[Scenario],$B$3))</f>
        <v>0</v>
      </c>
      <c r="BJ111" s="390">
        <f ca="1">IF($B$6="ON", IF(BJ110&gt;=covid_start, IF(BJ110&lt;covid_recovery,NA(),SUMIFS(INDIRECT("Data_main"&amp;"["&amp;BJ$8&amp;"]"),Data_main[Data],$A111, Data_main[Segment],$B111, Data_main[Scenario],$B$3)),SUMIFS(INDIRECT("Data_main"&amp;"["&amp;BJ$8&amp;"]"),Data_main[Data],$A111, Data_main[Segment],$B111, Data_main[Scenario],$B$3)),SUMIFS(INDIRECT("Data_main"&amp;"["&amp;BJ$8&amp;"]"),Data_main[Data],$A111, Data_main[Segment],$B111, Data_main[Scenario],$B$3))</f>
        <v>0</v>
      </c>
      <c r="BK111" s="390">
        <f ca="1">IF($B$6="ON", IF(BK110&gt;=covid_start, IF(BK110&lt;covid_recovery,NA(),SUMIFS(INDIRECT("Data_main"&amp;"["&amp;BK$8&amp;"]"),Data_main[Data],$A111, Data_main[Segment],$B111, Data_main[Scenario],$B$3)),SUMIFS(INDIRECT("Data_main"&amp;"["&amp;BK$8&amp;"]"),Data_main[Data],$A111, Data_main[Segment],$B111, Data_main[Scenario],$B$3)),SUMIFS(INDIRECT("Data_main"&amp;"["&amp;BK$8&amp;"]"),Data_main[Data],$A111, Data_main[Segment],$B111, Data_main[Scenario],$B$3))</f>
        <v>0</v>
      </c>
      <c r="BL111" s="390">
        <f ca="1">IF($B$6="ON", IF(BL110&gt;=covid_start, IF(BL110&lt;covid_recovery,NA(),SUMIFS(INDIRECT("Data_main"&amp;"["&amp;BL$8&amp;"]"),Data_main[Data],$A111, Data_main[Segment],$B111, Data_main[Scenario],$B$3)),SUMIFS(INDIRECT("Data_main"&amp;"["&amp;BL$8&amp;"]"),Data_main[Data],$A111, Data_main[Segment],$B111, Data_main[Scenario],$B$3)),SUMIFS(INDIRECT("Data_main"&amp;"["&amp;BL$8&amp;"]"),Data_main[Data],$A111, Data_main[Segment],$B111, Data_main[Scenario],$B$3))</f>
        <v>0</v>
      </c>
      <c r="BM111" s="390">
        <f ca="1">IF($B$6="ON", IF(BM110&gt;=covid_start, IF(BM110&lt;covid_recovery,NA(),SUMIFS(INDIRECT("Data_main"&amp;"["&amp;BM$8&amp;"]"),Data_main[Data],$A111, Data_main[Segment],$B111, Data_main[Scenario],$B$3)),SUMIFS(INDIRECT("Data_main"&amp;"["&amp;BM$8&amp;"]"),Data_main[Data],$A111, Data_main[Segment],$B111, Data_main[Scenario],$B$3)),SUMIFS(INDIRECT("Data_main"&amp;"["&amp;BM$8&amp;"]"),Data_main[Data],$A111, Data_main[Segment],$B111, Data_main[Scenario],$B$3))</f>
        <v>0</v>
      </c>
      <c r="BN111" s="390">
        <f ca="1">IF($B$6="ON", IF(BN110&gt;=covid_start, IF(BN110&lt;covid_recovery,NA(),SUMIFS(INDIRECT("Data_main"&amp;"["&amp;BN$8&amp;"]"),Data_main[Data],$A111, Data_main[Segment],$B111, Data_main[Scenario],$B$3)),SUMIFS(INDIRECT("Data_main"&amp;"["&amp;BN$8&amp;"]"),Data_main[Data],$A111, Data_main[Segment],$B111, Data_main[Scenario],$B$3)),SUMIFS(INDIRECT("Data_main"&amp;"["&amp;BN$8&amp;"]"),Data_main[Data],$A111, Data_main[Segment],$B111, Data_main[Scenario],$B$3))</f>
        <v>0</v>
      </c>
      <c r="BO111" s="390">
        <f ca="1">IF($B$6="ON", IF(BO110&gt;=covid_start, IF(BO110&lt;covid_recovery,NA(),SUMIFS(INDIRECT("Data_main"&amp;"["&amp;BO$8&amp;"]"),Data_main[Data],$A111, Data_main[Segment],$B111, Data_main[Scenario],$B$3)),SUMIFS(INDIRECT("Data_main"&amp;"["&amp;BO$8&amp;"]"),Data_main[Data],$A111, Data_main[Segment],$B111, Data_main[Scenario],$B$3)),SUMIFS(INDIRECT("Data_main"&amp;"["&amp;BO$8&amp;"]"),Data_main[Data],$A111, Data_main[Segment],$B111, Data_main[Scenario],$B$3))</f>
        <v>0</v>
      </c>
      <c r="BP111" s="390">
        <f ca="1">IF($B$6="ON", IF(BP110&gt;=covid_start, IF(BP110&lt;covid_recovery,NA(),SUMIFS(INDIRECT("Data_main"&amp;"["&amp;BP$8&amp;"]"),Data_main[Data],$A111, Data_main[Segment],$B111, Data_main[Scenario],$B$3)),SUMIFS(INDIRECT("Data_main"&amp;"["&amp;BP$8&amp;"]"),Data_main[Data],$A111, Data_main[Segment],$B111, Data_main[Scenario],$B$3)),SUMIFS(INDIRECT("Data_main"&amp;"["&amp;BP$8&amp;"]"),Data_main[Data],$A111, Data_main[Segment],$B111, Data_main[Scenario],$B$3))</f>
        <v>0</v>
      </c>
      <c r="BQ111" s="390">
        <f ca="1">IF($B$6="ON", IF(BQ110&gt;=covid_start, IF(BQ110&lt;covid_recovery,NA(),SUMIFS(INDIRECT("Data_main"&amp;"["&amp;BQ$8&amp;"]"),Data_main[Data],$A111, Data_main[Segment],$B111, Data_main[Scenario],$B$3)),SUMIFS(INDIRECT("Data_main"&amp;"["&amp;BQ$8&amp;"]"),Data_main[Data],$A111, Data_main[Segment],$B111, Data_main[Scenario],$B$3)),SUMIFS(INDIRECT("Data_main"&amp;"["&amp;BQ$8&amp;"]"),Data_main[Data],$A111, Data_main[Segment],$B111, Data_main[Scenario],$B$3))</f>
        <v>0</v>
      </c>
      <c r="BR111" s="390">
        <f ca="1">IF($B$6="ON", IF(BR110&gt;=covid_start, IF(BR110&lt;covid_recovery,NA(),SUMIFS(INDIRECT("Data_main"&amp;"["&amp;BR$8&amp;"]"),Data_main[Data],$A111, Data_main[Segment],$B111, Data_main[Scenario],$B$3)),SUMIFS(INDIRECT("Data_main"&amp;"["&amp;BR$8&amp;"]"),Data_main[Data],$A111, Data_main[Segment],$B111, Data_main[Scenario],$B$3)),SUMIFS(INDIRECT("Data_main"&amp;"["&amp;BR$8&amp;"]"),Data_main[Data],$A111, Data_main[Segment],$B111, Data_main[Scenario],$B$3))</f>
        <v>0</v>
      </c>
      <c r="BS111" s="390">
        <f ca="1">IF($B$6="ON", IF(BS110&gt;=covid_start, IF(BS110&lt;covid_recovery,NA(),SUMIFS(INDIRECT("Data_main"&amp;"["&amp;BS$8&amp;"]"),Data_main[Data],$A111, Data_main[Segment],$B111, Data_main[Scenario],$B$3)),SUMIFS(INDIRECT("Data_main"&amp;"["&amp;BS$8&amp;"]"),Data_main[Data],$A111, Data_main[Segment],$B111, Data_main[Scenario],$B$3)),SUMIFS(INDIRECT("Data_main"&amp;"["&amp;BS$8&amp;"]"),Data_main[Data],$A111, Data_main[Segment],$B111, Data_main[Scenario],$B$3))</f>
        <v>0</v>
      </c>
      <c r="BT111" s="390">
        <f ca="1">IF($B$6="ON", IF(BT110&gt;=covid_start, IF(BT110&lt;covid_recovery,NA(),SUMIFS(INDIRECT("Data_main"&amp;"["&amp;BT$8&amp;"]"),Data_main[Data],$A111, Data_main[Segment],$B111, Data_main[Scenario],$B$3)),SUMIFS(INDIRECT("Data_main"&amp;"["&amp;BT$8&amp;"]"),Data_main[Data],$A111, Data_main[Segment],$B111, Data_main[Scenario],$B$3)),SUMIFS(INDIRECT("Data_main"&amp;"["&amp;BT$8&amp;"]"),Data_main[Data],$A111, Data_main[Segment],$B111, Data_main[Scenario],$B$3))</f>
        <v>0</v>
      </c>
      <c r="BU111" s="390">
        <f ca="1">IF($B$6="ON", IF(BU110&gt;=covid_start, IF(BU110&lt;covid_recovery,NA(),SUMIFS(INDIRECT("Data_main"&amp;"["&amp;BU$8&amp;"]"),Data_main[Data],$A111, Data_main[Segment],$B111, Data_main[Scenario],$B$3)),SUMIFS(INDIRECT("Data_main"&amp;"["&amp;BU$8&amp;"]"),Data_main[Data],$A111, Data_main[Segment],$B111, Data_main[Scenario],$B$3)),SUMIFS(INDIRECT("Data_main"&amp;"["&amp;BU$8&amp;"]"),Data_main[Data],$A111, Data_main[Segment],$B111, Data_main[Scenario],$B$3))</f>
        <v>0</v>
      </c>
      <c r="BV111" s="390">
        <f ca="1">IF($B$6="ON", IF(BV110&gt;=covid_start, IF(BV110&lt;covid_recovery,NA(),SUMIFS(INDIRECT("Data_main"&amp;"["&amp;BV$8&amp;"]"),Data_main[Data],$A111, Data_main[Segment],$B111, Data_main[Scenario],$B$3)),SUMIFS(INDIRECT("Data_main"&amp;"["&amp;BV$8&amp;"]"),Data_main[Data],$A111, Data_main[Segment],$B111, Data_main[Scenario],$B$3)),SUMIFS(INDIRECT("Data_main"&amp;"["&amp;BV$8&amp;"]"),Data_main[Data],$A111, Data_main[Segment],$B111, Data_main[Scenario],$B$3))</f>
        <v>0</v>
      </c>
      <c r="BW111" s="390">
        <f ca="1">IF($B$6="ON", IF(BW110&gt;=covid_start, IF(BW110&lt;covid_recovery,NA(),SUMIFS(INDIRECT("Data_main"&amp;"["&amp;BW$8&amp;"]"),Data_main[Data],$A111, Data_main[Segment],$B111, Data_main[Scenario],$B$3)),SUMIFS(INDIRECT("Data_main"&amp;"["&amp;BW$8&amp;"]"),Data_main[Data],$A111, Data_main[Segment],$B111, Data_main[Scenario],$B$3)),SUMIFS(INDIRECT("Data_main"&amp;"["&amp;BW$8&amp;"]"),Data_main[Data],$A111, Data_main[Segment],$B111, Data_main[Scenario],$B$3))</f>
        <v>0</v>
      </c>
      <c r="BX111" s="390">
        <f ca="1">IF($B$6="ON", IF(BX110&gt;=covid_start, IF(BX110&lt;covid_recovery,NA(),SUMIFS(INDIRECT("Data_main"&amp;"["&amp;BX$8&amp;"]"),Data_main[Data],$A111, Data_main[Segment],$B111, Data_main[Scenario],$B$3)),SUMIFS(INDIRECT("Data_main"&amp;"["&amp;BX$8&amp;"]"),Data_main[Data],$A111, Data_main[Segment],$B111, Data_main[Scenario],$B$3)),SUMIFS(INDIRECT("Data_main"&amp;"["&amp;BX$8&amp;"]"),Data_main[Data],$A111, Data_main[Segment],$B111, Data_main[Scenario],$B$3))</f>
        <v>0</v>
      </c>
      <c r="BY111" s="390">
        <f ca="1">IF($B$6="ON", IF(BY110&gt;=covid_start, IF(BY110&lt;covid_recovery,NA(),SUMIFS(INDIRECT("Data_main"&amp;"["&amp;BY$8&amp;"]"),Data_main[Data],$A111, Data_main[Segment],$B111, Data_main[Scenario],$B$3)),SUMIFS(INDIRECT("Data_main"&amp;"["&amp;BY$8&amp;"]"),Data_main[Data],$A111, Data_main[Segment],$B111, Data_main[Scenario],$B$3)),SUMIFS(INDIRECT("Data_main"&amp;"["&amp;BY$8&amp;"]"),Data_main[Data],$A111, Data_main[Segment],$B111, Data_main[Scenario],$B$3))</f>
        <v>0</v>
      </c>
      <c r="BZ111" s="390">
        <f ca="1">IF($B$6="ON", IF(BZ110&gt;=covid_start, IF(BZ110&lt;covid_recovery,NA(),SUMIFS(INDIRECT("Data_main"&amp;"["&amp;BZ$8&amp;"]"),Data_main[Data],$A111, Data_main[Segment],$B111, Data_main[Scenario],$B$3)),SUMIFS(INDIRECT("Data_main"&amp;"["&amp;BZ$8&amp;"]"),Data_main[Data],$A111, Data_main[Segment],$B111, Data_main[Scenario],$B$3)),SUMIFS(INDIRECT("Data_main"&amp;"["&amp;BZ$8&amp;"]"),Data_main[Data],$A111, Data_main[Segment],$B111, Data_main[Scenario],$B$3))</f>
        <v>0</v>
      </c>
      <c r="CA111" s="390">
        <f ca="1">IF($B$6="ON", IF(CA110&gt;=covid_start, IF(CA110&lt;covid_recovery,NA(),SUMIFS(INDIRECT("Data_main"&amp;"["&amp;CA$8&amp;"]"),Data_main[Data],$A111, Data_main[Segment],$B111, Data_main[Scenario],$B$3)),SUMIFS(INDIRECT("Data_main"&amp;"["&amp;CA$8&amp;"]"),Data_main[Data],$A111, Data_main[Segment],$B111, Data_main[Scenario],$B$3)),SUMIFS(INDIRECT("Data_main"&amp;"["&amp;CA$8&amp;"]"),Data_main[Data],$A111, Data_main[Segment],$B111, Data_main[Scenario],$B$3))</f>
        <v>0</v>
      </c>
      <c r="CB111" s="390">
        <f ca="1">IF($B$6="ON", IF(CB110&gt;=covid_start, IF(CB110&lt;covid_recovery,NA(),SUMIFS(INDIRECT("Data_main"&amp;"["&amp;CB$8&amp;"]"),Data_main[Data],$A111, Data_main[Segment],$B111, Data_main[Scenario],$B$3)),SUMIFS(INDIRECT("Data_main"&amp;"["&amp;CB$8&amp;"]"),Data_main[Data],$A111, Data_main[Segment],$B111, Data_main[Scenario],$B$3)),SUMIFS(INDIRECT("Data_main"&amp;"["&amp;CB$8&amp;"]"),Data_main[Data],$A111, Data_main[Segment],$B111, Data_main[Scenario],$B$3))</f>
        <v>0</v>
      </c>
      <c r="CC111" s="390">
        <f ca="1">IF($B$6="ON", IF(CC110&gt;=covid_start, IF(CC110&lt;covid_recovery,NA(),SUMIFS(INDIRECT("Data_main"&amp;"["&amp;CC$8&amp;"]"),Data_main[Data],$A111, Data_main[Segment],$B111, Data_main[Scenario],$B$3)),SUMIFS(INDIRECT("Data_main"&amp;"["&amp;CC$8&amp;"]"),Data_main[Data],$A111, Data_main[Segment],$B111, Data_main[Scenario],$B$3)),SUMIFS(INDIRECT("Data_main"&amp;"["&amp;CC$8&amp;"]"),Data_main[Data],$A111, Data_main[Segment],$B111, Data_main[Scenario],$B$3))</f>
        <v>0</v>
      </c>
      <c r="CD111" s="390">
        <f ca="1">IF($B$6="ON", IF(CD110&gt;=covid_start, IF(CD110&lt;covid_recovery,NA(),SUMIFS(INDIRECT("Data_main"&amp;"["&amp;CD$8&amp;"]"),Data_main[Data],$A111, Data_main[Segment],$B111, Data_main[Scenario],$B$3)),SUMIFS(INDIRECT("Data_main"&amp;"["&amp;CD$8&amp;"]"),Data_main[Data],$A111, Data_main[Segment],$B111, Data_main[Scenario],$B$3)),SUMIFS(INDIRECT("Data_main"&amp;"["&amp;CD$8&amp;"]"),Data_main[Data],$A111, Data_main[Segment],$B111, Data_main[Scenario],$B$3))</f>
        <v>0</v>
      </c>
      <c r="CE111" s="390">
        <f ca="1">IF($B$6="ON", IF(CE110&gt;=covid_start, IF(CE110&lt;covid_recovery,NA(),SUMIFS(INDIRECT("Data_main"&amp;"["&amp;CE$8&amp;"]"),Data_main[Data],$A111, Data_main[Segment],$B111, Data_main[Scenario],$B$3)),SUMIFS(INDIRECT("Data_main"&amp;"["&amp;CE$8&amp;"]"),Data_main[Data],$A111, Data_main[Segment],$B111, Data_main[Scenario],$B$3)),SUMIFS(INDIRECT("Data_main"&amp;"["&amp;CE$8&amp;"]"),Data_main[Data],$A111, Data_main[Segment],$B111, Data_main[Scenario],$B$3))</f>
        <v>0</v>
      </c>
      <c r="CF111" s="390">
        <f ca="1">IF($B$6="ON", IF(CF110&gt;=covid_start, IF(CF110&lt;covid_recovery,NA(),SUMIFS(INDIRECT("Data_main"&amp;"["&amp;CF$8&amp;"]"),Data_main[Data],$A111, Data_main[Segment],$B111, Data_main[Scenario],$B$3)),SUMIFS(INDIRECT("Data_main"&amp;"["&amp;CF$8&amp;"]"),Data_main[Data],$A111, Data_main[Segment],$B111, Data_main[Scenario],$B$3)),SUMIFS(INDIRECT("Data_main"&amp;"["&amp;CF$8&amp;"]"),Data_main[Data],$A111, Data_main[Segment],$B111, Data_main[Scenario],$B$3))</f>
        <v>0</v>
      </c>
      <c r="CG111" s="390">
        <f ca="1">IF($B$6="ON", IF(CG110&gt;=covid_start, IF(CG110&lt;covid_recovery,NA(),SUMIFS(INDIRECT("Data_main"&amp;"["&amp;CG$8&amp;"]"),Data_main[Data],$A111, Data_main[Segment],$B111, Data_main[Scenario],$B$3)),SUMIFS(INDIRECT("Data_main"&amp;"["&amp;CG$8&amp;"]"),Data_main[Data],$A111, Data_main[Segment],$B111, Data_main[Scenario],$B$3)),SUMIFS(INDIRECT("Data_main"&amp;"["&amp;CG$8&amp;"]"),Data_main[Data],$A111, Data_main[Segment],$B111, Data_main[Scenario],$B$3))</f>
        <v>0</v>
      </c>
      <c r="CH111" s="390">
        <f ca="1">IF($B$6="ON", IF(CH110&gt;=covid_start, IF(CH110&lt;covid_recovery,NA(),SUMIFS(INDIRECT("Data_main"&amp;"["&amp;CH$8&amp;"]"),Data_main[Data],$A111, Data_main[Segment],$B111, Data_main[Scenario],$B$3)),SUMIFS(INDIRECT("Data_main"&amp;"["&amp;CH$8&amp;"]"),Data_main[Data],$A111, Data_main[Segment],$B111, Data_main[Scenario],$B$3)),SUMIFS(INDIRECT("Data_main"&amp;"["&amp;CH$8&amp;"]"),Data_main[Data],$A111, Data_main[Segment],$B111, Data_main[Scenario],$B$3))</f>
        <v>0</v>
      </c>
      <c r="CI111" s="390">
        <f ca="1">IF($B$6="ON", IF(CI110&gt;=covid_start, IF(CI110&lt;covid_recovery,NA(),SUMIFS(INDIRECT("Data_main"&amp;"["&amp;CI$8&amp;"]"),Data_main[Data],$A111, Data_main[Segment],$B111, Data_main[Scenario],$B$3)),SUMIFS(INDIRECT("Data_main"&amp;"["&amp;CI$8&amp;"]"),Data_main[Data],$A111, Data_main[Segment],$B111, Data_main[Scenario],$B$3)),SUMIFS(INDIRECT("Data_main"&amp;"["&amp;CI$8&amp;"]"),Data_main[Data],$A111, Data_main[Segment],$B111, Data_main[Scenario],$B$3))</f>
        <v>0</v>
      </c>
      <c r="CJ111" s="390">
        <f ca="1">IF($B$6="ON", IF(CJ110&gt;=covid_start, IF(CJ110&lt;covid_recovery,NA(),SUMIFS(INDIRECT("Data_main"&amp;"["&amp;CJ$8&amp;"]"),Data_main[Data],$A111, Data_main[Segment],$B111, Data_main[Scenario],$B$3)),SUMIFS(INDIRECT("Data_main"&amp;"["&amp;CJ$8&amp;"]"),Data_main[Data],$A111, Data_main[Segment],$B111, Data_main[Scenario],$B$3)),SUMIFS(INDIRECT("Data_main"&amp;"["&amp;CJ$8&amp;"]"),Data_main[Data],$A111, Data_main[Segment],$B111, Data_main[Scenario],$B$3))</f>
        <v>0</v>
      </c>
      <c r="CK111" s="390">
        <f ca="1">IF($B$6="ON", IF(CK110&gt;=covid_start, IF(CK110&lt;covid_recovery,NA(),SUMIFS(INDIRECT("Data_main"&amp;"["&amp;CK$8&amp;"]"),Data_main[Data],$A111, Data_main[Segment],$B111, Data_main[Scenario],$B$3)),SUMIFS(INDIRECT("Data_main"&amp;"["&amp;CK$8&amp;"]"),Data_main[Data],$A111, Data_main[Segment],$B111, Data_main[Scenario],$B$3)),SUMIFS(INDIRECT("Data_main"&amp;"["&amp;CK$8&amp;"]"),Data_main[Data],$A111, Data_main[Segment],$B111, Data_main[Scenario],$B$3))</f>
        <v>0</v>
      </c>
      <c r="CL111" s="390">
        <f ca="1">IF($B$6="ON", IF(CL110&gt;=covid_start, IF(CL110&lt;covid_recovery,NA(),SUMIFS(INDIRECT("Data_main"&amp;"["&amp;CL$8&amp;"]"),Data_main[Data],$A111, Data_main[Segment],$B111, Data_main[Scenario],$B$3)),SUMIFS(INDIRECT("Data_main"&amp;"["&amp;CL$8&amp;"]"),Data_main[Data],$A111, Data_main[Segment],$B111, Data_main[Scenario],$B$3)),SUMIFS(INDIRECT("Data_main"&amp;"["&amp;CL$8&amp;"]"),Data_main[Data],$A111, Data_main[Segment],$B111, Data_main[Scenario],$B$3))</f>
        <v>0</v>
      </c>
      <c r="CN111" s="391" t="str">
        <f ca="1">IFERROR((Y111/H111)^(1/17)-1,"")</f>
        <v/>
      </c>
      <c r="CO111" s="391" t="str">
        <f ca="1">IFERROR((AN111/Y111)^(1/15)-1,"")</f>
        <v/>
      </c>
      <c r="CP111" s="391" t="str">
        <f ca="1">IFERROR((AN111/H111)^(1/32)-1,"")</f>
        <v/>
      </c>
    </row>
    <row r="112" spans="1:94" hidden="1" outlineLevel="1">
      <c r="A112" s="392" t="s">
        <v>157</v>
      </c>
      <c r="B112" s="392" t="s">
        <v>417</v>
      </c>
      <c r="C112" s="393" t="s">
        <v>353</v>
      </c>
      <c r="D112" s="389"/>
      <c r="E112" s="390">
        <f ca="1">IF($B$6="ON", IF(E110&gt;=covid_start, IF(E110&lt;covid_recovery,NA(),SUMIFS(INDIRECT("Data_main"&amp;"["&amp;E$8&amp;"]"),Data_main[Data],$A112, Data_main[Segment],$B112, Data_main[Scenario],$B$3)),SUMIFS(INDIRECT("Data_main"&amp;"["&amp;E$8&amp;"]"),Data_main[Data],$A112, Data_main[Segment],$B112, Data_main[Scenario],$B$3)),SUMIFS(INDIRECT("Data_main"&amp;"["&amp;E$8&amp;"]"),Data_main[Data],$A112, Data_main[Segment],$B112, Data_main[Scenario],$B$3))</f>
        <v>0</v>
      </c>
      <c r="F112" s="390">
        <f ca="1">IF($B$6="ON", IF(F110&gt;=covid_start, IF(F110&lt;covid_recovery,NA(),SUMIFS(INDIRECT("Data_main"&amp;"["&amp;F$8&amp;"]"),Data_main[Data],$A112, Data_main[Segment],$B112, Data_main[Scenario],$B$3)),SUMIFS(INDIRECT("Data_main"&amp;"["&amp;F$8&amp;"]"),Data_main[Data],$A112, Data_main[Segment],$B112, Data_main[Scenario],$B$3)),SUMIFS(INDIRECT("Data_main"&amp;"["&amp;F$8&amp;"]"),Data_main[Data],$A112, Data_main[Segment],$B112, Data_main[Scenario],$B$3))</f>
        <v>0</v>
      </c>
      <c r="G112" s="390">
        <f ca="1">IF($B$6="ON", IF(G110&gt;=covid_start, IF(G110&lt;covid_recovery,NA(),SUMIFS(INDIRECT("Data_main"&amp;"["&amp;G$8&amp;"]"),Data_main[Data],$A112, Data_main[Segment],$B112, Data_main[Scenario],$B$3)),SUMIFS(INDIRECT("Data_main"&amp;"["&amp;G$8&amp;"]"),Data_main[Data],$A112, Data_main[Segment],$B112, Data_main[Scenario],$B$3)),SUMIFS(INDIRECT("Data_main"&amp;"["&amp;G$8&amp;"]"),Data_main[Data],$A112, Data_main[Segment],$B112, Data_main[Scenario],$B$3))</f>
        <v>0</v>
      </c>
      <c r="H112" s="390">
        <f ca="1">IF($B$6="ON", IF(H110&gt;=covid_start, IF(H110&lt;covid_recovery,NA(),SUMIFS(INDIRECT("Data_main"&amp;"["&amp;H$8&amp;"]"),Data_main[Data],$A112, Data_main[Segment],$B112, Data_main[Scenario],$B$3)),SUMIFS(INDIRECT("Data_main"&amp;"["&amp;H$8&amp;"]"),Data_main[Data],$A112, Data_main[Segment],$B112, Data_main[Scenario],$B$3)),SUMIFS(INDIRECT("Data_main"&amp;"["&amp;H$8&amp;"]"),Data_main[Data],$A112, Data_main[Segment],$B112, Data_main[Scenario],$B$3))</f>
        <v>0</v>
      </c>
      <c r="I112" s="390">
        <f ca="1">IF($B$6="ON", IF(I110&gt;=covid_start, IF(I110&lt;covid_recovery,NA(),SUMIFS(INDIRECT("Data_main"&amp;"["&amp;I$8&amp;"]"),Data_main[Data],$A112, Data_main[Segment],$B112, Data_main[Scenario],$B$3)),SUMIFS(INDIRECT("Data_main"&amp;"["&amp;I$8&amp;"]"),Data_main[Data],$A112, Data_main[Segment],$B112, Data_main[Scenario],$B$3)),SUMIFS(INDIRECT("Data_main"&amp;"["&amp;I$8&amp;"]"),Data_main[Data],$A112, Data_main[Segment],$B112, Data_main[Scenario],$B$3))</f>
        <v>0</v>
      </c>
      <c r="J112" s="390" t="e">
        <f ca="1">IF($B$6="ON", IF(J110&gt;=covid_start, IF(J110&lt;covid_recovery,NA(),SUMIFS(INDIRECT("Data_main"&amp;"["&amp;J$8&amp;"]"),Data_main[Data],$A112, Data_main[Segment],$B112, Data_main[Scenario],$B$3)),SUMIFS(INDIRECT("Data_main"&amp;"["&amp;J$8&amp;"]"),Data_main[Data],$A112, Data_main[Segment],$B112, Data_main[Scenario],$B$3)),SUMIFS(INDIRECT("Data_main"&amp;"["&amp;J$8&amp;"]"),Data_main[Data],$A112, Data_main[Segment],$B112, Data_main[Scenario],$B$3))</f>
        <v>#N/A</v>
      </c>
      <c r="K112" s="390" t="e">
        <f ca="1">IF($B$6="ON", IF(K110&gt;=covid_start, IF(K110&lt;covid_recovery,NA(),SUMIFS(INDIRECT("Data_main"&amp;"["&amp;K$8&amp;"]"),Data_main[Data],$A112, Data_main[Segment],$B112, Data_main[Scenario],$B$3)),SUMIFS(INDIRECT("Data_main"&amp;"["&amp;K$8&amp;"]"),Data_main[Data],$A112, Data_main[Segment],$B112, Data_main[Scenario],$B$3)),SUMIFS(INDIRECT("Data_main"&amp;"["&amp;K$8&amp;"]"),Data_main[Data],$A112, Data_main[Segment],$B112, Data_main[Scenario],$B$3))</f>
        <v>#N/A</v>
      </c>
      <c r="L112" s="390" t="e">
        <f ca="1">IF($B$6="ON", IF(L110&gt;=covid_start, IF(L110&lt;covid_recovery,NA(),SUMIFS(INDIRECT("Data_main"&amp;"["&amp;L$8&amp;"]"),Data_main[Data],$A112, Data_main[Segment],$B112, Data_main[Scenario],$B$3)),SUMIFS(INDIRECT("Data_main"&amp;"["&amp;L$8&amp;"]"),Data_main[Data],$A112, Data_main[Segment],$B112, Data_main[Scenario],$B$3)),SUMIFS(INDIRECT("Data_main"&amp;"["&amp;L$8&amp;"]"),Data_main[Data],$A112, Data_main[Segment],$B112, Data_main[Scenario],$B$3))</f>
        <v>#N/A</v>
      </c>
      <c r="M112" s="390">
        <f ca="1">IF($B$6="ON", IF(M110&gt;=covid_start, IF(M110&lt;covid_recovery,NA(),SUMIFS(INDIRECT("Data_main"&amp;"["&amp;M$8&amp;"]"),Data_main[Data],$A112, Data_main[Segment],$B112, Data_main[Scenario],$B$3)),SUMIFS(INDIRECT("Data_main"&amp;"["&amp;M$8&amp;"]"),Data_main[Data],$A112, Data_main[Segment],$B112, Data_main[Scenario],$B$3)),SUMIFS(INDIRECT("Data_main"&amp;"["&amp;M$8&amp;"]"),Data_main[Data],$A112, Data_main[Segment],$B112, Data_main[Scenario],$B$3))</f>
        <v>0</v>
      </c>
      <c r="N112" s="390">
        <f ca="1">IF($B$6="ON", IF(N110&gt;=covid_start, IF(N110&lt;covid_recovery,NA(),SUMIFS(INDIRECT("Data_main"&amp;"["&amp;N$8&amp;"]"),Data_main[Data],$A112, Data_main[Segment],$B112, Data_main[Scenario],$B$3)),SUMIFS(INDIRECT("Data_main"&amp;"["&amp;N$8&amp;"]"),Data_main[Data],$A112, Data_main[Segment],$B112, Data_main[Scenario],$B$3)),SUMIFS(INDIRECT("Data_main"&amp;"["&amp;N$8&amp;"]"),Data_main[Data],$A112, Data_main[Segment],$B112, Data_main[Scenario],$B$3))</f>
        <v>0</v>
      </c>
      <c r="O112" s="390">
        <f ca="1">IF($B$6="ON", IF(O110&gt;=covid_start, IF(O110&lt;covid_recovery,NA(),SUMIFS(INDIRECT("Data_main"&amp;"["&amp;O$8&amp;"]"),Data_main[Data],$A112, Data_main[Segment],$B112, Data_main[Scenario],$B$3)),SUMIFS(INDIRECT("Data_main"&amp;"["&amp;O$8&amp;"]"),Data_main[Data],$A112, Data_main[Segment],$B112, Data_main[Scenario],$B$3)),SUMIFS(INDIRECT("Data_main"&amp;"["&amp;O$8&amp;"]"),Data_main[Data],$A112, Data_main[Segment],$B112, Data_main[Scenario],$B$3))</f>
        <v>0</v>
      </c>
      <c r="P112" s="390">
        <f ca="1">IF($B$6="ON", IF(P110&gt;=covid_start, IF(P110&lt;covid_recovery,NA(),SUMIFS(INDIRECT("Data_main"&amp;"["&amp;P$8&amp;"]"),Data_main[Data],$A112, Data_main[Segment],$B112, Data_main[Scenario],$B$3)),SUMIFS(INDIRECT("Data_main"&amp;"["&amp;P$8&amp;"]"),Data_main[Data],$A112, Data_main[Segment],$B112, Data_main[Scenario],$B$3)),SUMIFS(INDIRECT("Data_main"&amp;"["&amp;P$8&amp;"]"),Data_main[Data],$A112, Data_main[Segment],$B112, Data_main[Scenario],$B$3))</f>
        <v>0</v>
      </c>
      <c r="Q112" s="390">
        <f ca="1">IF($B$6="ON", IF(Q110&gt;=covid_start, IF(Q110&lt;covid_recovery,NA(),SUMIFS(INDIRECT("Data_main"&amp;"["&amp;Q$8&amp;"]"),Data_main[Data],$A112, Data_main[Segment],$B112, Data_main[Scenario],$B$3)),SUMIFS(INDIRECT("Data_main"&amp;"["&amp;Q$8&amp;"]"),Data_main[Data],$A112, Data_main[Segment],$B112, Data_main[Scenario],$B$3)),SUMIFS(INDIRECT("Data_main"&amp;"["&amp;Q$8&amp;"]"),Data_main[Data],$A112, Data_main[Segment],$B112, Data_main[Scenario],$B$3))</f>
        <v>0</v>
      </c>
      <c r="R112" s="390">
        <f ca="1">IF($B$6="ON", IF(R110&gt;=covid_start, IF(R110&lt;covid_recovery,NA(),SUMIFS(INDIRECT("Data_main"&amp;"["&amp;R$8&amp;"]"),Data_main[Data],$A112, Data_main[Segment],$B112, Data_main[Scenario],$B$3)),SUMIFS(INDIRECT("Data_main"&amp;"["&amp;R$8&amp;"]"),Data_main[Data],$A112, Data_main[Segment],$B112, Data_main[Scenario],$B$3)),SUMIFS(INDIRECT("Data_main"&amp;"["&amp;R$8&amp;"]"),Data_main[Data],$A112, Data_main[Segment],$B112, Data_main[Scenario],$B$3))</f>
        <v>0</v>
      </c>
      <c r="S112" s="390">
        <f ca="1">IF($B$6="ON", IF(S110&gt;=covid_start, IF(S110&lt;covid_recovery,NA(),SUMIFS(INDIRECT("Data_main"&amp;"["&amp;S$8&amp;"]"),Data_main[Data],$A112, Data_main[Segment],$B112, Data_main[Scenario],$B$3)),SUMIFS(INDIRECT("Data_main"&amp;"["&amp;S$8&amp;"]"),Data_main[Data],$A112, Data_main[Segment],$B112, Data_main[Scenario],$B$3)),SUMIFS(INDIRECT("Data_main"&amp;"["&amp;S$8&amp;"]"),Data_main[Data],$A112, Data_main[Segment],$B112, Data_main[Scenario],$B$3))</f>
        <v>0</v>
      </c>
      <c r="T112" s="390">
        <f ca="1">IF($B$6="ON", IF(T110&gt;=covid_start, IF(T110&lt;covid_recovery,NA(),SUMIFS(INDIRECT("Data_main"&amp;"["&amp;T$8&amp;"]"),Data_main[Data],$A112, Data_main[Segment],$B112, Data_main[Scenario],$B$3)),SUMIFS(INDIRECT("Data_main"&amp;"["&amp;T$8&amp;"]"),Data_main[Data],$A112, Data_main[Segment],$B112, Data_main[Scenario],$B$3)),SUMIFS(INDIRECT("Data_main"&amp;"["&amp;T$8&amp;"]"),Data_main[Data],$A112, Data_main[Segment],$B112, Data_main[Scenario],$B$3))</f>
        <v>0</v>
      </c>
      <c r="U112" s="390">
        <f ca="1">IF($B$6="ON", IF(U110&gt;=covid_start, IF(U110&lt;covid_recovery,NA(),SUMIFS(INDIRECT("Data_main"&amp;"["&amp;U$8&amp;"]"),Data_main[Data],$A112, Data_main[Segment],$B112, Data_main[Scenario],$B$3)),SUMIFS(INDIRECT("Data_main"&amp;"["&amp;U$8&amp;"]"),Data_main[Data],$A112, Data_main[Segment],$B112, Data_main[Scenario],$B$3)),SUMIFS(INDIRECT("Data_main"&amp;"["&amp;U$8&amp;"]"),Data_main[Data],$A112, Data_main[Segment],$B112, Data_main[Scenario],$B$3))</f>
        <v>0</v>
      </c>
      <c r="V112" s="390">
        <f ca="1">IF($B$6="ON", IF(V110&gt;=covid_start, IF(V110&lt;covid_recovery,NA(),SUMIFS(INDIRECT("Data_main"&amp;"["&amp;V$8&amp;"]"),Data_main[Data],$A112, Data_main[Segment],$B112, Data_main[Scenario],$B$3)),SUMIFS(INDIRECT("Data_main"&amp;"["&amp;V$8&amp;"]"),Data_main[Data],$A112, Data_main[Segment],$B112, Data_main[Scenario],$B$3)),SUMIFS(INDIRECT("Data_main"&amp;"["&amp;V$8&amp;"]"),Data_main[Data],$A112, Data_main[Segment],$B112, Data_main[Scenario],$B$3))</f>
        <v>0</v>
      </c>
      <c r="W112" s="390">
        <f ca="1">IF($B$6="ON", IF(W110&gt;=covid_start, IF(W110&lt;covid_recovery,NA(),SUMIFS(INDIRECT("Data_main"&amp;"["&amp;W$8&amp;"]"),Data_main[Data],$A112, Data_main[Segment],$B112, Data_main[Scenario],$B$3)),SUMIFS(INDIRECT("Data_main"&amp;"["&amp;W$8&amp;"]"),Data_main[Data],$A112, Data_main[Segment],$B112, Data_main[Scenario],$B$3)),SUMIFS(INDIRECT("Data_main"&amp;"["&amp;W$8&amp;"]"),Data_main[Data],$A112, Data_main[Segment],$B112, Data_main[Scenario],$B$3))</f>
        <v>0</v>
      </c>
      <c r="X112" s="390">
        <f ca="1">IF($B$6="ON", IF(X110&gt;=covid_start, IF(X110&lt;covid_recovery,NA(),SUMIFS(INDIRECT("Data_main"&amp;"["&amp;X$8&amp;"]"),Data_main[Data],$A112, Data_main[Segment],$B112, Data_main[Scenario],$B$3)),SUMIFS(INDIRECT("Data_main"&amp;"["&amp;X$8&amp;"]"),Data_main[Data],$A112, Data_main[Segment],$B112, Data_main[Scenario],$B$3)),SUMIFS(INDIRECT("Data_main"&amp;"["&amp;X$8&amp;"]"),Data_main[Data],$A112, Data_main[Segment],$B112, Data_main[Scenario],$B$3))</f>
        <v>0</v>
      </c>
      <c r="Y112" s="390">
        <f ca="1">IF($B$6="ON", IF(Y110&gt;=covid_start, IF(Y110&lt;covid_recovery,NA(),SUMIFS(INDIRECT("Data_main"&amp;"["&amp;Y$8&amp;"]"),Data_main[Data],$A112, Data_main[Segment],$B112, Data_main[Scenario],$B$3)),SUMIFS(INDIRECT("Data_main"&amp;"["&amp;Y$8&amp;"]"),Data_main[Data],$A112, Data_main[Segment],$B112, Data_main[Scenario],$B$3)),SUMIFS(INDIRECT("Data_main"&amp;"["&amp;Y$8&amp;"]"),Data_main[Data],$A112, Data_main[Segment],$B112, Data_main[Scenario],$B$3))</f>
        <v>0</v>
      </c>
      <c r="Z112" s="390">
        <f ca="1">IF($B$6="ON", IF(Z110&gt;=covid_start, IF(Z110&lt;covid_recovery,NA(),SUMIFS(INDIRECT("Data_main"&amp;"["&amp;Z$8&amp;"]"),Data_main[Data],$A112, Data_main[Segment],$B112, Data_main[Scenario],$B$3)),SUMIFS(INDIRECT("Data_main"&amp;"["&amp;Z$8&amp;"]"),Data_main[Data],$A112, Data_main[Segment],$B112, Data_main[Scenario],$B$3)),SUMIFS(INDIRECT("Data_main"&amp;"["&amp;Z$8&amp;"]"),Data_main[Data],$A112, Data_main[Segment],$B112, Data_main[Scenario],$B$3))</f>
        <v>0</v>
      </c>
      <c r="AA112" s="390">
        <f ca="1">IF($B$6="ON", IF(AA110&gt;=covid_start, IF(AA110&lt;covid_recovery,NA(),SUMIFS(INDIRECT("Data_main"&amp;"["&amp;AA$8&amp;"]"),Data_main[Data],$A112, Data_main[Segment],$B112, Data_main[Scenario],$B$3)),SUMIFS(INDIRECT("Data_main"&amp;"["&amp;AA$8&amp;"]"),Data_main[Data],$A112, Data_main[Segment],$B112, Data_main[Scenario],$B$3)),SUMIFS(INDIRECT("Data_main"&amp;"["&amp;AA$8&amp;"]"),Data_main[Data],$A112, Data_main[Segment],$B112, Data_main[Scenario],$B$3))</f>
        <v>0</v>
      </c>
      <c r="AB112" s="390">
        <f ca="1">IF($B$6="ON", IF(AB110&gt;=covid_start, IF(AB110&lt;covid_recovery,NA(),SUMIFS(INDIRECT("Data_main"&amp;"["&amp;AB$8&amp;"]"),Data_main[Data],$A112, Data_main[Segment],$B112, Data_main[Scenario],$B$3)),SUMIFS(INDIRECT("Data_main"&amp;"["&amp;AB$8&amp;"]"),Data_main[Data],$A112, Data_main[Segment],$B112, Data_main[Scenario],$B$3)),SUMIFS(INDIRECT("Data_main"&amp;"["&amp;AB$8&amp;"]"),Data_main[Data],$A112, Data_main[Segment],$B112, Data_main[Scenario],$B$3))</f>
        <v>0</v>
      </c>
      <c r="AC112" s="390">
        <f ca="1">IF($B$6="ON", IF(AC110&gt;=covid_start, IF(AC110&lt;covid_recovery,NA(),SUMIFS(INDIRECT("Data_main"&amp;"["&amp;AC$8&amp;"]"),Data_main[Data],$A112, Data_main[Segment],$B112, Data_main[Scenario],$B$3)),SUMIFS(INDIRECT("Data_main"&amp;"["&amp;AC$8&amp;"]"),Data_main[Data],$A112, Data_main[Segment],$B112, Data_main[Scenario],$B$3)),SUMIFS(INDIRECT("Data_main"&amp;"["&amp;AC$8&amp;"]"),Data_main[Data],$A112, Data_main[Segment],$B112, Data_main[Scenario],$B$3))</f>
        <v>0</v>
      </c>
      <c r="AD112" s="390">
        <f ca="1">IF($B$6="ON", IF(AD110&gt;=covid_start, IF(AD110&lt;covid_recovery,NA(),SUMIFS(INDIRECT("Data_main"&amp;"["&amp;AD$8&amp;"]"),Data_main[Data],$A112, Data_main[Segment],$B112, Data_main[Scenario],$B$3)),SUMIFS(INDIRECT("Data_main"&amp;"["&amp;AD$8&amp;"]"),Data_main[Data],$A112, Data_main[Segment],$B112, Data_main[Scenario],$B$3)),SUMIFS(INDIRECT("Data_main"&amp;"["&amp;AD$8&amp;"]"),Data_main[Data],$A112, Data_main[Segment],$B112, Data_main[Scenario],$B$3))</f>
        <v>0</v>
      </c>
      <c r="AE112" s="390">
        <f ca="1">IF($B$6="ON", IF(AE110&gt;=covid_start, IF(AE110&lt;covid_recovery,NA(),SUMIFS(INDIRECT("Data_main"&amp;"["&amp;AE$8&amp;"]"),Data_main[Data],$A112, Data_main[Segment],$B112, Data_main[Scenario],$B$3)),SUMIFS(INDIRECT("Data_main"&amp;"["&amp;AE$8&amp;"]"),Data_main[Data],$A112, Data_main[Segment],$B112, Data_main[Scenario],$B$3)),SUMIFS(INDIRECT("Data_main"&amp;"["&amp;AE$8&amp;"]"),Data_main[Data],$A112, Data_main[Segment],$B112, Data_main[Scenario],$B$3))</f>
        <v>0</v>
      </c>
      <c r="AF112" s="390">
        <f ca="1">IF($B$6="ON", IF(AF110&gt;=covid_start, IF(AF110&lt;covid_recovery,NA(),SUMIFS(INDIRECT("Data_main"&amp;"["&amp;AF$8&amp;"]"),Data_main[Data],$A112, Data_main[Segment],$B112, Data_main[Scenario],$B$3)),SUMIFS(INDIRECT("Data_main"&amp;"["&amp;AF$8&amp;"]"),Data_main[Data],$A112, Data_main[Segment],$B112, Data_main[Scenario],$B$3)),SUMIFS(INDIRECT("Data_main"&amp;"["&amp;AF$8&amp;"]"),Data_main[Data],$A112, Data_main[Segment],$B112, Data_main[Scenario],$B$3))</f>
        <v>0</v>
      </c>
      <c r="AG112" s="390">
        <f ca="1">IF($B$6="ON", IF(AG110&gt;=covid_start, IF(AG110&lt;covid_recovery,NA(),SUMIFS(INDIRECT("Data_main"&amp;"["&amp;AG$8&amp;"]"),Data_main[Data],$A112, Data_main[Segment],$B112, Data_main[Scenario],$B$3)),SUMIFS(INDIRECT("Data_main"&amp;"["&amp;AG$8&amp;"]"),Data_main[Data],$A112, Data_main[Segment],$B112, Data_main[Scenario],$B$3)),SUMIFS(INDIRECT("Data_main"&amp;"["&amp;AG$8&amp;"]"),Data_main[Data],$A112, Data_main[Segment],$B112, Data_main[Scenario],$B$3))</f>
        <v>0</v>
      </c>
      <c r="AH112" s="390">
        <f ca="1">IF($B$6="ON", IF(AH110&gt;=covid_start, IF(AH110&lt;covid_recovery,NA(),SUMIFS(INDIRECT("Data_main"&amp;"["&amp;AH$8&amp;"]"),Data_main[Data],$A112, Data_main[Segment],$B112, Data_main[Scenario],$B$3)),SUMIFS(INDIRECT("Data_main"&amp;"["&amp;AH$8&amp;"]"),Data_main[Data],$A112, Data_main[Segment],$B112, Data_main[Scenario],$B$3)),SUMIFS(INDIRECT("Data_main"&amp;"["&amp;AH$8&amp;"]"),Data_main[Data],$A112, Data_main[Segment],$B112, Data_main[Scenario],$B$3))</f>
        <v>0</v>
      </c>
      <c r="AI112" s="390">
        <f ca="1">IF($B$6="ON", IF(AI110&gt;=covid_start, IF(AI110&lt;covid_recovery,NA(),SUMIFS(INDIRECT("Data_main"&amp;"["&amp;AI$8&amp;"]"),Data_main[Data],$A112, Data_main[Segment],$B112, Data_main[Scenario],$B$3)),SUMIFS(INDIRECT("Data_main"&amp;"["&amp;AI$8&amp;"]"),Data_main[Data],$A112, Data_main[Segment],$B112, Data_main[Scenario],$B$3)),SUMIFS(INDIRECT("Data_main"&amp;"["&amp;AI$8&amp;"]"),Data_main[Data],$A112, Data_main[Segment],$B112, Data_main[Scenario],$B$3))</f>
        <v>0</v>
      </c>
      <c r="AJ112" s="390">
        <f ca="1">IF($B$6="ON", IF(AJ110&gt;=covid_start, IF(AJ110&lt;covid_recovery,NA(),SUMIFS(INDIRECT("Data_main"&amp;"["&amp;AJ$8&amp;"]"),Data_main[Data],$A112, Data_main[Segment],$B112, Data_main[Scenario],$B$3)),SUMIFS(INDIRECT("Data_main"&amp;"["&amp;AJ$8&amp;"]"),Data_main[Data],$A112, Data_main[Segment],$B112, Data_main[Scenario],$B$3)),SUMIFS(INDIRECT("Data_main"&amp;"["&amp;AJ$8&amp;"]"),Data_main[Data],$A112, Data_main[Segment],$B112, Data_main[Scenario],$B$3))</f>
        <v>0</v>
      </c>
      <c r="AK112" s="390">
        <f ca="1">IF($B$6="ON", IF(AK110&gt;=covid_start, IF(AK110&lt;covid_recovery,NA(),SUMIFS(INDIRECT("Data_main"&amp;"["&amp;AK$8&amp;"]"),Data_main[Data],$A112, Data_main[Segment],$B112, Data_main[Scenario],$B$3)),SUMIFS(INDIRECT("Data_main"&amp;"["&amp;AK$8&amp;"]"),Data_main[Data],$A112, Data_main[Segment],$B112, Data_main[Scenario],$B$3)),SUMIFS(INDIRECT("Data_main"&amp;"["&amp;AK$8&amp;"]"),Data_main[Data],$A112, Data_main[Segment],$B112, Data_main[Scenario],$B$3))</f>
        <v>0</v>
      </c>
      <c r="AL112" s="390">
        <f ca="1">IF($B$6="ON", IF(AL110&gt;=covid_start, IF(AL110&lt;covid_recovery,NA(),SUMIFS(INDIRECT("Data_main"&amp;"["&amp;AL$8&amp;"]"),Data_main[Data],$A112, Data_main[Segment],$B112, Data_main[Scenario],$B$3)),SUMIFS(INDIRECT("Data_main"&amp;"["&amp;AL$8&amp;"]"),Data_main[Data],$A112, Data_main[Segment],$B112, Data_main[Scenario],$B$3)),SUMIFS(INDIRECT("Data_main"&amp;"["&amp;AL$8&amp;"]"),Data_main[Data],$A112, Data_main[Segment],$B112, Data_main[Scenario],$B$3))</f>
        <v>0</v>
      </c>
      <c r="AM112" s="390">
        <f ca="1">IF($B$6="ON", IF(AM110&gt;=covid_start, IF(AM110&lt;covid_recovery,NA(),SUMIFS(INDIRECT("Data_main"&amp;"["&amp;AM$8&amp;"]"),Data_main[Data],$A112, Data_main[Segment],$B112, Data_main[Scenario],$B$3)),SUMIFS(INDIRECT("Data_main"&amp;"["&amp;AM$8&amp;"]"),Data_main[Data],$A112, Data_main[Segment],$B112, Data_main[Scenario],$B$3)),SUMIFS(INDIRECT("Data_main"&amp;"["&amp;AM$8&amp;"]"),Data_main[Data],$A112, Data_main[Segment],$B112, Data_main[Scenario],$B$3))</f>
        <v>0</v>
      </c>
      <c r="AN112" s="390">
        <f ca="1">IF($B$6="ON", IF(AN110&gt;=covid_start, IF(AN110&lt;covid_recovery,NA(),SUMIFS(INDIRECT("Data_main"&amp;"["&amp;AN$8&amp;"]"),Data_main[Data],$A112, Data_main[Segment],$B112, Data_main[Scenario],$B$3)),SUMIFS(INDIRECT("Data_main"&amp;"["&amp;AN$8&amp;"]"),Data_main[Data],$A112, Data_main[Segment],$B112, Data_main[Scenario],$B$3)),SUMIFS(INDIRECT("Data_main"&amp;"["&amp;AN$8&amp;"]"),Data_main[Data],$A112, Data_main[Segment],$B112, Data_main[Scenario],$B$3))</f>
        <v>0</v>
      </c>
      <c r="AO112" s="390">
        <f ca="1">IF($B$6="ON", IF(AO110&gt;=covid_start, IF(AO110&lt;covid_recovery,NA(),SUMIFS(INDIRECT("Data_main"&amp;"["&amp;AO$8&amp;"]"),Data_main[Data],$A112, Data_main[Segment],$B112, Data_main[Scenario],$B$3)),SUMIFS(INDIRECT("Data_main"&amp;"["&amp;AO$8&amp;"]"),Data_main[Data],$A112, Data_main[Segment],$B112, Data_main[Scenario],$B$3)),SUMIFS(INDIRECT("Data_main"&amp;"["&amp;AO$8&amp;"]"),Data_main[Data],$A112, Data_main[Segment],$B112, Data_main[Scenario],$B$3))</f>
        <v>0</v>
      </c>
      <c r="AP112" s="390">
        <f ca="1">IF($B$6="ON", IF(AP110&gt;=covid_start, IF(AP110&lt;covid_recovery,NA(),SUMIFS(INDIRECT("Data_main"&amp;"["&amp;AP$8&amp;"]"),Data_main[Data],$A112, Data_main[Segment],$B112, Data_main[Scenario],$B$3)),SUMIFS(INDIRECT("Data_main"&amp;"["&amp;AP$8&amp;"]"),Data_main[Data],$A112, Data_main[Segment],$B112, Data_main[Scenario],$B$3)),SUMIFS(INDIRECT("Data_main"&amp;"["&amp;AP$8&amp;"]"),Data_main[Data],$A112, Data_main[Segment],$B112, Data_main[Scenario],$B$3))</f>
        <v>0</v>
      </c>
      <c r="AQ112" s="390">
        <f ca="1">IF($B$6="ON", IF(AQ110&gt;=covid_start, IF(AQ110&lt;covid_recovery,NA(),SUMIFS(INDIRECT("Data_main"&amp;"["&amp;AQ$8&amp;"]"),Data_main[Data],$A112, Data_main[Segment],$B112, Data_main[Scenario],$B$3)),SUMIFS(INDIRECT("Data_main"&amp;"["&amp;AQ$8&amp;"]"),Data_main[Data],$A112, Data_main[Segment],$B112, Data_main[Scenario],$B$3)),SUMIFS(INDIRECT("Data_main"&amp;"["&amp;AQ$8&amp;"]"),Data_main[Data],$A112, Data_main[Segment],$B112, Data_main[Scenario],$B$3))</f>
        <v>0</v>
      </c>
      <c r="AR112" s="390">
        <f ca="1">IF($B$6="ON", IF(AR110&gt;=covid_start, IF(AR110&lt;covid_recovery,NA(),SUMIFS(INDIRECT("Data_main"&amp;"["&amp;AR$8&amp;"]"),Data_main[Data],$A112, Data_main[Segment],$B112, Data_main[Scenario],$B$3)),SUMIFS(INDIRECT("Data_main"&amp;"["&amp;AR$8&amp;"]"),Data_main[Data],$A112, Data_main[Segment],$B112, Data_main[Scenario],$B$3)),SUMIFS(INDIRECT("Data_main"&amp;"["&amp;AR$8&amp;"]"),Data_main[Data],$A112, Data_main[Segment],$B112, Data_main[Scenario],$B$3))</f>
        <v>0</v>
      </c>
      <c r="AS112" s="390">
        <f ca="1">IF($B$6="ON", IF(AS110&gt;=covid_start, IF(AS110&lt;covid_recovery,NA(),SUMIFS(INDIRECT("Data_main"&amp;"["&amp;AS$8&amp;"]"),Data_main[Data],$A112, Data_main[Segment],$B112, Data_main[Scenario],$B$3)),SUMIFS(INDIRECT("Data_main"&amp;"["&amp;AS$8&amp;"]"),Data_main[Data],$A112, Data_main[Segment],$B112, Data_main[Scenario],$B$3)),SUMIFS(INDIRECT("Data_main"&amp;"["&amp;AS$8&amp;"]"),Data_main[Data],$A112, Data_main[Segment],$B112, Data_main[Scenario],$B$3))</f>
        <v>0</v>
      </c>
      <c r="AT112" s="390">
        <f ca="1">IF($B$6="ON", IF(AT110&gt;=covid_start, IF(AT110&lt;covid_recovery,NA(),SUMIFS(INDIRECT("Data_main"&amp;"["&amp;AT$8&amp;"]"),Data_main[Data],$A112, Data_main[Segment],$B112, Data_main[Scenario],$B$3)),SUMIFS(INDIRECT("Data_main"&amp;"["&amp;AT$8&amp;"]"),Data_main[Data],$A112, Data_main[Segment],$B112, Data_main[Scenario],$B$3)),SUMIFS(INDIRECT("Data_main"&amp;"["&amp;AT$8&amp;"]"),Data_main[Data],$A112, Data_main[Segment],$B112, Data_main[Scenario],$B$3))</f>
        <v>0</v>
      </c>
      <c r="AU112" s="390">
        <f ca="1">IF($B$6="ON", IF(AU110&gt;=covid_start, IF(AU110&lt;covid_recovery,NA(),SUMIFS(INDIRECT("Data_main"&amp;"["&amp;AU$8&amp;"]"),Data_main[Data],$A112, Data_main[Segment],$B112, Data_main[Scenario],$B$3)),SUMIFS(INDIRECT("Data_main"&amp;"["&amp;AU$8&amp;"]"),Data_main[Data],$A112, Data_main[Segment],$B112, Data_main[Scenario],$B$3)),SUMIFS(INDIRECT("Data_main"&amp;"["&amp;AU$8&amp;"]"),Data_main[Data],$A112, Data_main[Segment],$B112, Data_main[Scenario],$B$3))</f>
        <v>0</v>
      </c>
      <c r="AV112" s="390">
        <f ca="1">IF($B$6="ON", IF(AV110&gt;=covid_start, IF(AV110&lt;covid_recovery,NA(),SUMIFS(INDIRECT("Data_main"&amp;"["&amp;AV$8&amp;"]"),Data_main[Data],$A112, Data_main[Segment],$B112, Data_main[Scenario],$B$3)),SUMIFS(INDIRECT("Data_main"&amp;"["&amp;AV$8&amp;"]"),Data_main[Data],$A112, Data_main[Segment],$B112, Data_main[Scenario],$B$3)),SUMIFS(INDIRECT("Data_main"&amp;"["&amp;AV$8&amp;"]"),Data_main[Data],$A112, Data_main[Segment],$B112, Data_main[Scenario],$B$3))</f>
        <v>0</v>
      </c>
      <c r="AW112" s="390">
        <f ca="1">IF($B$6="ON", IF(AW110&gt;=covid_start, IF(AW110&lt;covid_recovery,NA(),SUMIFS(INDIRECT("Data_main"&amp;"["&amp;AW$8&amp;"]"),Data_main[Data],$A112, Data_main[Segment],$B112, Data_main[Scenario],$B$3)),SUMIFS(INDIRECT("Data_main"&amp;"["&amp;AW$8&amp;"]"),Data_main[Data],$A112, Data_main[Segment],$B112, Data_main[Scenario],$B$3)),SUMIFS(INDIRECT("Data_main"&amp;"["&amp;AW$8&amp;"]"),Data_main[Data],$A112, Data_main[Segment],$B112, Data_main[Scenario],$B$3))</f>
        <v>0</v>
      </c>
      <c r="AX112" s="390">
        <f ca="1">IF($B$6="ON", IF(AX110&gt;=covid_start, IF(AX110&lt;covid_recovery,NA(),SUMIFS(INDIRECT("Data_main"&amp;"["&amp;AX$8&amp;"]"),Data_main[Data],$A112, Data_main[Segment],$B112, Data_main[Scenario],$B$3)),SUMIFS(INDIRECT("Data_main"&amp;"["&amp;AX$8&amp;"]"),Data_main[Data],$A112, Data_main[Segment],$B112, Data_main[Scenario],$B$3)),SUMIFS(INDIRECT("Data_main"&amp;"["&amp;AX$8&amp;"]"),Data_main[Data],$A112, Data_main[Segment],$B112, Data_main[Scenario],$B$3))</f>
        <v>0</v>
      </c>
      <c r="AY112" s="390">
        <f ca="1">IF($B$6="ON", IF(AY110&gt;=covid_start, IF(AY110&lt;covid_recovery,NA(),SUMIFS(INDIRECT("Data_main"&amp;"["&amp;AY$8&amp;"]"),Data_main[Data],$A112, Data_main[Segment],$B112, Data_main[Scenario],$B$3)),SUMIFS(INDIRECT("Data_main"&amp;"["&amp;AY$8&amp;"]"),Data_main[Data],$A112, Data_main[Segment],$B112, Data_main[Scenario],$B$3)),SUMIFS(INDIRECT("Data_main"&amp;"["&amp;AY$8&amp;"]"),Data_main[Data],$A112, Data_main[Segment],$B112, Data_main[Scenario],$B$3))</f>
        <v>0</v>
      </c>
      <c r="AZ112" s="390">
        <f ca="1">IF($B$6="ON", IF(AZ110&gt;=covid_start, IF(AZ110&lt;covid_recovery,NA(),SUMIFS(INDIRECT("Data_main"&amp;"["&amp;AZ$8&amp;"]"),Data_main[Data],$A112, Data_main[Segment],$B112, Data_main[Scenario],$B$3)),SUMIFS(INDIRECT("Data_main"&amp;"["&amp;AZ$8&amp;"]"),Data_main[Data],$A112, Data_main[Segment],$B112, Data_main[Scenario],$B$3)),SUMIFS(INDIRECT("Data_main"&amp;"["&amp;AZ$8&amp;"]"),Data_main[Data],$A112, Data_main[Segment],$B112, Data_main[Scenario],$B$3))</f>
        <v>0</v>
      </c>
      <c r="BA112" s="390">
        <f ca="1">IF($B$6="ON", IF(BA110&gt;=covid_start, IF(BA110&lt;covid_recovery,NA(),SUMIFS(INDIRECT("Data_main"&amp;"["&amp;BA$8&amp;"]"),Data_main[Data],$A112, Data_main[Segment],$B112, Data_main[Scenario],$B$3)),SUMIFS(INDIRECT("Data_main"&amp;"["&amp;BA$8&amp;"]"),Data_main[Data],$A112, Data_main[Segment],$B112, Data_main[Scenario],$B$3)),SUMIFS(INDIRECT("Data_main"&amp;"["&amp;BA$8&amp;"]"),Data_main[Data],$A112, Data_main[Segment],$B112, Data_main[Scenario],$B$3))</f>
        <v>0</v>
      </c>
      <c r="BB112" s="390">
        <f ca="1">IF($B$6="ON", IF(BB110&gt;=covid_start, IF(BB110&lt;covid_recovery,NA(),SUMIFS(INDIRECT("Data_main"&amp;"["&amp;BB$8&amp;"]"),Data_main[Data],$A112, Data_main[Segment],$B112, Data_main[Scenario],$B$3)),SUMIFS(INDIRECT("Data_main"&amp;"["&amp;BB$8&amp;"]"),Data_main[Data],$A112, Data_main[Segment],$B112, Data_main[Scenario],$B$3)),SUMIFS(INDIRECT("Data_main"&amp;"["&amp;BB$8&amp;"]"),Data_main[Data],$A112, Data_main[Segment],$B112, Data_main[Scenario],$B$3))</f>
        <v>0</v>
      </c>
      <c r="BC112" s="390">
        <f ca="1">IF($B$6="ON", IF(BC110&gt;=covid_start, IF(BC110&lt;covid_recovery,NA(),SUMIFS(INDIRECT("Data_main"&amp;"["&amp;BC$8&amp;"]"),Data_main[Data],$A112, Data_main[Segment],$B112, Data_main[Scenario],$B$3)),SUMIFS(INDIRECT("Data_main"&amp;"["&amp;BC$8&amp;"]"),Data_main[Data],$A112, Data_main[Segment],$B112, Data_main[Scenario],$B$3)),SUMIFS(INDIRECT("Data_main"&amp;"["&amp;BC$8&amp;"]"),Data_main[Data],$A112, Data_main[Segment],$B112, Data_main[Scenario],$B$3))</f>
        <v>0</v>
      </c>
      <c r="BD112" s="390">
        <f ca="1">IF($B$6="ON", IF(BD110&gt;=covid_start, IF(BD110&lt;covid_recovery,NA(),SUMIFS(INDIRECT("Data_main"&amp;"["&amp;BD$8&amp;"]"),Data_main[Data],$A112, Data_main[Segment],$B112, Data_main[Scenario],$B$3)),SUMIFS(INDIRECT("Data_main"&amp;"["&amp;BD$8&amp;"]"),Data_main[Data],$A112, Data_main[Segment],$B112, Data_main[Scenario],$B$3)),SUMIFS(INDIRECT("Data_main"&amp;"["&amp;BD$8&amp;"]"),Data_main[Data],$A112, Data_main[Segment],$B112, Data_main[Scenario],$B$3))</f>
        <v>0</v>
      </c>
      <c r="BE112" s="390">
        <f ca="1">IF($B$6="ON", IF(BE110&gt;=covid_start, IF(BE110&lt;covid_recovery,NA(),SUMIFS(INDIRECT("Data_main"&amp;"["&amp;BE$8&amp;"]"),Data_main[Data],$A112, Data_main[Segment],$B112, Data_main[Scenario],$B$3)),SUMIFS(INDIRECT("Data_main"&amp;"["&amp;BE$8&amp;"]"),Data_main[Data],$A112, Data_main[Segment],$B112, Data_main[Scenario],$B$3)),SUMIFS(INDIRECT("Data_main"&amp;"["&amp;BE$8&amp;"]"),Data_main[Data],$A112, Data_main[Segment],$B112, Data_main[Scenario],$B$3))</f>
        <v>0</v>
      </c>
      <c r="BF112" s="390">
        <f ca="1">IF($B$6="ON", IF(BF110&gt;=covid_start, IF(BF110&lt;covid_recovery,NA(),SUMIFS(INDIRECT("Data_main"&amp;"["&amp;BF$8&amp;"]"),Data_main[Data],$A112, Data_main[Segment],$B112, Data_main[Scenario],$B$3)),SUMIFS(INDIRECT("Data_main"&amp;"["&amp;BF$8&amp;"]"),Data_main[Data],$A112, Data_main[Segment],$B112, Data_main[Scenario],$B$3)),SUMIFS(INDIRECT("Data_main"&amp;"["&amp;BF$8&amp;"]"),Data_main[Data],$A112, Data_main[Segment],$B112, Data_main[Scenario],$B$3))</f>
        <v>0</v>
      </c>
      <c r="BG112" s="390">
        <f ca="1">IF($B$6="ON", IF(BG110&gt;=covid_start, IF(BG110&lt;covid_recovery,NA(),SUMIFS(INDIRECT("Data_main"&amp;"["&amp;BG$8&amp;"]"),Data_main[Data],$A112, Data_main[Segment],$B112, Data_main[Scenario],$B$3)),SUMIFS(INDIRECT("Data_main"&amp;"["&amp;BG$8&amp;"]"),Data_main[Data],$A112, Data_main[Segment],$B112, Data_main[Scenario],$B$3)),SUMIFS(INDIRECT("Data_main"&amp;"["&amp;BG$8&amp;"]"),Data_main[Data],$A112, Data_main[Segment],$B112, Data_main[Scenario],$B$3))</f>
        <v>0</v>
      </c>
      <c r="BH112" s="390">
        <f ca="1">IF($B$6="ON", IF(BH110&gt;=covid_start, IF(BH110&lt;covid_recovery,NA(),SUMIFS(INDIRECT("Data_main"&amp;"["&amp;BH$8&amp;"]"),Data_main[Data],$A112, Data_main[Segment],$B112, Data_main[Scenario],$B$3)),SUMIFS(INDIRECT("Data_main"&amp;"["&amp;BH$8&amp;"]"),Data_main[Data],$A112, Data_main[Segment],$B112, Data_main[Scenario],$B$3)),SUMIFS(INDIRECT("Data_main"&amp;"["&amp;BH$8&amp;"]"),Data_main[Data],$A112, Data_main[Segment],$B112, Data_main[Scenario],$B$3))</f>
        <v>0</v>
      </c>
      <c r="BI112" s="390">
        <f ca="1">IF($B$6="ON", IF(BI110&gt;=covid_start, IF(BI110&lt;covid_recovery,NA(),SUMIFS(INDIRECT("Data_main"&amp;"["&amp;BI$8&amp;"]"),Data_main[Data],$A112, Data_main[Segment],$B112, Data_main[Scenario],$B$3)),SUMIFS(INDIRECT("Data_main"&amp;"["&amp;BI$8&amp;"]"),Data_main[Data],$A112, Data_main[Segment],$B112, Data_main[Scenario],$B$3)),SUMIFS(INDIRECT("Data_main"&amp;"["&amp;BI$8&amp;"]"),Data_main[Data],$A112, Data_main[Segment],$B112, Data_main[Scenario],$B$3))</f>
        <v>0</v>
      </c>
      <c r="BJ112" s="390">
        <f ca="1">IF($B$6="ON", IF(BJ110&gt;=covid_start, IF(BJ110&lt;covid_recovery,NA(),SUMIFS(INDIRECT("Data_main"&amp;"["&amp;BJ$8&amp;"]"),Data_main[Data],$A112, Data_main[Segment],$B112, Data_main[Scenario],$B$3)),SUMIFS(INDIRECT("Data_main"&amp;"["&amp;BJ$8&amp;"]"),Data_main[Data],$A112, Data_main[Segment],$B112, Data_main[Scenario],$B$3)),SUMIFS(INDIRECT("Data_main"&amp;"["&amp;BJ$8&amp;"]"),Data_main[Data],$A112, Data_main[Segment],$B112, Data_main[Scenario],$B$3))</f>
        <v>0</v>
      </c>
      <c r="BK112" s="390">
        <f ca="1">IF($B$6="ON", IF(BK110&gt;=covid_start, IF(BK110&lt;covid_recovery,NA(),SUMIFS(INDIRECT("Data_main"&amp;"["&amp;BK$8&amp;"]"),Data_main[Data],$A112, Data_main[Segment],$B112, Data_main[Scenario],$B$3)),SUMIFS(INDIRECT("Data_main"&amp;"["&amp;BK$8&amp;"]"),Data_main[Data],$A112, Data_main[Segment],$B112, Data_main[Scenario],$B$3)),SUMIFS(INDIRECT("Data_main"&amp;"["&amp;BK$8&amp;"]"),Data_main[Data],$A112, Data_main[Segment],$B112, Data_main[Scenario],$B$3))</f>
        <v>0</v>
      </c>
      <c r="BL112" s="390">
        <f ca="1">IF($B$6="ON", IF(BL110&gt;=covid_start, IF(BL110&lt;covid_recovery,NA(),SUMIFS(INDIRECT("Data_main"&amp;"["&amp;BL$8&amp;"]"),Data_main[Data],$A112, Data_main[Segment],$B112, Data_main[Scenario],$B$3)),SUMIFS(INDIRECT("Data_main"&amp;"["&amp;BL$8&amp;"]"),Data_main[Data],$A112, Data_main[Segment],$B112, Data_main[Scenario],$B$3)),SUMIFS(INDIRECT("Data_main"&amp;"["&amp;BL$8&amp;"]"),Data_main[Data],$A112, Data_main[Segment],$B112, Data_main[Scenario],$B$3))</f>
        <v>0</v>
      </c>
      <c r="BM112" s="390">
        <f ca="1">IF($B$6="ON", IF(BM110&gt;=covid_start, IF(BM110&lt;covid_recovery,NA(),SUMIFS(INDIRECT("Data_main"&amp;"["&amp;BM$8&amp;"]"),Data_main[Data],$A112, Data_main[Segment],$B112, Data_main[Scenario],$B$3)),SUMIFS(INDIRECT("Data_main"&amp;"["&amp;BM$8&amp;"]"),Data_main[Data],$A112, Data_main[Segment],$B112, Data_main[Scenario],$B$3)),SUMIFS(INDIRECT("Data_main"&amp;"["&amp;BM$8&amp;"]"),Data_main[Data],$A112, Data_main[Segment],$B112, Data_main[Scenario],$B$3))</f>
        <v>0</v>
      </c>
      <c r="BN112" s="390">
        <f ca="1">IF($B$6="ON", IF(BN110&gt;=covid_start, IF(BN110&lt;covid_recovery,NA(),SUMIFS(INDIRECT("Data_main"&amp;"["&amp;BN$8&amp;"]"),Data_main[Data],$A112, Data_main[Segment],$B112, Data_main[Scenario],$B$3)),SUMIFS(INDIRECT("Data_main"&amp;"["&amp;BN$8&amp;"]"),Data_main[Data],$A112, Data_main[Segment],$B112, Data_main[Scenario],$B$3)),SUMIFS(INDIRECT("Data_main"&amp;"["&amp;BN$8&amp;"]"),Data_main[Data],$A112, Data_main[Segment],$B112, Data_main[Scenario],$B$3))</f>
        <v>0</v>
      </c>
      <c r="BO112" s="390">
        <f ca="1">IF($B$6="ON", IF(BO110&gt;=covid_start, IF(BO110&lt;covid_recovery,NA(),SUMIFS(INDIRECT("Data_main"&amp;"["&amp;BO$8&amp;"]"),Data_main[Data],$A112, Data_main[Segment],$B112, Data_main[Scenario],$B$3)),SUMIFS(INDIRECT("Data_main"&amp;"["&amp;BO$8&amp;"]"),Data_main[Data],$A112, Data_main[Segment],$B112, Data_main[Scenario],$B$3)),SUMIFS(INDIRECT("Data_main"&amp;"["&amp;BO$8&amp;"]"),Data_main[Data],$A112, Data_main[Segment],$B112, Data_main[Scenario],$B$3))</f>
        <v>0</v>
      </c>
      <c r="BP112" s="390">
        <f ca="1">IF($B$6="ON", IF(BP110&gt;=covid_start, IF(BP110&lt;covid_recovery,NA(),SUMIFS(INDIRECT("Data_main"&amp;"["&amp;BP$8&amp;"]"),Data_main[Data],$A112, Data_main[Segment],$B112, Data_main[Scenario],$B$3)),SUMIFS(INDIRECT("Data_main"&amp;"["&amp;BP$8&amp;"]"),Data_main[Data],$A112, Data_main[Segment],$B112, Data_main[Scenario],$B$3)),SUMIFS(INDIRECT("Data_main"&amp;"["&amp;BP$8&amp;"]"),Data_main[Data],$A112, Data_main[Segment],$B112, Data_main[Scenario],$B$3))</f>
        <v>0</v>
      </c>
      <c r="BQ112" s="390">
        <f ca="1">IF($B$6="ON", IF(BQ110&gt;=covid_start, IF(BQ110&lt;covid_recovery,NA(),SUMIFS(INDIRECT("Data_main"&amp;"["&amp;BQ$8&amp;"]"),Data_main[Data],$A112, Data_main[Segment],$B112, Data_main[Scenario],$B$3)),SUMIFS(INDIRECT("Data_main"&amp;"["&amp;BQ$8&amp;"]"),Data_main[Data],$A112, Data_main[Segment],$B112, Data_main[Scenario],$B$3)),SUMIFS(INDIRECT("Data_main"&amp;"["&amp;BQ$8&amp;"]"),Data_main[Data],$A112, Data_main[Segment],$B112, Data_main[Scenario],$B$3))</f>
        <v>0</v>
      </c>
      <c r="BR112" s="390">
        <f ca="1">IF($B$6="ON", IF(BR110&gt;=covid_start, IF(BR110&lt;covid_recovery,NA(),SUMIFS(INDIRECT("Data_main"&amp;"["&amp;BR$8&amp;"]"),Data_main[Data],$A112, Data_main[Segment],$B112, Data_main[Scenario],$B$3)),SUMIFS(INDIRECT("Data_main"&amp;"["&amp;BR$8&amp;"]"),Data_main[Data],$A112, Data_main[Segment],$B112, Data_main[Scenario],$B$3)),SUMIFS(INDIRECT("Data_main"&amp;"["&amp;BR$8&amp;"]"),Data_main[Data],$A112, Data_main[Segment],$B112, Data_main[Scenario],$B$3))</f>
        <v>0</v>
      </c>
      <c r="BS112" s="390">
        <f ca="1">IF($B$6="ON", IF(BS110&gt;=covid_start, IF(BS110&lt;covid_recovery,NA(),SUMIFS(INDIRECT("Data_main"&amp;"["&amp;BS$8&amp;"]"),Data_main[Data],$A112, Data_main[Segment],$B112, Data_main[Scenario],$B$3)),SUMIFS(INDIRECT("Data_main"&amp;"["&amp;BS$8&amp;"]"),Data_main[Data],$A112, Data_main[Segment],$B112, Data_main[Scenario],$B$3)),SUMIFS(INDIRECT("Data_main"&amp;"["&amp;BS$8&amp;"]"),Data_main[Data],$A112, Data_main[Segment],$B112, Data_main[Scenario],$B$3))</f>
        <v>0</v>
      </c>
      <c r="BT112" s="390">
        <f ca="1">IF($B$6="ON", IF(BT110&gt;=covid_start, IF(BT110&lt;covid_recovery,NA(),SUMIFS(INDIRECT("Data_main"&amp;"["&amp;BT$8&amp;"]"),Data_main[Data],$A112, Data_main[Segment],$B112, Data_main[Scenario],$B$3)),SUMIFS(INDIRECT("Data_main"&amp;"["&amp;BT$8&amp;"]"),Data_main[Data],$A112, Data_main[Segment],$B112, Data_main[Scenario],$B$3)),SUMIFS(INDIRECT("Data_main"&amp;"["&amp;BT$8&amp;"]"),Data_main[Data],$A112, Data_main[Segment],$B112, Data_main[Scenario],$B$3))</f>
        <v>0</v>
      </c>
      <c r="BU112" s="390">
        <f ca="1">IF($B$6="ON", IF(BU110&gt;=covid_start, IF(BU110&lt;covid_recovery,NA(),SUMIFS(INDIRECT("Data_main"&amp;"["&amp;BU$8&amp;"]"),Data_main[Data],$A112, Data_main[Segment],$B112, Data_main[Scenario],$B$3)),SUMIFS(INDIRECT("Data_main"&amp;"["&amp;BU$8&amp;"]"),Data_main[Data],$A112, Data_main[Segment],$B112, Data_main[Scenario],$B$3)),SUMIFS(INDIRECT("Data_main"&amp;"["&amp;BU$8&amp;"]"),Data_main[Data],$A112, Data_main[Segment],$B112, Data_main[Scenario],$B$3))</f>
        <v>0</v>
      </c>
      <c r="BV112" s="390">
        <f ca="1">IF($B$6="ON", IF(BV110&gt;=covid_start, IF(BV110&lt;covid_recovery,NA(),SUMIFS(INDIRECT("Data_main"&amp;"["&amp;BV$8&amp;"]"),Data_main[Data],$A112, Data_main[Segment],$B112, Data_main[Scenario],$B$3)),SUMIFS(INDIRECT("Data_main"&amp;"["&amp;BV$8&amp;"]"),Data_main[Data],$A112, Data_main[Segment],$B112, Data_main[Scenario],$B$3)),SUMIFS(INDIRECT("Data_main"&amp;"["&amp;BV$8&amp;"]"),Data_main[Data],$A112, Data_main[Segment],$B112, Data_main[Scenario],$B$3))</f>
        <v>0</v>
      </c>
      <c r="BW112" s="390">
        <f ca="1">IF($B$6="ON", IF(BW110&gt;=covid_start, IF(BW110&lt;covid_recovery,NA(),SUMIFS(INDIRECT("Data_main"&amp;"["&amp;BW$8&amp;"]"),Data_main[Data],$A112, Data_main[Segment],$B112, Data_main[Scenario],$B$3)),SUMIFS(INDIRECT("Data_main"&amp;"["&amp;BW$8&amp;"]"),Data_main[Data],$A112, Data_main[Segment],$B112, Data_main[Scenario],$B$3)),SUMIFS(INDIRECT("Data_main"&amp;"["&amp;BW$8&amp;"]"),Data_main[Data],$A112, Data_main[Segment],$B112, Data_main[Scenario],$B$3))</f>
        <v>0</v>
      </c>
      <c r="BX112" s="390">
        <f ca="1">IF($B$6="ON", IF(BX110&gt;=covid_start, IF(BX110&lt;covid_recovery,NA(),SUMIFS(INDIRECT("Data_main"&amp;"["&amp;BX$8&amp;"]"),Data_main[Data],$A112, Data_main[Segment],$B112, Data_main[Scenario],$B$3)),SUMIFS(INDIRECT("Data_main"&amp;"["&amp;BX$8&amp;"]"),Data_main[Data],$A112, Data_main[Segment],$B112, Data_main[Scenario],$B$3)),SUMIFS(INDIRECT("Data_main"&amp;"["&amp;BX$8&amp;"]"),Data_main[Data],$A112, Data_main[Segment],$B112, Data_main[Scenario],$B$3))</f>
        <v>0</v>
      </c>
      <c r="BY112" s="390">
        <f ca="1">IF($B$6="ON", IF(BY110&gt;=covid_start, IF(BY110&lt;covid_recovery,NA(),SUMIFS(INDIRECT("Data_main"&amp;"["&amp;BY$8&amp;"]"),Data_main[Data],$A112, Data_main[Segment],$B112, Data_main[Scenario],$B$3)),SUMIFS(INDIRECT("Data_main"&amp;"["&amp;BY$8&amp;"]"),Data_main[Data],$A112, Data_main[Segment],$B112, Data_main[Scenario],$B$3)),SUMIFS(INDIRECT("Data_main"&amp;"["&amp;BY$8&amp;"]"),Data_main[Data],$A112, Data_main[Segment],$B112, Data_main[Scenario],$B$3))</f>
        <v>0</v>
      </c>
      <c r="BZ112" s="390">
        <f ca="1">IF($B$6="ON", IF(BZ110&gt;=covid_start, IF(BZ110&lt;covid_recovery,NA(),SUMIFS(INDIRECT("Data_main"&amp;"["&amp;BZ$8&amp;"]"),Data_main[Data],$A112, Data_main[Segment],$B112, Data_main[Scenario],$B$3)),SUMIFS(INDIRECT("Data_main"&amp;"["&amp;BZ$8&amp;"]"),Data_main[Data],$A112, Data_main[Segment],$B112, Data_main[Scenario],$B$3)),SUMIFS(INDIRECT("Data_main"&amp;"["&amp;BZ$8&amp;"]"),Data_main[Data],$A112, Data_main[Segment],$B112, Data_main[Scenario],$B$3))</f>
        <v>0</v>
      </c>
      <c r="CA112" s="390">
        <f ca="1">IF($B$6="ON", IF(CA110&gt;=covid_start, IF(CA110&lt;covid_recovery,NA(),SUMIFS(INDIRECT("Data_main"&amp;"["&amp;CA$8&amp;"]"),Data_main[Data],$A112, Data_main[Segment],$B112, Data_main[Scenario],$B$3)),SUMIFS(INDIRECT("Data_main"&amp;"["&amp;CA$8&amp;"]"),Data_main[Data],$A112, Data_main[Segment],$B112, Data_main[Scenario],$B$3)),SUMIFS(INDIRECT("Data_main"&amp;"["&amp;CA$8&amp;"]"),Data_main[Data],$A112, Data_main[Segment],$B112, Data_main[Scenario],$B$3))</f>
        <v>0</v>
      </c>
      <c r="CB112" s="390">
        <f ca="1">IF($B$6="ON", IF(CB110&gt;=covid_start, IF(CB110&lt;covid_recovery,NA(),SUMIFS(INDIRECT("Data_main"&amp;"["&amp;CB$8&amp;"]"),Data_main[Data],$A112, Data_main[Segment],$B112, Data_main[Scenario],$B$3)),SUMIFS(INDIRECT("Data_main"&amp;"["&amp;CB$8&amp;"]"),Data_main[Data],$A112, Data_main[Segment],$B112, Data_main[Scenario],$B$3)),SUMIFS(INDIRECT("Data_main"&amp;"["&amp;CB$8&amp;"]"),Data_main[Data],$A112, Data_main[Segment],$B112, Data_main[Scenario],$B$3))</f>
        <v>0</v>
      </c>
      <c r="CC112" s="390">
        <f ca="1">IF($B$6="ON", IF(CC110&gt;=covid_start, IF(CC110&lt;covid_recovery,NA(),SUMIFS(INDIRECT("Data_main"&amp;"["&amp;CC$8&amp;"]"),Data_main[Data],$A112, Data_main[Segment],$B112, Data_main[Scenario],$B$3)),SUMIFS(INDIRECT("Data_main"&amp;"["&amp;CC$8&amp;"]"),Data_main[Data],$A112, Data_main[Segment],$B112, Data_main[Scenario],$B$3)),SUMIFS(INDIRECT("Data_main"&amp;"["&amp;CC$8&amp;"]"),Data_main[Data],$A112, Data_main[Segment],$B112, Data_main[Scenario],$B$3))</f>
        <v>0</v>
      </c>
      <c r="CD112" s="390">
        <f ca="1">IF($B$6="ON", IF(CD110&gt;=covid_start, IF(CD110&lt;covid_recovery,NA(),SUMIFS(INDIRECT("Data_main"&amp;"["&amp;CD$8&amp;"]"),Data_main[Data],$A112, Data_main[Segment],$B112, Data_main[Scenario],$B$3)),SUMIFS(INDIRECT("Data_main"&amp;"["&amp;CD$8&amp;"]"),Data_main[Data],$A112, Data_main[Segment],$B112, Data_main[Scenario],$B$3)),SUMIFS(INDIRECT("Data_main"&amp;"["&amp;CD$8&amp;"]"),Data_main[Data],$A112, Data_main[Segment],$B112, Data_main[Scenario],$B$3))</f>
        <v>0</v>
      </c>
      <c r="CE112" s="390">
        <f ca="1">IF($B$6="ON", IF(CE110&gt;=covid_start, IF(CE110&lt;covid_recovery,NA(),SUMIFS(INDIRECT("Data_main"&amp;"["&amp;CE$8&amp;"]"),Data_main[Data],$A112, Data_main[Segment],$B112, Data_main[Scenario],$B$3)),SUMIFS(INDIRECT("Data_main"&amp;"["&amp;CE$8&amp;"]"),Data_main[Data],$A112, Data_main[Segment],$B112, Data_main[Scenario],$B$3)),SUMIFS(INDIRECT("Data_main"&amp;"["&amp;CE$8&amp;"]"),Data_main[Data],$A112, Data_main[Segment],$B112, Data_main[Scenario],$B$3))</f>
        <v>0</v>
      </c>
      <c r="CF112" s="390">
        <f ca="1">IF($B$6="ON", IF(CF110&gt;=covid_start, IF(CF110&lt;covid_recovery,NA(),SUMIFS(INDIRECT("Data_main"&amp;"["&amp;CF$8&amp;"]"),Data_main[Data],$A112, Data_main[Segment],$B112, Data_main[Scenario],$B$3)),SUMIFS(INDIRECT("Data_main"&amp;"["&amp;CF$8&amp;"]"),Data_main[Data],$A112, Data_main[Segment],$B112, Data_main[Scenario],$B$3)),SUMIFS(INDIRECT("Data_main"&amp;"["&amp;CF$8&amp;"]"),Data_main[Data],$A112, Data_main[Segment],$B112, Data_main[Scenario],$B$3))</f>
        <v>0</v>
      </c>
      <c r="CG112" s="390">
        <f ca="1">IF($B$6="ON", IF(CG110&gt;=covid_start, IF(CG110&lt;covid_recovery,NA(),SUMIFS(INDIRECT("Data_main"&amp;"["&amp;CG$8&amp;"]"),Data_main[Data],$A112, Data_main[Segment],$B112, Data_main[Scenario],$B$3)),SUMIFS(INDIRECT("Data_main"&amp;"["&amp;CG$8&amp;"]"),Data_main[Data],$A112, Data_main[Segment],$B112, Data_main[Scenario],$B$3)),SUMIFS(INDIRECT("Data_main"&amp;"["&amp;CG$8&amp;"]"),Data_main[Data],$A112, Data_main[Segment],$B112, Data_main[Scenario],$B$3))</f>
        <v>0</v>
      </c>
      <c r="CH112" s="390">
        <f ca="1">IF($B$6="ON", IF(CH110&gt;=covid_start, IF(CH110&lt;covid_recovery,NA(),SUMIFS(INDIRECT("Data_main"&amp;"["&amp;CH$8&amp;"]"),Data_main[Data],$A112, Data_main[Segment],$B112, Data_main[Scenario],$B$3)),SUMIFS(INDIRECT("Data_main"&amp;"["&amp;CH$8&amp;"]"),Data_main[Data],$A112, Data_main[Segment],$B112, Data_main[Scenario],$B$3)),SUMIFS(INDIRECT("Data_main"&amp;"["&amp;CH$8&amp;"]"),Data_main[Data],$A112, Data_main[Segment],$B112, Data_main[Scenario],$B$3))</f>
        <v>0</v>
      </c>
      <c r="CI112" s="390">
        <f ca="1">IF($B$6="ON", IF(CI110&gt;=covid_start, IF(CI110&lt;covid_recovery,NA(),SUMIFS(INDIRECT("Data_main"&amp;"["&amp;CI$8&amp;"]"),Data_main[Data],$A112, Data_main[Segment],$B112, Data_main[Scenario],$B$3)),SUMIFS(INDIRECT("Data_main"&amp;"["&amp;CI$8&amp;"]"),Data_main[Data],$A112, Data_main[Segment],$B112, Data_main[Scenario],$B$3)),SUMIFS(INDIRECT("Data_main"&amp;"["&amp;CI$8&amp;"]"),Data_main[Data],$A112, Data_main[Segment],$B112, Data_main[Scenario],$B$3))</f>
        <v>0</v>
      </c>
      <c r="CJ112" s="390">
        <f ca="1">IF($B$6="ON", IF(CJ110&gt;=covid_start, IF(CJ110&lt;covid_recovery,NA(),SUMIFS(INDIRECT("Data_main"&amp;"["&amp;CJ$8&amp;"]"),Data_main[Data],$A112, Data_main[Segment],$B112, Data_main[Scenario],$B$3)),SUMIFS(INDIRECT("Data_main"&amp;"["&amp;CJ$8&amp;"]"),Data_main[Data],$A112, Data_main[Segment],$B112, Data_main[Scenario],$B$3)),SUMIFS(INDIRECT("Data_main"&amp;"["&amp;CJ$8&amp;"]"),Data_main[Data],$A112, Data_main[Segment],$B112, Data_main[Scenario],$B$3))</f>
        <v>0</v>
      </c>
      <c r="CK112" s="390">
        <f ca="1">IF($B$6="ON", IF(CK110&gt;=covid_start, IF(CK110&lt;covid_recovery,NA(),SUMIFS(INDIRECT("Data_main"&amp;"["&amp;CK$8&amp;"]"),Data_main[Data],$A112, Data_main[Segment],$B112, Data_main[Scenario],$B$3)),SUMIFS(INDIRECT("Data_main"&amp;"["&amp;CK$8&amp;"]"),Data_main[Data],$A112, Data_main[Segment],$B112, Data_main[Scenario],$B$3)),SUMIFS(INDIRECT("Data_main"&amp;"["&amp;CK$8&amp;"]"),Data_main[Data],$A112, Data_main[Segment],$B112, Data_main[Scenario],$B$3))</f>
        <v>0</v>
      </c>
      <c r="CL112" s="390">
        <f ca="1">IF($B$6="ON", IF(CL110&gt;=covid_start, IF(CL110&lt;covid_recovery,NA(),SUMIFS(INDIRECT("Data_main"&amp;"["&amp;CL$8&amp;"]"),Data_main[Data],$A112, Data_main[Segment],$B112, Data_main[Scenario],$B$3)),SUMIFS(INDIRECT("Data_main"&amp;"["&amp;CL$8&amp;"]"),Data_main[Data],$A112, Data_main[Segment],$B112, Data_main[Scenario],$B$3)),SUMIFS(INDIRECT("Data_main"&amp;"["&amp;CL$8&amp;"]"),Data_main[Data],$A112, Data_main[Segment],$B112, Data_main[Scenario],$B$3))</f>
        <v>0</v>
      </c>
      <c r="CN112" s="391" t="str">
        <f ca="1">IFERROR((Y112/H112)^(1/17)-1,"")</f>
        <v/>
      </c>
      <c r="CO112" s="391" t="str">
        <f ca="1">IFERROR((AN112/Y112)^(1/15)-1,"")</f>
        <v/>
      </c>
      <c r="CP112" s="391" t="str">
        <f ca="1">IFERROR((AN112/H112)^(1/32)-1,"")</f>
        <v/>
      </c>
    </row>
    <row r="113" spans="1:94" hidden="1" outlineLevel="1">
      <c r="A113" s="392" t="s">
        <v>158</v>
      </c>
      <c r="B113" s="392" t="s">
        <v>417</v>
      </c>
      <c r="C113" s="393" t="s">
        <v>354</v>
      </c>
      <c r="D113" s="389" t="s">
        <v>355</v>
      </c>
      <c r="E113" s="390">
        <f ca="1">IF($B$6="ON", IF(E110&gt;=covid_start, IF(E110&lt;covid_recovery,NA(),SUMIFS(INDIRECT("Data_main"&amp;"["&amp;E$8&amp;"]"),Data_main[Data],$A113, Data_main[Segment],$B113, Data_main[Scenario],$B$3)),SUMIFS(INDIRECT("Data_main"&amp;"["&amp;E$8&amp;"]"),Data_main[Data],$A113, Data_main[Segment],$B113, Data_main[Scenario],$B$3)),SUMIFS(INDIRECT("Data_main"&amp;"["&amp;E$8&amp;"]"),Data_main[Data],$A113, Data_main[Segment],$B113, Data_main[Scenario],$B$3))</f>
        <v>0</v>
      </c>
      <c r="F113" s="390">
        <f ca="1">IF($B$6="ON", IF(F110&gt;=covid_start, IF(F110&lt;covid_recovery,NA(),SUMIFS(INDIRECT("Data_main"&amp;"["&amp;F$8&amp;"]"),Data_main[Data],$A113, Data_main[Segment],$B113, Data_main[Scenario],$B$3)),SUMIFS(INDIRECT("Data_main"&amp;"["&amp;F$8&amp;"]"),Data_main[Data],$A113, Data_main[Segment],$B113, Data_main[Scenario],$B$3)),SUMIFS(INDIRECT("Data_main"&amp;"["&amp;F$8&amp;"]"),Data_main[Data],$A113, Data_main[Segment],$B113, Data_main[Scenario],$B$3))</f>
        <v>0</v>
      </c>
      <c r="G113" s="390">
        <f ca="1">IF($B$6="ON", IF(G110&gt;=covid_start, IF(G110&lt;covid_recovery,NA(),SUMIFS(INDIRECT("Data_main"&amp;"["&amp;G$8&amp;"]"),Data_main[Data],$A113, Data_main[Segment],$B113, Data_main[Scenario],$B$3)),SUMIFS(INDIRECT("Data_main"&amp;"["&amp;G$8&amp;"]"),Data_main[Data],$A113, Data_main[Segment],$B113, Data_main[Scenario],$B$3)),SUMIFS(INDIRECT("Data_main"&amp;"["&amp;G$8&amp;"]"),Data_main[Data],$A113, Data_main[Segment],$B113, Data_main[Scenario],$B$3))</f>
        <v>0</v>
      </c>
      <c r="H113" s="390">
        <f ca="1">IF($B$6="ON", IF(H110&gt;=covid_start, IF(H110&lt;covid_recovery,NA(),SUMIFS(INDIRECT("Data_main"&amp;"["&amp;H$8&amp;"]"),Data_main[Data],$A113, Data_main[Segment],$B113, Data_main[Scenario],$B$3)),SUMIFS(INDIRECT("Data_main"&amp;"["&amp;H$8&amp;"]"),Data_main[Data],$A113, Data_main[Segment],$B113, Data_main[Scenario],$B$3)),SUMIFS(INDIRECT("Data_main"&amp;"["&amp;H$8&amp;"]"),Data_main[Data],$A113, Data_main[Segment],$B113, Data_main[Scenario],$B$3))</f>
        <v>0</v>
      </c>
      <c r="I113" s="390">
        <f ca="1">IF($B$6="ON", IF(I110&gt;=covid_start, IF(I110&lt;covid_recovery,NA(),SUMIFS(INDIRECT("Data_main"&amp;"["&amp;I$8&amp;"]"),Data_main[Data],$A113, Data_main[Segment],$B113, Data_main[Scenario],$B$3)),SUMIFS(INDIRECT("Data_main"&amp;"["&amp;I$8&amp;"]"),Data_main[Data],$A113, Data_main[Segment],$B113, Data_main[Scenario],$B$3)),SUMIFS(INDIRECT("Data_main"&amp;"["&amp;I$8&amp;"]"),Data_main[Data],$A113, Data_main[Segment],$B113, Data_main[Scenario],$B$3))</f>
        <v>0</v>
      </c>
      <c r="J113" s="390" t="e">
        <f ca="1">IF($B$6="ON", IF(J110&gt;=covid_start, IF(J110&lt;covid_recovery,NA(),SUMIFS(INDIRECT("Data_main"&amp;"["&amp;J$8&amp;"]"),Data_main[Data],$A113, Data_main[Segment],$B113, Data_main[Scenario],$B$3)),SUMIFS(INDIRECT("Data_main"&amp;"["&amp;J$8&amp;"]"),Data_main[Data],$A113, Data_main[Segment],$B113, Data_main[Scenario],$B$3)),SUMIFS(INDIRECT("Data_main"&amp;"["&amp;J$8&amp;"]"),Data_main[Data],$A113, Data_main[Segment],$B113, Data_main[Scenario],$B$3))</f>
        <v>#N/A</v>
      </c>
      <c r="K113" s="390" t="e">
        <f ca="1">IF($B$6="ON", IF(K110&gt;=covid_start, IF(K110&lt;covid_recovery,NA(),SUMIFS(INDIRECT("Data_main"&amp;"["&amp;K$8&amp;"]"),Data_main[Data],$A113, Data_main[Segment],$B113, Data_main[Scenario],$B$3)),SUMIFS(INDIRECT("Data_main"&amp;"["&amp;K$8&amp;"]"),Data_main[Data],$A113, Data_main[Segment],$B113, Data_main[Scenario],$B$3)),SUMIFS(INDIRECT("Data_main"&amp;"["&amp;K$8&amp;"]"),Data_main[Data],$A113, Data_main[Segment],$B113, Data_main[Scenario],$B$3))</f>
        <v>#N/A</v>
      </c>
      <c r="L113" s="390" t="e">
        <f ca="1">IF($B$6="ON", IF(L110&gt;=covid_start, IF(L110&lt;covid_recovery,NA(),SUMIFS(INDIRECT("Data_main"&amp;"["&amp;L$8&amp;"]"),Data_main[Data],$A113, Data_main[Segment],$B113, Data_main[Scenario],$B$3)),SUMIFS(INDIRECT("Data_main"&amp;"["&amp;L$8&amp;"]"),Data_main[Data],$A113, Data_main[Segment],$B113, Data_main[Scenario],$B$3)),SUMIFS(INDIRECT("Data_main"&amp;"["&amp;L$8&amp;"]"),Data_main[Data],$A113, Data_main[Segment],$B113, Data_main[Scenario],$B$3))</f>
        <v>#N/A</v>
      </c>
      <c r="M113" s="390">
        <f ca="1">IF($B$6="ON", IF(M110&gt;=covid_start, IF(M110&lt;covid_recovery,NA(),SUMIFS(INDIRECT("Data_main"&amp;"["&amp;M$8&amp;"]"),Data_main[Data],$A113, Data_main[Segment],$B113, Data_main[Scenario],$B$3)),SUMIFS(INDIRECT("Data_main"&amp;"["&amp;M$8&amp;"]"),Data_main[Data],$A113, Data_main[Segment],$B113, Data_main[Scenario],$B$3)),SUMIFS(INDIRECT("Data_main"&amp;"["&amp;M$8&amp;"]"),Data_main[Data],$A113, Data_main[Segment],$B113, Data_main[Scenario],$B$3))</f>
        <v>0</v>
      </c>
      <c r="N113" s="390">
        <f ca="1">IF($B$6="ON", IF(N110&gt;=covid_start, IF(N110&lt;covid_recovery,NA(),SUMIFS(INDIRECT("Data_main"&amp;"["&amp;N$8&amp;"]"),Data_main[Data],$A113, Data_main[Segment],$B113, Data_main[Scenario],$B$3)),SUMIFS(INDIRECT("Data_main"&amp;"["&amp;N$8&amp;"]"),Data_main[Data],$A113, Data_main[Segment],$B113, Data_main[Scenario],$B$3)),SUMIFS(INDIRECT("Data_main"&amp;"["&amp;N$8&amp;"]"),Data_main[Data],$A113, Data_main[Segment],$B113, Data_main[Scenario],$B$3))</f>
        <v>0</v>
      </c>
      <c r="O113" s="390">
        <f ca="1">IF($B$6="ON", IF(O110&gt;=covid_start, IF(O110&lt;covid_recovery,NA(),SUMIFS(INDIRECT("Data_main"&amp;"["&amp;O$8&amp;"]"),Data_main[Data],$A113, Data_main[Segment],$B113, Data_main[Scenario],$B$3)),SUMIFS(INDIRECT("Data_main"&amp;"["&amp;O$8&amp;"]"),Data_main[Data],$A113, Data_main[Segment],$B113, Data_main[Scenario],$B$3)),SUMIFS(INDIRECT("Data_main"&amp;"["&amp;O$8&amp;"]"),Data_main[Data],$A113, Data_main[Segment],$B113, Data_main[Scenario],$B$3))</f>
        <v>0</v>
      </c>
      <c r="P113" s="390">
        <f ca="1">IF($B$6="ON", IF(P110&gt;=covid_start, IF(P110&lt;covid_recovery,NA(),SUMIFS(INDIRECT("Data_main"&amp;"["&amp;P$8&amp;"]"),Data_main[Data],$A113, Data_main[Segment],$B113, Data_main[Scenario],$B$3)),SUMIFS(INDIRECT("Data_main"&amp;"["&amp;P$8&amp;"]"),Data_main[Data],$A113, Data_main[Segment],$B113, Data_main[Scenario],$B$3)),SUMIFS(INDIRECT("Data_main"&amp;"["&amp;P$8&amp;"]"),Data_main[Data],$A113, Data_main[Segment],$B113, Data_main[Scenario],$B$3))</f>
        <v>0</v>
      </c>
      <c r="Q113" s="390">
        <f ca="1">IF($B$6="ON", IF(Q110&gt;=covid_start, IF(Q110&lt;covid_recovery,NA(),SUMIFS(INDIRECT("Data_main"&amp;"["&amp;Q$8&amp;"]"),Data_main[Data],$A113, Data_main[Segment],$B113, Data_main[Scenario],$B$3)),SUMIFS(INDIRECT("Data_main"&amp;"["&amp;Q$8&amp;"]"),Data_main[Data],$A113, Data_main[Segment],$B113, Data_main[Scenario],$B$3)),SUMIFS(INDIRECT("Data_main"&amp;"["&amp;Q$8&amp;"]"),Data_main[Data],$A113, Data_main[Segment],$B113, Data_main[Scenario],$B$3))</f>
        <v>0</v>
      </c>
      <c r="R113" s="390">
        <f ca="1">IF($B$6="ON", IF(R110&gt;=covid_start, IF(R110&lt;covid_recovery,NA(),SUMIFS(INDIRECT("Data_main"&amp;"["&amp;R$8&amp;"]"),Data_main[Data],$A113, Data_main[Segment],$B113, Data_main[Scenario],$B$3)),SUMIFS(INDIRECT("Data_main"&amp;"["&amp;R$8&amp;"]"),Data_main[Data],$A113, Data_main[Segment],$B113, Data_main[Scenario],$B$3)),SUMIFS(INDIRECT("Data_main"&amp;"["&amp;R$8&amp;"]"),Data_main[Data],$A113, Data_main[Segment],$B113, Data_main[Scenario],$B$3))</f>
        <v>0</v>
      </c>
      <c r="S113" s="390">
        <f ca="1">IF($B$6="ON", IF(S110&gt;=covid_start, IF(S110&lt;covid_recovery,NA(),SUMIFS(INDIRECT("Data_main"&amp;"["&amp;S$8&amp;"]"),Data_main[Data],$A113, Data_main[Segment],$B113, Data_main[Scenario],$B$3)),SUMIFS(INDIRECT("Data_main"&amp;"["&amp;S$8&amp;"]"),Data_main[Data],$A113, Data_main[Segment],$B113, Data_main[Scenario],$B$3)),SUMIFS(INDIRECT("Data_main"&amp;"["&amp;S$8&amp;"]"),Data_main[Data],$A113, Data_main[Segment],$B113, Data_main[Scenario],$B$3))</f>
        <v>0</v>
      </c>
      <c r="T113" s="390">
        <f ca="1">IF($B$6="ON", IF(T110&gt;=covid_start, IF(T110&lt;covid_recovery,NA(),SUMIFS(INDIRECT("Data_main"&amp;"["&amp;T$8&amp;"]"),Data_main[Data],$A113, Data_main[Segment],$B113, Data_main[Scenario],$B$3)),SUMIFS(INDIRECT("Data_main"&amp;"["&amp;T$8&amp;"]"),Data_main[Data],$A113, Data_main[Segment],$B113, Data_main[Scenario],$B$3)),SUMIFS(INDIRECT("Data_main"&amp;"["&amp;T$8&amp;"]"),Data_main[Data],$A113, Data_main[Segment],$B113, Data_main[Scenario],$B$3))</f>
        <v>0</v>
      </c>
      <c r="U113" s="390">
        <f ca="1">IF($B$6="ON", IF(U110&gt;=covid_start, IF(U110&lt;covid_recovery,NA(),SUMIFS(INDIRECT("Data_main"&amp;"["&amp;U$8&amp;"]"),Data_main[Data],$A113, Data_main[Segment],$B113, Data_main[Scenario],$B$3)),SUMIFS(INDIRECT("Data_main"&amp;"["&amp;U$8&amp;"]"),Data_main[Data],$A113, Data_main[Segment],$B113, Data_main[Scenario],$B$3)),SUMIFS(INDIRECT("Data_main"&amp;"["&amp;U$8&amp;"]"),Data_main[Data],$A113, Data_main[Segment],$B113, Data_main[Scenario],$B$3))</f>
        <v>0</v>
      </c>
      <c r="V113" s="390">
        <f ca="1">IF($B$6="ON", IF(V110&gt;=covid_start, IF(V110&lt;covid_recovery,NA(),SUMIFS(INDIRECT("Data_main"&amp;"["&amp;V$8&amp;"]"),Data_main[Data],$A113, Data_main[Segment],$B113, Data_main[Scenario],$B$3)),SUMIFS(INDIRECT("Data_main"&amp;"["&amp;V$8&amp;"]"),Data_main[Data],$A113, Data_main[Segment],$B113, Data_main[Scenario],$B$3)),SUMIFS(INDIRECT("Data_main"&amp;"["&amp;V$8&amp;"]"),Data_main[Data],$A113, Data_main[Segment],$B113, Data_main[Scenario],$B$3))</f>
        <v>0</v>
      </c>
      <c r="W113" s="390">
        <f ca="1">IF($B$6="ON", IF(W110&gt;=covid_start, IF(W110&lt;covid_recovery,NA(),SUMIFS(INDIRECT("Data_main"&amp;"["&amp;W$8&amp;"]"),Data_main[Data],$A113, Data_main[Segment],$B113, Data_main[Scenario],$B$3)),SUMIFS(INDIRECT("Data_main"&amp;"["&amp;W$8&amp;"]"),Data_main[Data],$A113, Data_main[Segment],$B113, Data_main[Scenario],$B$3)),SUMIFS(INDIRECT("Data_main"&amp;"["&amp;W$8&amp;"]"),Data_main[Data],$A113, Data_main[Segment],$B113, Data_main[Scenario],$B$3))</f>
        <v>0</v>
      </c>
      <c r="X113" s="390">
        <f ca="1">IF($B$6="ON", IF(X110&gt;=covid_start, IF(X110&lt;covid_recovery,NA(),SUMIFS(INDIRECT("Data_main"&amp;"["&amp;X$8&amp;"]"),Data_main[Data],$A113, Data_main[Segment],$B113, Data_main[Scenario],$B$3)),SUMIFS(INDIRECT("Data_main"&amp;"["&amp;X$8&amp;"]"),Data_main[Data],$A113, Data_main[Segment],$B113, Data_main[Scenario],$B$3)),SUMIFS(INDIRECT("Data_main"&amp;"["&amp;X$8&amp;"]"),Data_main[Data],$A113, Data_main[Segment],$B113, Data_main[Scenario],$B$3))</f>
        <v>0</v>
      </c>
      <c r="Y113" s="390">
        <f ca="1">IF($B$6="ON", IF(Y110&gt;=covid_start, IF(Y110&lt;covid_recovery,NA(),SUMIFS(INDIRECT("Data_main"&amp;"["&amp;Y$8&amp;"]"),Data_main[Data],$A113, Data_main[Segment],$B113, Data_main[Scenario],$B$3)),SUMIFS(INDIRECT("Data_main"&amp;"["&amp;Y$8&amp;"]"),Data_main[Data],$A113, Data_main[Segment],$B113, Data_main[Scenario],$B$3)),SUMIFS(INDIRECT("Data_main"&amp;"["&amp;Y$8&amp;"]"),Data_main[Data],$A113, Data_main[Segment],$B113, Data_main[Scenario],$B$3))</f>
        <v>0</v>
      </c>
      <c r="Z113" s="390">
        <f ca="1">IF($B$6="ON", IF(Z110&gt;=covid_start, IF(Z110&lt;covid_recovery,NA(),SUMIFS(INDIRECT("Data_main"&amp;"["&amp;Z$8&amp;"]"),Data_main[Data],$A113, Data_main[Segment],$B113, Data_main[Scenario],$B$3)),SUMIFS(INDIRECT("Data_main"&amp;"["&amp;Z$8&amp;"]"),Data_main[Data],$A113, Data_main[Segment],$B113, Data_main[Scenario],$B$3)),SUMIFS(INDIRECT("Data_main"&amp;"["&amp;Z$8&amp;"]"),Data_main[Data],$A113, Data_main[Segment],$B113, Data_main[Scenario],$B$3))</f>
        <v>0</v>
      </c>
      <c r="AA113" s="390">
        <f ca="1">IF($B$6="ON", IF(AA110&gt;=covid_start, IF(AA110&lt;covid_recovery,NA(),SUMIFS(INDIRECT("Data_main"&amp;"["&amp;AA$8&amp;"]"),Data_main[Data],$A113, Data_main[Segment],$B113, Data_main[Scenario],$B$3)),SUMIFS(INDIRECT("Data_main"&amp;"["&amp;AA$8&amp;"]"),Data_main[Data],$A113, Data_main[Segment],$B113, Data_main[Scenario],$B$3)),SUMIFS(INDIRECT("Data_main"&amp;"["&amp;AA$8&amp;"]"),Data_main[Data],$A113, Data_main[Segment],$B113, Data_main[Scenario],$B$3))</f>
        <v>0</v>
      </c>
      <c r="AB113" s="390">
        <f ca="1">IF($B$6="ON", IF(AB110&gt;=covid_start, IF(AB110&lt;covid_recovery,NA(),SUMIFS(INDIRECT("Data_main"&amp;"["&amp;AB$8&amp;"]"),Data_main[Data],$A113, Data_main[Segment],$B113, Data_main[Scenario],$B$3)),SUMIFS(INDIRECT("Data_main"&amp;"["&amp;AB$8&amp;"]"),Data_main[Data],$A113, Data_main[Segment],$B113, Data_main[Scenario],$B$3)),SUMIFS(INDIRECT("Data_main"&amp;"["&amp;AB$8&amp;"]"),Data_main[Data],$A113, Data_main[Segment],$B113, Data_main[Scenario],$B$3))</f>
        <v>0</v>
      </c>
      <c r="AC113" s="390">
        <f ca="1">IF($B$6="ON", IF(AC110&gt;=covid_start, IF(AC110&lt;covid_recovery,NA(),SUMIFS(INDIRECT("Data_main"&amp;"["&amp;AC$8&amp;"]"),Data_main[Data],$A113, Data_main[Segment],$B113, Data_main[Scenario],$B$3)),SUMIFS(INDIRECT("Data_main"&amp;"["&amp;AC$8&amp;"]"),Data_main[Data],$A113, Data_main[Segment],$B113, Data_main[Scenario],$B$3)),SUMIFS(INDIRECT("Data_main"&amp;"["&amp;AC$8&amp;"]"),Data_main[Data],$A113, Data_main[Segment],$B113, Data_main[Scenario],$B$3))</f>
        <v>0</v>
      </c>
      <c r="AD113" s="390">
        <f ca="1">IF($B$6="ON", IF(AD110&gt;=covid_start, IF(AD110&lt;covid_recovery,NA(),SUMIFS(INDIRECT("Data_main"&amp;"["&amp;AD$8&amp;"]"),Data_main[Data],$A113, Data_main[Segment],$B113, Data_main[Scenario],$B$3)),SUMIFS(INDIRECT("Data_main"&amp;"["&amp;AD$8&amp;"]"),Data_main[Data],$A113, Data_main[Segment],$B113, Data_main[Scenario],$B$3)),SUMIFS(INDIRECT("Data_main"&amp;"["&amp;AD$8&amp;"]"),Data_main[Data],$A113, Data_main[Segment],$B113, Data_main[Scenario],$B$3))</f>
        <v>0</v>
      </c>
      <c r="AE113" s="390">
        <f ca="1">IF($B$6="ON", IF(AE110&gt;=covid_start, IF(AE110&lt;covid_recovery,NA(),SUMIFS(INDIRECT("Data_main"&amp;"["&amp;AE$8&amp;"]"),Data_main[Data],$A113, Data_main[Segment],$B113, Data_main[Scenario],$B$3)),SUMIFS(INDIRECT("Data_main"&amp;"["&amp;AE$8&amp;"]"),Data_main[Data],$A113, Data_main[Segment],$B113, Data_main[Scenario],$B$3)),SUMIFS(INDIRECT("Data_main"&amp;"["&amp;AE$8&amp;"]"),Data_main[Data],$A113, Data_main[Segment],$B113, Data_main[Scenario],$B$3))</f>
        <v>0</v>
      </c>
      <c r="AF113" s="390">
        <f ca="1">IF($B$6="ON", IF(AF110&gt;=covid_start, IF(AF110&lt;covid_recovery,NA(),SUMIFS(INDIRECT("Data_main"&amp;"["&amp;AF$8&amp;"]"),Data_main[Data],$A113, Data_main[Segment],$B113, Data_main[Scenario],$B$3)),SUMIFS(INDIRECT("Data_main"&amp;"["&amp;AF$8&amp;"]"),Data_main[Data],$A113, Data_main[Segment],$B113, Data_main[Scenario],$B$3)),SUMIFS(INDIRECT("Data_main"&amp;"["&amp;AF$8&amp;"]"),Data_main[Data],$A113, Data_main[Segment],$B113, Data_main[Scenario],$B$3))</f>
        <v>0</v>
      </c>
      <c r="AG113" s="390">
        <f ca="1">IF($B$6="ON", IF(AG110&gt;=covid_start, IF(AG110&lt;covid_recovery,NA(),SUMIFS(INDIRECT("Data_main"&amp;"["&amp;AG$8&amp;"]"),Data_main[Data],$A113, Data_main[Segment],$B113, Data_main[Scenario],$B$3)),SUMIFS(INDIRECT("Data_main"&amp;"["&amp;AG$8&amp;"]"),Data_main[Data],$A113, Data_main[Segment],$B113, Data_main[Scenario],$B$3)),SUMIFS(INDIRECT("Data_main"&amp;"["&amp;AG$8&amp;"]"),Data_main[Data],$A113, Data_main[Segment],$B113, Data_main[Scenario],$B$3))</f>
        <v>0</v>
      </c>
      <c r="AH113" s="390">
        <f ca="1">IF($B$6="ON", IF(AH110&gt;=covid_start, IF(AH110&lt;covid_recovery,NA(),SUMIFS(INDIRECT("Data_main"&amp;"["&amp;AH$8&amp;"]"),Data_main[Data],$A113, Data_main[Segment],$B113, Data_main[Scenario],$B$3)),SUMIFS(INDIRECT("Data_main"&amp;"["&amp;AH$8&amp;"]"),Data_main[Data],$A113, Data_main[Segment],$B113, Data_main[Scenario],$B$3)),SUMIFS(INDIRECT("Data_main"&amp;"["&amp;AH$8&amp;"]"),Data_main[Data],$A113, Data_main[Segment],$B113, Data_main[Scenario],$B$3))</f>
        <v>0</v>
      </c>
      <c r="AI113" s="390">
        <f ca="1">IF($B$6="ON", IF(AI110&gt;=covid_start, IF(AI110&lt;covid_recovery,NA(),SUMIFS(INDIRECT("Data_main"&amp;"["&amp;AI$8&amp;"]"),Data_main[Data],$A113, Data_main[Segment],$B113, Data_main[Scenario],$B$3)),SUMIFS(INDIRECT("Data_main"&amp;"["&amp;AI$8&amp;"]"),Data_main[Data],$A113, Data_main[Segment],$B113, Data_main[Scenario],$B$3)),SUMIFS(INDIRECT("Data_main"&amp;"["&amp;AI$8&amp;"]"),Data_main[Data],$A113, Data_main[Segment],$B113, Data_main[Scenario],$B$3))</f>
        <v>0</v>
      </c>
      <c r="AJ113" s="390">
        <f ca="1">IF($B$6="ON", IF(AJ110&gt;=covid_start, IF(AJ110&lt;covid_recovery,NA(),SUMIFS(INDIRECT("Data_main"&amp;"["&amp;AJ$8&amp;"]"),Data_main[Data],$A113, Data_main[Segment],$B113, Data_main[Scenario],$B$3)),SUMIFS(INDIRECT("Data_main"&amp;"["&amp;AJ$8&amp;"]"),Data_main[Data],$A113, Data_main[Segment],$B113, Data_main[Scenario],$B$3)),SUMIFS(INDIRECT("Data_main"&amp;"["&amp;AJ$8&amp;"]"),Data_main[Data],$A113, Data_main[Segment],$B113, Data_main[Scenario],$B$3))</f>
        <v>0</v>
      </c>
      <c r="AK113" s="390">
        <f ca="1">IF($B$6="ON", IF(AK110&gt;=covid_start, IF(AK110&lt;covid_recovery,NA(),SUMIFS(INDIRECT("Data_main"&amp;"["&amp;AK$8&amp;"]"),Data_main[Data],$A113, Data_main[Segment],$B113, Data_main[Scenario],$B$3)),SUMIFS(INDIRECT("Data_main"&amp;"["&amp;AK$8&amp;"]"),Data_main[Data],$A113, Data_main[Segment],$B113, Data_main[Scenario],$B$3)),SUMIFS(INDIRECT("Data_main"&amp;"["&amp;AK$8&amp;"]"),Data_main[Data],$A113, Data_main[Segment],$B113, Data_main[Scenario],$B$3))</f>
        <v>0</v>
      </c>
      <c r="AL113" s="390">
        <f ca="1">IF($B$6="ON", IF(AL110&gt;=covid_start, IF(AL110&lt;covid_recovery,NA(),SUMIFS(INDIRECT("Data_main"&amp;"["&amp;AL$8&amp;"]"),Data_main[Data],$A113, Data_main[Segment],$B113, Data_main[Scenario],$B$3)),SUMIFS(INDIRECT("Data_main"&amp;"["&amp;AL$8&amp;"]"),Data_main[Data],$A113, Data_main[Segment],$B113, Data_main[Scenario],$B$3)),SUMIFS(INDIRECT("Data_main"&amp;"["&amp;AL$8&amp;"]"),Data_main[Data],$A113, Data_main[Segment],$B113, Data_main[Scenario],$B$3))</f>
        <v>0</v>
      </c>
      <c r="AM113" s="390">
        <f ca="1">IF($B$6="ON", IF(AM110&gt;=covid_start, IF(AM110&lt;covid_recovery,NA(),SUMIFS(INDIRECT("Data_main"&amp;"["&amp;AM$8&amp;"]"),Data_main[Data],$A113, Data_main[Segment],$B113, Data_main[Scenario],$B$3)),SUMIFS(INDIRECT("Data_main"&amp;"["&amp;AM$8&amp;"]"),Data_main[Data],$A113, Data_main[Segment],$B113, Data_main[Scenario],$B$3)),SUMIFS(INDIRECT("Data_main"&amp;"["&amp;AM$8&amp;"]"),Data_main[Data],$A113, Data_main[Segment],$B113, Data_main[Scenario],$B$3))</f>
        <v>0</v>
      </c>
      <c r="AN113" s="390">
        <f ca="1">IF($B$6="ON", IF(AN110&gt;=covid_start, IF(AN110&lt;covid_recovery,NA(),SUMIFS(INDIRECT("Data_main"&amp;"["&amp;AN$8&amp;"]"),Data_main[Data],$A113, Data_main[Segment],$B113, Data_main[Scenario],$B$3)),SUMIFS(INDIRECT("Data_main"&amp;"["&amp;AN$8&amp;"]"),Data_main[Data],$A113, Data_main[Segment],$B113, Data_main[Scenario],$B$3)),SUMIFS(INDIRECT("Data_main"&amp;"["&amp;AN$8&amp;"]"),Data_main[Data],$A113, Data_main[Segment],$B113, Data_main[Scenario],$B$3))</f>
        <v>0</v>
      </c>
      <c r="AO113" s="390">
        <f ca="1">IF($B$6="ON", IF(AO110&gt;=covid_start, IF(AO110&lt;covid_recovery,NA(),SUMIFS(INDIRECT("Data_main"&amp;"["&amp;AO$8&amp;"]"),Data_main[Data],$A113, Data_main[Segment],$B113, Data_main[Scenario],$B$3)),SUMIFS(INDIRECT("Data_main"&amp;"["&amp;AO$8&amp;"]"),Data_main[Data],$A113, Data_main[Segment],$B113, Data_main[Scenario],$B$3)),SUMIFS(INDIRECT("Data_main"&amp;"["&amp;AO$8&amp;"]"),Data_main[Data],$A113, Data_main[Segment],$B113, Data_main[Scenario],$B$3))</f>
        <v>0</v>
      </c>
      <c r="AP113" s="390">
        <f ca="1">IF($B$6="ON", IF(AP110&gt;=covid_start, IF(AP110&lt;covid_recovery,NA(),SUMIFS(INDIRECT("Data_main"&amp;"["&amp;AP$8&amp;"]"),Data_main[Data],$A113, Data_main[Segment],$B113, Data_main[Scenario],$B$3)),SUMIFS(INDIRECT("Data_main"&amp;"["&amp;AP$8&amp;"]"),Data_main[Data],$A113, Data_main[Segment],$B113, Data_main[Scenario],$B$3)),SUMIFS(INDIRECT("Data_main"&amp;"["&amp;AP$8&amp;"]"),Data_main[Data],$A113, Data_main[Segment],$B113, Data_main[Scenario],$B$3))</f>
        <v>0</v>
      </c>
      <c r="AQ113" s="390">
        <f ca="1">IF($B$6="ON", IF(AQ110&gt;=covid_start, IF(AQ110&lt;covid_recovery,NA(),SUMIFS(INDIRECT("Data_main"&amp;"["&amp;AQ$8&amp;"]"),Data_main[Data],$A113, Data_main[Segment],$B113, Data_main[Scenario],$B$3)),SUMIFS(INDIRECT("Data_main"&amp;"["&amp;AQ$8&amp;"]"),Data_main[Data],$A113, Data_main[Segment],$B113, Data_main[Scenario],$B$3)),SUMIFS(INDIRECT("Data_main"&amp;"["&amp;AQ$8&amp;"]"),Data_main[Data],$A113, Data_main[Segment],$B113, Data_main[Scenario],$B$3))</f>
        <v>0</v>
      </c>
      <c r="AR113" s="390">
        <f ca="1">IF($B$6="ON", IF(AR110&gt;=covid_start, IF(AR110&lt;covid_recovery,NA(),SUMIFS(INDIRECT("Data_main"&amp;"["&amp;AR$8&amp;"]"),Data_main[Data],$A113, Data_main[Segment],$B113, Data_main[Scenario],$B$3)),SUMIFS(INDIRECT("Data_main"&amp;"["&amp;AR$8&amp;"]"),Data_main[Data],$A113, Data_main[Segment],$B113, Data_main[Scenario],$B$3)),SUMIFS(INDIRECT("Data_main"&amp;"["&amp;AR$8&amp;"]"),Data_main[Data],$A113, Data_main[Segment],$B113, Data_main[Scenario],$B$3))</f>
        <v>0</v>
      </c>
      <c r="AS113" s="390">
        <f ca="1">IF($B$6="ON", IF(AS110&gt;=covid_start, IF(AS110&lt;covid_recovery,NA(),SUMIFS(INDIRECT("Data_main"&amp;"["&amp;AS$8&amp;"]"),Data_main[Data],$A113, Data_main[Segment],$B113, Data_main[Scenario],$B$3)),SUMIFS(INDIRECT("Data_main"&amp;"["&amp;AS$8&amp;"]"),Data_main[Data],$A113, Data_main[Segment],$B113, Data_main[Scenario],$B$3)),SUMIFS(INDIRECT("Data_main"&amp;"["&amp;AS$8&amp;"]"),Data_main[Data],$A113, Data_main[Segment],$B113, Data_main[Scenario],$B$3))</f>
        <v>0</v>
      </c>
      <c r="AT113" s="390">
        <f ca="1">IF($B$6="ON", IF(AT110&gt;=covid_start, IF(AT110&lt;covid_recovery,NA(),SUMIFS(INDIRECT("Data_main"&amp;"["&amp;AT$8&amp;"]"),Data_main[Data],$A113, Data_main[Segment],$B113, Data_main[Scenario],$B$3)),SUMIFS(INDIRECT("Data_main"&amp;"["&amp;AT$8&amp;"]"),Data_main[Data],$A113, Data_main[Segment],$B113, Data_main[Scenario],$B$3)),SUMIFS(INDIRECT("Data_main"&amp;"["&amp;AT$8&amp;"]"),Data_main[Data],$A113, Data_main[Segment],$B113, Data_main[Scenario],$B$3))</f>
        <v>0</v>
      </c>
      <c r="AU113" s="390">
        <f ca="1">IF($B$6="ON", IF(AU110&gt;=covid_start, IF(AU110&lt;covid_recovery,NA(),SUMIFS(INDIRECT("Data_main"&amp;"["&amp;AU$8&amp;"]"),Data_main[Data],$A113, Data_main[Segment],$B113, Data_main[Scenario],$B$3)),SUMIFS(INDIRECT("Data_main"&amp;"["&amp;AU$8&amp;"]"),Data_main[Data],$A113, Data_main[Segment],$B113, Data_main[Scenario],$B$3)),SUMIFS(INDIRECT("Data_main"&amp;"["&amp;AU$8&amp;"]"),Data_main[Data],$A113, Data_main[Segment],$B113, Data_main[Scenario],$B$3))</f>
        <v>0</v>
      </c>
      <c r="AV113" s="390">
        <f ca="1">IF($B$6="ON", IF(AV110&gt;=covid_start, IF(AV110&lt;covid_recovery,NA(),SUMIFS(INDIRECT("Data_main"&amp;"["&amp;AV$8&amp;"]"),Data_main[Data],$A113, Data_main[Segment],$B113, Data_main[Scenario],$B$3)),SUMIFS(INDIRECT("Data_main"&amp;"["&amp;AV$8&amp;"]"),Data_main[Data],$A113, Data_main[Segment],$B113, Data_main[Scenario],$B$3)),SUMIFS(INDIRECT("Data_main"&amp;"["&amp;AV$8&amp;"]"),Data_main[Data],$A113, Data_main[Segment],$B113, Data_main[Scenario],$B$3))</f>
        <v>0</v>
      </c>
      <c r="AW113" s="390">
        <f ca="1">IF($B$6="ON", IF(AW110&gt;=covid_start, IF(AW110&lt;covid_recovery,NA(),SUMIFS(INDIRECT("Data_main"&amp;"["&amp;AW$8&amp;"]"),Data_main[Data],$A113, Data_main[Segment],$B113, Data_main[Scenario],$B$3)),SUMIFS(INDIRECT("Data_main"&amp;"["&amp;AW$8&amp;"]"),Data_main[Data],$A113, Data_main[Segment],$B113, Data_main[Scenario],$B$3)),SUMIFS(INDIRECT("Data_main"&amp;"["&amp;AW$8&amp;"]"),Data_main[Data],$A113, Data_main[Segment],$B113, Data_main[Scenario],$B$3))</f>
        <v>0</v>
      </c>
      <c r="AX113" s="390">
        <f ca="1">IF($B$6="ON", IF(AX110&gt;=covid_start, IF(AX110&lt;covid_recovery,NA(),SUMIFS(INDIRECT("Data_main"&amp;"["&amp;AX$8&amp;"]"),Data_main[Data],$A113, Data_main[Segment],$B113, Data_main[Scenario],$B$3)),SUMIFS(INDIRECT("Data_main"&amp;"["&amp;AX$8&amp;"]"),Data_main[Data],$A113, Data_main[Segment],$B113, Data_main[Scenario],$B$3)),SUMIFS(INDIRECT("Data_main"&amp;"["&amp;AX$8&amp;"]"),Data_main[Data],$A113, Data_main[Segment],$B113, Data_main[Scenario],$B$3))</f>
        <v>0</v>
      </c>
      <c r="AY113" s="390">
        <f ca="1">IF($B$6="ON", IF(AY110&gt;=covid_start, IF(AY110&lt;covid_recovery,NA(),SUMIFS(INDIRECT("Data_main"&amp;"["&amp;AY$8&amp;"]"),Data_main[Data],$A113, Data_main[Segment],$B113, Data_main[Scenario],$B$3)),SUMIFS(INDIRECT("Data_main"&amp;"["&amp;AY$8&amp;"]"),Data_main[Data],$A113, Data_main[Segment],$B113, Data_main[Scenario],$B$3)),SUMIFS(INDIRECT("Data_main"&amp;"["&amp;AY$8&amp;"]"),Data_main[Data],$A113, Data_main[Segment],$B113, Data_main[Scenario],$B$3))</f>
        <v>0</v>
      </c>
      <c r="AZ113" s="390">
        <f ca="1">IF($B$6="ON", IF(AZ110&gt;=covid_start, IF(AZ110&lt;covid_recovery,NA(),SUMIFS(INDIRECT("Data_main"&amp;"["&amp;AZ$8&amp;"]"),Data_main[Data],$A113, Data_main[Segment],$B113, Data_main[Scenario],$B$3)),SUMIFS(INDIRECT("Data_main"&amp;"["&amp;AZ$8&amp;"]"),Data_main[Data],$A113, Data_main[Segment],$B113, Data_main[Scenario],$B$3)),SUMIFS(INDIRECT("Data_main"&amp;"["&amp;AZ$8&amp;"]"),Data_main[Data],$A113, Data_main[Segment],$B113, Data_main[Scenario],$B$3))</f>
        <v>0</v>
      </c>
      <c r="BA113" s="390">
        <f ca="1">IF($B$6="ON", IF(BA110&gt;=covid_start, IF(BA110&lt;covid_recovery,NA(),SUMIFS(INDIRECT("Data_main"&amp;"["&amp;BA$8&amp;"]"),Data_main[Data],$A113, Data_main[Segment],$B113, Data_main[Scenario],$B$3)),SUMIFS(INDIRECT("Data_main"&amp;"["&amp;BA$8&amp;"]"),Data_main[Data],$A113, Data_main[Segment],$B113, Data_main[Scenario],$B$3)),SUMIFS(INDIRECT("Data_main"&amp;"["&amp;BA$8&amp;"]"),Data_main[Data],$A113, Data_main[Segment],$B113, Data_main[Scenario],$B$3))</f>
        <v>0</v>
      </c>
      <c r="BB113" s="390">
        <f ca="1">IF($B$6="ON", IF(BB110&gt;=covid_start, IF(BB110&lt;covid_recovery,NA(),SUMIFS(INDIRECT("Data_main"&amp;"["&amp;BB$8&amp;"]"),Data_main[Data],$A113, Data_main[Segment],$B113, Data_main[Scenario],$B$3)),SUMIFS(INDIRECT("Data_main"&amp;"["&amp;BB$8&amp;"]"),Data_main[Data],$A113, Data_main[Segment],$B113, Data_main[Scenario],$B$3)),SUMIFS(INDIRECT("Data_main"&amp;"["&amp;BB$8&amp;"]"),Data_main[Data],$A113, Data_main[Segment],$B113, Data_main[Scenario],$B$3))</f>
        <v>0</v>
      </c>
      <c r="BC113" s="390">
        <f ca="1">IF($B$6="ON", IF(BC110&gt;=covid_start, IF(BC110&lt;covid_recovery,NA(),SUMIFS(INDIRECT("Data_main"&amp;"["&amp;BC$8&amp;"]"),Data_main[Data],$A113, Data_main[Segment],$B113, Data_main[Scenario],$B$3)),SUMIFS(INDIRECT("Data_main"&amp;"["&amp;BC$8&amp;"]"),Data_main[Data],$A113, Data_main[Segment],$B113, Data_main[Scenario],$B$3)),SUMIFS(INDIRECT("Data_main"&amp;"["&amp;BC$8&amp;"]"),Data_main[Data],$A113, Data_main[Segment],$B113, Data_main[Scenario],$B$3))</f>
        <v>0</v>
      </c>
      <c r="BD113" s="390">
        <f ca="1">IF($B$6="ON", IF(BD110&gt;=covid_start, IF(BD110&lt;covid_recovery,NA(),SUMIFS(INDIRECT("Data_main"&amp;"["&amp;BD$8&amp;"]"),Data_main[Data],$A113, Data_main[Segment],$B113, Data_main[Scenario],$B$3)),SUMIFS(INDIRECT("Data_main"&amp;"["&amp;BD$8&amp;"]"),Data_main[Data],$A113, Data_main[Segment],$B113, Data_main[Scenario],$B$3)),SUMIFS(INDIRECT("Data_main"&amp;"["&amp;BD$8&amp;"]"),Data_main[Data],$A113, Data_main[Segment],$B113, Data_main[Scenario],$B$3))</f>
        <v>0</v>
      </c>
      <c r="BE113" s="390">
        <f ca="1">IF($B$6="ON", IF(BE110&gt;=covid_start, IF(BE110&lt;covid_recovery,NA(),SUMIFS(INDIRECT("Data_main"&amp;"["&amp;BE$8&amp;"]"),Data_main[Data],$A113, Data_main[Segment],$B113, Data_main[Scenario],$B$3)),SUMIFS(INDIRECT("Data_main"&amp;"["&amp;BE$8&amp;"]"),Data_main[Data],$A113, Data_main[Segment],$B113, Data_main[Scenario],$B$3)),SUMIFS(INDIRECT("Data_main"&amp;"["&amp;BE$8&amp;"]"),Data_main[Data],$A113, Data_main[Segment],$B113, Data_main[Scenario],$B$3))</f>
        <v>0</v>
      </c>
      <c r="BF113" s="390">
        <f ca="1">IF($B$6="ON", IF(BF110&gt;=covid_start, IF(BF110&lt;covid_recovery,NA(),SUMIFS(INDIRECT("Data_main"&amp;"["&amp;BF$8&amp;"]"),Data_main[Data],$A113, Data_main[Segment],$B113, Data_main[Scenario],$B$3)),SUMIFS(INDIRECT("Data_main"&amp;"["&amp;BF$8&amp;"]"),Data_main[Data],$A113, Data_main[Segment],$B113, Data_main[Scenario],$B$3)),SUMIFS(INDIRECT("Data_main"&amp;"["&amp;BF$8&amp;"]"),Data_main[Data],$A113, Data_main[Segment],$B113, Data_main[Scenario],$B$3))</f>
        <v>0</v>
      </c>
      <c r="BG113" s="390">
        <f ca="1">IF($B$6="ON", IF(BG110&gt;=covid_start, IF(BG110&lt;covid_recovery,NA(),SUMIFS(INDIRECT("Data_main"&amp;"["&amp;BG$8&amp;"]"),Data_main[Data],$A113, Data_main[Segment],$B113, Data_main[Scenario],$B$3)),SUMIFS(INDIRECT("Data_main"&amp;"["&amp;BG$8&amp;"]"),Data_main[Data],$A113, Data_main[Segment],$B113, Data_main[Scenario],$B$3)),SUMIFS(INDIRECT("Data_main"&amp;"["&amp;BG$8&amp;"]"),Data_main[Data],$A113, Data_main[Segment],$B113, Data_main[Scenario],$B$3))</f>
        <v>0</v>
      </c>
      <c r="BH113" s="390">
        <f ca="1">IF($B$6="ON", IF(BH110&gt;=covid_start, IF(BH110&lt;covid_recovery,NA(),SUMIFS(INDIRECT("Data_main"&amp;"["&amp;BH$8&amp;"]"),Data_main[Data],$A113, Data_main[Segment],$B113, Data_main[Scenario],$B$3)),SUMIFS(INDIRECT("Data_main"&amp;"["&amp;BH$8&amp;"]"),Data_main[Data],$A113, Data_main[Segment],$B113, Data_main[Scenario],$B$3)),SUMIFS(INDIRECT("Data_main"&amp;"["&amp;BH$8&amp;"]"),Data_main[Data],$A113, Data_main[Segment],$B113, Data_main[Scenario],$B$3))</f>
        <v>0</v>
      </c>
      <c r="BI113" s="390">
        <f ca="1">IF($B$6="ON", IF(BI110&gt;=covid_start, IF(BI110&lt;covid_recovery,NA(),SUMIFS(INDIRECT("Data_main"&amp;"["&amp;BI$8&amp;"]"),Data_main[Data],$A113, Data_main[Segment],$B113, Data_main[Scenario],$B$3)),SUMIFS(INDIRECT("Data_main"&amp;"["&amp;BI$8&amp;"]"),Data_main[Data],$A113, Data_main[Segment],$B113, Data_main[Scenario],$B$3)),SUMIFS(INDIRECT("Data_main"&amp;"["&amp;BI$8&amp;"]"),Data_main[Data],$A113, Data_main[Segment],$B113, Data_main[Scenario],$B$3))</f>
        <v>0</v>
      </c>
      <c r="BJ113" s="390">
        <f ca="1">IF($B$6="ON", IF(BJ110&gt;=covid_start, IF(BJ110&lt;covid_recovery,NA(),SUMIFS(INDIRECT("Data_main"&amp;"["&amp;BJ$8&amp;"]"),Data_main[Data],$A113, Data_main[Segment],$B113, Data_main[Scenario],$B$3)),SUMIFS(INDIRECT("Data_main"&amp;"["&amp;BJ$8&amp;"]"),Data_main[Data],$A113, Data_main[Segment],$B113, Data_main[Scenario],$B$3)),SUMIFS(INDIRECT("Data_main"&amp;"["&amp;BJ$8&amp;"]"),Data_main[Data],$A113, Data_main[Segment],$B113, Data_main[Scenario],$B$3))</f>
        <v>0</v>
      </c>
      <c r="BK113" s="390">
        <f ca="1">IF($B$6="ON", IF(BK110&gt;=covid_start, IF(BK110&lt;covid_recovery,NA(),SUMIFS(INDIRECT("Data_main"&amp;"["&amp;BK$8&amp;"]"),Data_main[Data],$A113, Data_main[Segment],$B113, Data_main[Scenario],$B$3)),SUMIFS(INDIRECT("Data_main"&amp;"["&amp;BK$8&amp;"]"),Data_main[Data],$A113, Data_main[Segment],$B113, Data_main[Scenario],$B$3)),SUMIFS(INDIRECT("Data_main"&amp;"["&amp;BK$8&amp;"]"),Data_main[Data],$A113, Data_main[Segment],$B113, Data_main[Scenario],$B$3))</f>
        <v>0</v>
      </c>
      <c r="BL113" s="390">
        <f ca="1">IF($B$6="ON", IF(BL110&gt;=covid_start, IF(BL110&lt;covid_recovery,NA(),SUMIFS(INDIRECT("Data_main"&amp;"["&amp;BL$8&amp;"]"),Data_main[Data],$A113, Data_main[Segment],$B113, Data_main[Scenario],$B$3)),SUMIFS(INDIRECT("Data_main"&amp;"["&amp;BL$8&amp;"]"),Data_main[Data],$A113, Data_main[Segment],$B113, Data_main[Scenario],$B$3)),SUMIFS(INDIRECT("Data_main"&amp;"["&amp;BL$8&amp;"]"),Data_main[Data],$A113, Data_main[Segment],$B113, Data_main[Scenario],$B$3))</f>
        <v>0</v>
      </c>
      <c r="BM113" s="390">
        <f ca="1">IF($B$6="ON", IF(BM110&gt;=covid_start, IF(BM110&lt;covid_recovery,NA(),SUMIFS(INDIRECT("Data_main"&amp;"["&amp;BM$8&amp;"]"),Data_main[Data],$A113, Data_main[Segment],$B113, Data_main[Scenario],$B$3)),SUMIFS(INDIRECT("Data_main"&amp;"["&amp;BM$8&amp;"]"),Data_main[Data],$A113, Data_main[Segment],$B113, Data_main[Scenario],$B$3)),SUMIFS(INDIRECT("Data_main"&amp;"["&amp;BM$8&amp;"]"),Data_main[Data],$A113, Data_main[Segment],$B113, Data_main[Scenario],$B$3))</f>
        <v>0</v>
      </c>
      <c r="BN113" s="390">
        <f ca="1">IF($B$6="ON", IF(BN110&gt;=covid_start, IF(BN110&lt;covid_recovery,NA(),SUMIFS(INDIRECT("Data_main"&amp;"["&amp;BN$8&amp;"]"),Data_main[Data],$A113, Data_main[Segment],$B113, Data_main[Scenario],$B$3)),SUMIFS(INDIRECT("Data_main"&amp;"["&amp;BN$8&amp;"]"),Data_main[Data],$A113, Data_main[Segment],$B113, Data_main[Scenario],$B$3)),SUMIFS(INDIRECT("Data_main"&amp;"["&amp;BN$8&amp;"]"),Data_main[Data],$A113, Data_main[Segment],$B113, Data_main[Scenario],$B$3))</f>
        <v>0</v>
      </c>
      <c r="BO113" s="390">
        <f ca="1">IF($B$6="ON", IF(BO110&gt;=covid_start, IF(BO110&lt;covid_recovery,NA(),SUMIFS(INDIRECT("Data_main"&amp;"["&amp;BO$8&amp;"]"),Data_main[Data],$A113, Data_main[Segment],$B113, Data_main[Scenario],$B$3)),SUMIFS(INDIRECT("Data_main"&amp;"["&amp;BO$8&amp;"]"),Data_main[Data],$A113, Data_main[Segment],$B113, Data_main[Scenario],$B$3)),SUMIFS(INDIRECT("Data_main"&amp;"["&amp;BO$8&amp;"]"),Data_main[Data],$A113, Data_main[Segment],$B113, Data_main[Scenario],$B$3))</f>
        <v>0</v>
      </c>
      <c r="BP113" s="390">
        <f ca="1">IF($B$6="ON", IF(BP110&gt;=covid_start, IF(BP110&lt;covid_recovery,NA(),SUMIFS(INDIRECT("Data_main"&amp;"["&amp;BP$8&amp;"]"),Data_main[Data],$A113, Data_main[Segment],$B113, Data_main[Scenario],$B$3)),SUMIFS(INDIRECT("Data_main"&amp;"["&amp;BP$8&amp;"]"),Data_main[Data],$A113, Data_main[Segment],$B113, Data_main[Scenario],$B$3)),SUMIFS(INDIRECT("Data_main"&amp;"["&amp;BP$8&amp;"]"),Data_main[Data],$A113, Data_main[Segment],$B113, Data_main[Scenario],$B$3))</f>
        <v>0</v>
      </c>
      <c r="BQ113" s="390">
        <f ca="1">IF($B$6="ON", IF(BQ110&gt;=covid_start, IF(BQ110&lt;covid_recovery,NA(),SUMIFS(INDIRECT("Data_main"&amp;"["&amp;BQ$8&amp;"]"),Data_main[Data],$A113, Data_main[Segment],$B113, Data_main[Scenario],$B$3)),SUMIFS(INDIRECT("Data_main"&amp;"["&amp;BQ$8&amp;"]"),Data_main[Data],$A113, Data_main[Segment],$B113, Data_main[Scenario],$B$3)),SUMIFS(INDIRECT("Data_main"&amp;"["&amp;BQ$8&amp;"]"),Data_main[Data],$A113, Data_main[Segment],$B113, Data_main[Scenario],$B$3))</f>
        <v>0</v>
      </c>
      <c r="BR113" s="390">
        <f ca="1">IF($B$6="ON", IF(BR110&gt;=covid_start, IF(BR110&lt;covid_recovery,NA(),SUMIFS(INDIRECT("Data_main"&amp;"["&amp;BR$8&amp;"]"),Data_main[Data],$A113, Data_main[Segment],$B113, Data_main[Scenario],$B$3)),SUMIFS(INDIRECT("Data_main"&amp;"["&amp;BR$8&amp;"]"),Data_main[Data],$A113, Data_main[Segment],$B113, Data_main[Scenario],$B$3)),SUMIFS(INDIRECT("Data_main"&amp;"["&amp;BR$8&amp;"]"),Data_main[Data],$A113, Data_main[Segment],$B113, Data_main[Scenario],$B$3))</f>
        <v>0</v>
      </c>
      <c r="BS113" s="390">
        <f ca="1">IF($B$6="ON", IF(BS110&gt;=covid_start, IF(BS110&lt;covid_recovery,NA(),SUMIFS(INDIRECT("Data_main"&amp;"["&amp;BS$8&amp;"]"),Data_main[Data],$A113, Data_main[Segment],$B113, Data_main[Scenario],$B$3)),SUMIFS(INDIRECT("Data_main"&amp;"["&amp;BS$8&amp;"]"),Data_main[Data],$A113, Data_main[Segment],$B113, Data_main[Scenario],$B$3)),SUMIFS(INDIRECT("Data_main"&amp;"["&amp;BS$8&amp;"]"),Data_main[Data],$A113, Data_main[Segment],$B113, Data_main[Scenario],$B$3))</f>
        <v>0</v>
      </c>
      <c r="BT113" s="390">
        <f ca="1">IF($B$6="ON", IF(BT110&gt;=covid_start, IF(BT110&lt;covid_recovery,NA(),SUMIFS(INDIRECT("Data_main"&amp;"["&amp;BT$8&amp;"]"),Data_main[Data],$A113, Data_main[Segment],$B113, Data_main[Scenario],$B$3)),SUMIFS(INDIRECT("Data_main"&amp;"["&amp;BT$8&amp;"]"),Data_main[Data],$A113, Data_main[Segment],$B113, Data_main[Scenario],$B$3)),SUMIFS(INDIRECT("Data_main"&amp;"["&amp;BT$8&amp;"]"),Data_main[Data],$A113, Data_main[Segment],$B113, Data_main[Scenario],$B$3))</f>
        <v>0</v>
      </c>
      <c r="BU113" s="390">
        <f ca="1">IF($B$6="ON", IF(BU110&gt;=covid_start, IF(BU110&lt;covid_recovery,NA(),SUMIFS(INDIRECT("Data_main"&amp;"["&amp;BU$8&amp;"]"),Data_main[Data],$A113, Data_main[Segment],$B113, Data_main[Scenario],$B$3)),SUMIFS(INDIRECT("Data_main"&amp;"["&amp;BU$8&amp;"]"),Data_main[Data],$A113, Data_main[Segment],$B113, Data_main[Scenario],$B$3)),SUMIFS(INDIRECT("Data_main"&amp;"["&amp;BU$8&amp;"]"),Data_main[Data],$A113, Data_main[Segment],$B113, Data_main[Scenario],$B$3))</f>
        <v>0</v>
      </c>
      <c r="BV113" s="390">
        <f ca="1">IF($B$6="ON", IF(BV110&gt;=covid_start, IF(BV110&lt;covid_recovery,NA(),SUMIFS(INDIRECT("Data_main"&amp;"["&amp;BV$8&amp;"]"),Data_main[Data],$A113, Data_main[Segment],$B113, Data_main[Scenario],$B$3)),SUMIFS(INDIRECT("Data_main"&amp;"["&amp;BV$8&amp;"]"),Data_main[Data],$A113, Data_main[Segment],$B113, Data_main[Scenario],$B$3)),SUMIFS(INDIRECT("Data_main"&amp;"["&amp;BV$8&amp;"]"),Data_main[Data],$A113, Data_main[Segment],$B113, Data_main[Scenario],$B$3))</f>
        <v>0</v>
      </c>
      <c r="BW113" s="390">
        <f ca="1">IF($B$6="ON", IF(BW110&gt;=covid_start, IF(BW110&lt;covid_recovery,NA(),SUMIFS(INDIRECT("Data_main"&amp;"["&amp;BW$8&amp;"]"),Data_main[Data],$A113, Data_main[Segment],$B113, Data_main[Scenario],$B$3)),SUMIFS(INDIRECT("Data_main"&amp;"["&amp;BW$8&amp;"]"),Data_main[Data],$A113, Data_main[Segment],$B113, Data_main[Scenario],$B$3)),SUMIFS(INDIRECT("Data_main"&amp;"["&amp;BW$8&amp;"]"),Data_main[Data],$A113, Data_main[Segment],$B113, Data_main[Scenario],$B$3))</f>
        <v>0</v>
      </c>
      <c r="BX113" s="390">
        <f ca="1">IF($B$6="ON", IF(BX110&gt;=covid_start, IF(BX110&lt;covid_recovery,NA(),SUMIFS(INDIRECT("Data_main"&amp;"["&amp;BX$8&amp;"]"),Data_main[Data],$A113, Data_main[Segment],$B113, Data_main[Scenario],$B$3)),SUMIFS(INDIRECT("Data_main"&amp;"["&amp;BX$8&amp;"]"),Data_main[Data],$A113, Data_main[Segment],$B113, Data_main[Scenario],$B$3)),SUMIFS(INDIRECT("Data_main"&amp;"["&amp;BX$8&amp;"]"),Data_main[Data],$A113, Data_main[Segment],$B113, Data_main[Scenario],$B$3))</f>
        <v>0</v>
      </c>
      <c r="BY113" s="390">
        <f ca="1">IF($B$6="ON", IF(BY110&gt;=covid_start, IF(BY110&lt;covid_recovery,NA(),SUMIFS(INDIRECT("Data_main"&amp;"["&amp;BY$8&amp;"]"),Data_main[Data],$A113, Data_main[Segment],$B113, Data_main[Scenario],$B$3)),SUMIFS(INDIRECT("Data_main"&amp;"["&amp;BY$8&amp;"]"),Data_main[Data],$A113, Data_main[Segment],$B113, Data_main[Scenario],$B$3)),SUMIFS(INDIRECT("Data_main"&amp;"["&amp;BY$8&amp;"]"),Data_main[Data],$A113, Data_main[Segment],$B113, Data_main[Scenario],$B$3))</f>
        <v>0</v>
      </c>
      <c r="BZ113" s="390">
        <f ca="1">IF($B$6="ON", IF(BZ110&gt;=covid_start, IF(BZ110&lt;covid_recovery,NA(),SUMIFS(INDIRECT("Data_main"&amp;"["&amp;BZ$8&amp;"]"),Data_main[Data],$A113, Data_main[Segment],$B113, Data_main[Scenario],$B$3)),SUMIFS(INDIRECT("Data_main"&amp;"["&amp;BZ$8&amp;"]"),Data_main[Data],$A113, Data_main[Segment],$B113, Data_main[Scenario],$B$3)),SUMIFS(INDIRECT("Data_main"&amp;"["&amp;BZ$8&amp;"]"),Data_main[Data],$A113, Data_main[Segment],$B113, Data_main[Scenario],$B$3))</f>
        <v>0</v>
      </c>
      <c r="CA113" s="390">
        <f ca="1">IF($B$6="ON", IF(CA110&gt;=covid_start, IF(CA110&lt;covid_recovery,NA(),SUMIFS(INDIRECT("Data_main"&amp;"["&amp;CA$8&amp;"]"),Data_main[Data],$A113, Data_main[Segment],$B113, Data_main[Scenario],$B$3)),SUMIFS(INDIRECT("Data_main"&amp;"["&amp;CA$8&amp;"]"),Data_main[Data],$A113, Data_main[Segment],$B113, Data_main[Scenario],$B$3)),SUMIFS(INDIRECT("Data_main"&amp;"["&amp;CA$8&amp;"]"),Data_main[Data],$A113, Data_main[Segment],$B113, Data_main[Scenario],$B$3))</f>
        <v>0</v>
      </c>
      <c r="CB113" s="390">
        <f ca="1">IF($B$6="ON", IF(CB110&gt;=covid_start, IF(CB110&lt;covid_recovery,NA(),SUMIFS(INDIRECT("Data_main"&amp;"["&amp;CB$8&amp;"]"),Data_main[Data],$A113, Data_main[Segment],$B113, Data_main[Scenario],$B$3)),SUMIFS(INDIRECT("Data_main"&amp;"["&amp;CB$8&amp;"]"),Data_main[Data],$A113, Data_main[Segment],$B113, Data_main[Scenario],$B$3)),SUMIFS(INDIRECT("Data_main"&amp;"["&amp;CB$8&amp;"]"),Data_main[Data],$A113, Data_main[Segment],$B113, Data_main[Scenario],$B$3))</f>
        <v>0</v>
      </c>
      <c r="CC113" s="390">
        <f ca="1">IF($B$6="ON", IF(CC110&gt;=covid_start, IF(CC110&lt;covid_recovery,NA(),SUMIFS(INDIRECT("Data_main"&amp;"["&amp;CC$8&amp;"]"),Data_main[Data],$A113, Data_main[Segment],$B113, Data_main[Scenario],$B$3)),SUMIFS(INDIRECT("Data_main"&amp;"["&amp;CC$8&amp;"]"),Data_main[Data],$A113, Data_main[Segment],$B113, Data_main[Scenario],$B$3)),SUMIFS(INDIRECT("Data_main"&amp;"["&amp;CC$8&amp;"]"),Data_main[Data],$A113, Data_main[Segment],$B113, Data_main[Scenario],$B$3))</f>
        <v>0</v>
      </c>
      <c r="CD113" s="390">
        <f ca="1">IF($B$6="ON", IF(CD110&gt;=covid_start, IF(CD110&lt;covid_recovery,NA(),SUMIFS(INDIRECT("Data_main"&amp;"["&amp;CD$8&amp;"]"),Data_main[Data],$A113, Data_main[Segment],$B113, Data_main[Scenario],$B$3)),SUMIFS(INDIRECT("Data_main"&amp;"["&amp;CD$8&amp;"]"),Data_main[Data],$A113, Data_main[Segment],$B113, Data_main[Scenario],$B$3)),SUMIFS(INDIRECT("Data_main"&amp;"["&amp;CD$8&amp;"]"),Data_main[Data],$A113, Data_main[Segment],$B113, Data_main[Scenario],$B$3))</f>
        <v>0</v>
      </c>
      <c r="CE113" s="390">
        <f ca="1">IF($B$6="ON", IF(CE110&gt;=covid_start, IF(CE110&lt;covid_recovery,NA(),SUMIFS(INDIRECT("Data_main"&amp;"["&amp;CE$8&amp;"]"),Data_main[Data],$A113, Data_main[Segment],$B113, Data_main[Scenario],$B$3)),SUMIFS(INDIRECT("Data_main"&amp;"["&amp;CE$8&amp;"]"),Data_main[Data],$A113, Data_main[Segment],$B113, Data_main[Scenario],$B$3)),SUMIFS(INDIRECT("Data_main"&amp;"["&amp;CE$8&amp;"]"),Data_main[Data],$A113, Data_main[Segment],$B113, Data_main[Scenario],$B$3))</f>
        <v>0</v>
      </c>
      <c r="CF113" s="390">
        <f ca="1">IF($B$6="ON", IF(CF110&gt;=covid_start, IF(CF110&lt;covid_recovery,NA(),SUMIFS(INDIRECT("Data_main"&amp;"["&amp;CF$8&amp;"]"),Data_main[Data],$A113, Data_main[Segment],$B113, Data_main[Scenario],$B$3)),SUMIFS(INDIRECT("Data_main"&amp;"["&amp;CF$8&amp;"]"),Data_main[Data],$A113, Data_main[Segment],$B113, Data_main[Scenario],$B$3)),SUMIFS(INDIRECT("Data_main"&amp;"["&amp;CF$8&amp;"]"),Data_main[Data],$A113, Data_main[Segment],$B113, Data_main[Scenario],$B$3))</f>
        <v>0</v>
      </c>
      <c r="CG113" s="390">
        <f ca="1">IF($B$6="ON", IF(CG110&gt;=covid_start, IF(CG110&lt;covid_recovery,NA(),SUMIFS(INDIRECT("Data_main"&amp;"["&amp;CG$8&amp;"]"),Data_main[Data],$A113, Data_main[Segment],$B113, Data_main[Scenario],$B$3)),SUMIFS(INDIRECT("Data_main"&amp;"["&amp;CG$8&amp;"]"),Data_main[Data],$A113, Data_main[Segment],$B113, Data_main[Scenario],$B$3)),SUMIFS(INDIRECT("Data_main"&amp;"["&amp;CG$8&amp;"]"),Data_main[Data],$A113, Data_main[Segment],$B113, Data_main[Scenario],$B$3))</f>
        <v>0</v>
      </c>
      <c r="CH113" s="390">
        <f ca="1">IF($B$6="ON", IF(CH110&gt;=covid_start, IF(CH110&lt;covid_recovery,NA(),SUMIFS(INDIRECT("Data_main"&amp;"["&amp;CH$8&amp;"]"),Data_main[Data],$A113, Data_main[Segment],$B113, Data_main[Scenario],$B$3)),SUMIFS(INDIRECT("Data_main"&amp;"["&amp;CH$8&amp;"]"),Data_main[Data],$A113, Data_main[Segment],$B113, Data_main[Scenario],$B$3)),SUMIFS(INDIRECT("Data_main"&amp;"["&amp;CH$8&amp;"]"),Data_main[Data],$A113, Data_main[Segment],$B113, Data_main[Scenario],$B$3))</f>
        <v>0</v>
      </c>
      <c r="CI113" s="390">
        <f ca="1">IF($B$6="ON", IF(CI110&gt;=covid_start, IF(CI110&lt;covid_recovery,NA(),SUMIFS(INDIRECT("Data_main"&amp;"["&amp;CI$8&amp;"]"),Data_main[Data],$A113, Data_main[Segment],$B113, Data_main[Scenario],$B$3)),SUMIFS(INDIRECT("Data_main"&amp;"["&amp;CI$8&amp;"]"),Data_main[Data],$A113, Data_main[Segment],$B113, Data_main[Scenario],$B$3)),SUMIFS(INDIRECT("Data_main"&amp;"["&amp;CI$8&amp;"]"),Data_main[Data],$A113, Data_main[Segment],$B113, Data_main[Scenario],$B$3))</f>
        <v>0</v>
      </c>
      <c r="CJ113" s="390">
        <f ca="1">IF($B$6="ON", IF(CJ110&gt;=covid_start, IF(CJ110&lt;covid_recovery,NA(),SUMIFS(INDIRECT("Data_main"&amp;"["&amp;CJ$8&amp;"]"),Data_main[Data],$A113, Data_main[Segment],$B113, Data_main[Scenario],$B$3)),SUMIFS(INDIRECT("Data_main"&amp;"["&amp;CJ$8&amp;"]"),Data_main[Data],$A113, Data_main[Segment],$B113, Data_main[Scenario],$B$3)),SUMIFS(INDIRECT("Data_main"&amp;"["&amp;CJ$8&amp;"]"),Data_main[Data],$A113, Data_main[Segment],$B113, Data_main[Scenario],$B$3))</f>
        <v>0</v>
      </c>
      <c r="CK113" s="390">
        <f ca="1">IF($B$6="ON", IF(CK110&gt;=covid_start, IF(CK110&lt;covid_recovery,NA(),SUMIFS(INDIRECT("Data_main"&amp;"["&amp;CK$8&amp;"]"),Data_main[Data],$A113, Data_main[Segment],$B113, Data_main[Scenario],$B$3)),SUMIFS(INDIRECT("Data_main"&amp;"["&amp;CK$8&amp;"]"),Data_main[Data],$A113, Data_main[Segment],$B113, Data_main[Scenario],$B$3)),SUMIFS(INDIRECT("Data_main"&amp;"["&amp;CK$8&amp;"]"),Data_main[Data],$A113, Data_main[Segment],$B113, Data_main[Scenario],$B$3))</f>
        <v>0</v>
      </c>
      <c r="CL113" s="390">
        <f ca="1">IF($B$6="ON", IF(CL110&gt;=covid_start, IF(CL110&lt;covid_recovery,NA(),SUMIFS(INDIRECT("Data_main"&amp;"["&amp;CL$8&amp;"]"),Data_main[Data],$A113, Data_main[Segment],$B113, Data_main[Scenario],$B$3)),SUMIFS(INDIRECT("Data_main"&amp;"["&amp;CL$8&amp;"]"),Data_main[Data],$A113, Data_main[Segment],$B113, Data_main[Scenario],$B$3)),SUMIFS(INDIRECT("Data_main"&amp;"["&amp;CL$8&amp;"]"),Data_main[Data],$A113, Data_main[Segment],$B113, Data_main[Scenario],$B$3))</f>
        <v>0</v>
      </c>
      <c r="CN113" s="391" t="str">
        <f ca="1">IFERROR((Y113/H113)^(1/17)-1,"")</f>
        <v/>
      </c>
      <c r="CO113" s="391" t="str">
        <f ca="1">IFERROR((AN113/Y113)^(1/15)-1,"")</f>
        <v/>
      </c>
      <c r="CP113" s="391" t="str">
        <f ca="1">IFERROR((AN113/H113)^(1/32)-1,"")</f>
        <v/>
      </c>
    </row>
    <row r="114" spans="1:94" hidden="1" outlineLevel="1">
      <c r="A114" s="394"/>
      <c r="B114" s="394" t="s">
        <v>26</v>
      </c>
      <c r="C114" s="394" t="s">
        <v>356</v>
      </c>
      <c r="D114" s="394" t="s">
        <v>357</v>
      </c>
      <c r="E114" s="396" t="e">
        <f t="shared" ref="E114:BP114" ca="1" si="963">(E113-INDEX($E110:$CL113,4,MATCH($B$5,$E110:$CL110,0)))/(INDEX($E110:$CL113,4,MATCH($B$4,$E110:$CL110,0))-INDEX($E110:$CL113,4,MATCH($B$5,$E110:$CL110,0)))</f>
        <v>#DIV/0!</v>
      </c>
      <c r="F114" s="397" t="e">
        <f t="shared" ca="1" si="963"/>
        <v>#DIV/0!</v>
      </c>
      <c r="G114" s="397" t="e">
        <f t="shared" ca="1" si="963"/>
        <v>#DIV/0!</v>
      </c>
      <c r="H114" s="397" t="e">
        <f t="shared" ca="1" si="963"/>
        <v>#DIV/0!</v>
      </c>
      <c r="I114" s="397" t="e">
        <f t="shared" ca="1" si="963"/>
        <v>#DIV/0!</v>
      </c>
      <c r="J114" s="397" t="e">
        <f t="shared" ca="1" si="963"/>
        <v>#N/A</v>
      </c>
      <c r="K114" s="397" t="e">
        <f t="shared" ca="1" si="963"/>
        <v>#N/A</v>
      </c>
      <c r="L114" s="397" t="e">
        <f t="shared" ca="1" si="963"/>
        <v>#N/A</v>
      </c>
      <c r="M114" s="397" t="e">
        <f t="shared" ca="1" si="963"/>
        <v>#DIV/0!</v>
      </c>
      <c r="N114" s="397" t="e">
        <f t="shared" ca="1" si="963"/>
        <v>#DIV/0!</v>
      </c>
      <c r="O114" s="397" t="e">
        <f t="shared" ca="1" si="963"/>
        <v>#DIV/0!</v>
      </c>
      <c r="P114" s="397" t="e">
        <f t="shared" ca="1" si="963"/>
        <v>#DIV/0!</v>
      </c>
      <c r="Q114" s="397" t="e">
        <f t="shared" ca="1" si="963"/>
        <v>#DIV/0!</v>
      </c>
      <c r="R114" s="397" t="e">
        <f t="shared" ca="1" si="963"/>
        <v>#DIV/0!</v>
      </c>
      <c r="S114" s="397" t="e">
        <f t="shared" ca="1" si="963"/>
        <v>#DIV/0!</v>
      </c>
      <c r="T114" s="397" t="e">
        <f t="shared" ca="1" si="963"/>
        <v>#DIV/0!</v>
      </c>
      <c r="U114" s="397" t="e">
        <f t="shared" ca="1" si="963"/>
        <v>#DIV/0!</v>
      </c>
      <c r="V114" s="397" t="e">
        <f t="shared" ca="1" si="963"/>
        <v>#DIV/0!</v>
      </c>
      <c r="W114" s="397" t="e">
        <f t="shared" ca="1" si="963"/>
        <v>#DIV/0!</v>
      </c>
      <c r="X114" s="397" t="e">
        <f t="shared" ca="1" si="963"/>
        <v>#DIV/0!</v>
      </c>
      <c r="Y114" s="397" t="e">
        <f t="shared" ca="1" si="963"/>
        <v>#DIV/0!</v>
      </c>
      <c r="Z114" s="397" t="e">
        <f t="shared" ca="1" si="963"/>
        <v>#DIV/0!</v>
      </c>
      <c r="AA114" s="397" t="e">
        <f t="shared" ca="1" si="963"/>
        <v>#DIV/0!</v>
      </c>
      <c r="AB114" s="397" t="e">
        <f t="shared" ca="1" si="963"/>
        <v>#DIV/0!</v>
      </c>
      <c r="AC114" s="397" t="e">
        <f t="shared" ca="1" si="963"/>
        <v>#DIV/0!</v>
      </c>
      <c r="AD114" s="397" t="e">
        <f t="shared" ca="1" si="963"/>
        <v>#DIV/0!</v>
      </c>
      <c r="AE114" s="397" t="e">
        <f t="shared" ca="1" si="963"/>
        <v>#DIV/0!</v>
      </c>
      <c r="AF114" s="397" t="e">
        <f t="shared" ca="1" si="963"/>
        <v>#DIV/0!</v>
      </c>
      <c r="AG114" s="397" t="e">
        <f t="shared" ca="1" si="963"/>
        <v>#DIV/0!</v>
      </c>
      <c r="AH114" s="397" t="e">
        <f t="shared" ca="1" si="963"/>
        <v>#DIV/0!</v>
      </c>
      <c r="AI114" s="397" t="e">
        <f t="shared" ca="1" si="963"/>
        <v>#DIV/0!</v>
      </c>
      <c r="AJ114" s="397" t="e">
        <f t="shared" ca="1" si="963"/>
        <v>#DIV/0!</v>
      </c>
      <c r="AK114" s="397" t="e">
        <f t="shared" ca="1" si="963"/>
        <v>#DIV/0!</v>
      </c>
      <c r="AL114" s="397" t="e">
        <f t="shared" ca="1" si="963"/>
        <v>#DIV/0!</v>
      </c>
      <c r="AM114" s="397" t="e">
        <f t="shared" ca="1" si="963"/>
        <v>#DIV/0!</v>
      </c>
      <c r="AN114" s="397" t="e">
        <f t="shared" ca="1" si="963"/>
        <v>#DIV/0!</v>
      </c>
      <c r="AO114" s="397" t="e">
        <f t="shared" ca="1" si="963"/>
        <v>#DIV/0!</v>
      </c>
      <c r="AP114" s="397" t="e">
        <f t="shared" ca="1" si="963"/>
        <v>#DIV/0!</v>
      </c>
      <c r="AQ114" s="397" t="e">
        <f t="shared" ca="1" si="963"/>
        <v>#DIV/0!</v>
      </c>
      <c r="AR114" s="397" t="e">
        <f t="shared" ca="1" si="963"/>
        <v>#DIV/0!</v>
      </c>
      <c r="AS114" s="397" t="e">
        <f t="shared" ca="1" si="963"/>
        <v>#DIV/0!</v>
      </c>
      <c r="AT114" s="397" t="e">
        <f t="shared" ca="1" si="963"/>
        <v>#DIV/0!</v>
      </c>
      <c r="AU114" s="397" t="e">
        <f t="shared" ca="1" si="963"/>
        <v>#DIV/0!</v>
      </c>
      <c r="AV114" s="397" t="e">
        <f t="shared" ca="1" si="963"/>
        <v>#DIV/0!</v>
      </c>
      <c r="AW114" s="397" t="e">
        <f t="shared" ca="1" si="963"/>
        <v>#DIV/0!</v>
      </c>
      <c r="AX114" s="397" t="e">
        <f t="shared" ca="1" si="963"/>
        <v>#DIV/0!</v>
      </c>
      <c r="AY114" s="397" t="e">
        <f t="shared" ca="1" si="963"/>
        <v>#DIV/0!</v>
      </c>
      <c r="AZ114" s="397" t="e">
        <f t="shared" ca="1" si="963"/>
        <v>#DIV/0!</v>
      </c>
      <c r="BA114" s="397" t="e">
        <f t="shared" ca="1" si="963"/>
        <v>#DIV/0!</v>
      </c>
      <c r="BB114" s="397" t="e">
        <f t="shared" ca="1" si="963"/>
        <v>#DIV/0!</v>
      </c>
      <c r="BC114" s="397" t="e">
        <f t="shared" ca="1" si="963"/>
        <v>#DIV/0!</v>
      </c>
      <c r="BD114" s="397" t="e">
        <f t="shared" ca="1" si="963"/>
        <v>#DIV/0!</v>
      </c>
      <c r="BE114" s="397" t="e">
        <f t="shared" ca="1" si="963"/>
        <v>#DIV/0!</v>
      </c>
      <c r="BF114" s="397" t="e">
        <f t="shared" ca="1" si="963"/>
        <v>#DIV/0!</v>
      </c>
      <c r="BG114" s="397" t="e">
        <f t="shared" ca="1" si="963"/>
        <v>#DIV/0!</v>
      </c>
      <c r="BH114" s="397" t="e">
        <f t="shared" ca="1" si="963"/>
        <v>#DIV/0!</v>
      </c>
      <c r="BI114" s="397" t="e">
        <f t="shared" ca="1" si="963"/>
        <v>#DIV/0!</v>
      </c>
      <c r="BJ114" s="397" t="e">
        <f t="shared" ca="1" si="963"/>
        <v>#DIV/0!</v>
      </c>
      <c r="BK114" s="397" t="e">
        <f t="shared" ca="1" si="963"/>
        <v>#DIV/0!</v>
      </c>
      <c r="BL114" s="397" t="e">
        <f t="shared" ca="1" si="963"/>
        <v>#DIV/0!</v>
      </c>
      <c r="BM114" s="397" t="e">
        <f t="shared" ca="1" si="963"/>
        <v>#DIV/0!</v>
      </c>
      <c r="BN114" s="397" t="e">
        <f t="shared" ca="1" si="963"/>
        <v>#DIV/0!</v>
      </c>
      <c r="BO114" s="397" t="e">
        <f t="shared" ca="1" si="963"/>
        <v>#DIV/0!</v>
      </c>
      <c r="BP114" s="397" t="e">
        <f t="shared" ca="1" si="963"/>
        <v>#DIV/0!</v>
      </c>
      <c r="BQ114" s="397" t="e">
        <f t="shared" ref="BQ114:CL114" ca="1" si="964">(BQ113-INDEX($E110:$CL113,4,MATCH($B$5,$E110:$CL110,0)))/(INDEX($E110:$CL113,4,MATCH($B$4,$E110:$CL110,0))-INDEX($E110:$CL113,4,MATCH($B$5,$E110:$CL110,0)))</f>
        <v>#DIV/0!</v>
      </c>
      <c r="BR114" s="397" t="e">
        <f t="shared" ca="1" si="964"/>
        <v>#DIV/0!</v>
      </c>
      <c r="BS114" s="397" t="e">
        <f t="shared" ca="1" si="964"/>
        <v>#DIV/0!</v>
      </c>
      <c r="BT114" s="397" t="e">
        <f t="shared" ca="1" si="964"/>
        <v>#DIV/0!</v>
      </c>
      <c r="BU114" s="397" t="e">
        <f t="shared" ca="1" si="964"/>
        <v>#DIV/0!</v>
      </c>
      <c r="BV114" s="397" t="e">
        <f t="shared" ca="1" si="964"/>
        <v>#DIV/0!</v>
      </c>
      <c r="BW114" s="397" t="e">
        <f t="shared" ca="1" si="964"/>
        <v>#DIV/0!</v>
      </c>
      <c r="BX114" s="397" t="e">
        <f t="shared" ca="1" si="964"/>
        <v>#DIV/0!</v>
      </c>
      <c r="BY114" s="397" t="e">
        <f t="shared" ca="1" si="964"/>
        <v>#DIV/0!</v>
      </c>
      <c r="BZ114" s="397" t="e">
        <f t="shared" ca="1" si="964"/>
        <v>#DIV/0!</v>
      </c>
      <c r="CA114" s="397" t="e">
        <f t="shared" ca="1" si="964"/>
        <v>#DIV/0!</v>
      </c>
      <c r="CB114" s="397" t="e">
        <f t="shared" ca="1" si="964"/>
        <v>#DIV/0!</v>
      </c>
      <c r="CC114" s="397" t="e">
        <f t="shared" ca="1" si="964"/>
        <v>#DIV/0!</v>
      </c>
      <c r="CD114" s="397" t="e">
        <f t="shared" ca="1" si="964"/>
        <v>#DIV/0!</v>
      </c>
      <c r="CE114" s="397" t="e">
        <f t="shared" ca="1" si="964"/>
        <v>#DIV/0!</v>
      </c>
      <c r="CF114" s="397" t="e">
        <f t="shared" ca="1" si="964"/>
        <v>#DIV/0!</v>
      </c>
      <c r="CG114" s="397" t="e">
        <f t="shared" ca="1" si="964"/>
        <v>#DIV/0!</v>
      </c>
      <c r="CH114" s="397" t="e">
        <f t="shared" ca="1" si="964"/>
        <v>#DIV/0!</v>
      </c>
      <c r="CI114" s="397" t="e">
        <f t="shared" ca="1" si="964"/>
        <v>#DIV/0!</v>
      </c>
      <c r="CJ114" s="397" t="e">
        <f t="shared" ca="1" si="964"/>
        <v>#DIV/0!</v>
      </c>
      <c r="CK114" s="397" t="e">
        <f t="shared" ca="1" si="964"/>
        <v>#DIV/0!</v>
      </c>
      <c r="CL114" s="397" t="e">
        <f t="shared" ca="1" si="964"/>
        <v>#DIV/0!</v>
      </c>
      <c r="CN114" s="398"/>
      <c r="CO114" s="398"/>
      <c r="CP114" s="398"/>
    </row>
    <row r="115" spans="1:94" hidden="1" outlineLevel="1">
      <c r="A115" s="419"/>
      <c r="B115" s="419" t="s">
        <v>28</v>
      </c>
      <c r="C115" s="419" t="s">
        <v>358</v>
      </c>
      <c r="D115" s="419" t="s">
        <v>359</v>
      </c>
      <c r="E115" s="420">
        <f t="shared" ref="E115:BP115" ca="1" si="965">INDEX($E110:$CL113,4,MATCH($B$5,$E110:$CL110,0))</f>
        <v>0</v>
      </c>
      <c r="F115" s="421">
        <f t="shared" ca="1" si="965"/>
        <v>0</v>
      </c>
      <c r="G115" s="421">
        <f t="shared" ca="1" si="965"/>
        <v>0</v>
      </c>
      <c r="H115" s="421">
        <f t="shared" ca="1" si="965"/>
        <v>0</v>
      </c>
      <c r="I115" s="421">
        <f t="shared" ca="1" si="965"/>
        <v>0</v>
      </c>
      <c r="J115" s="421">
        <f t="shared" ca="1" si="965"/>
        <v>0</v>
      </c>
      <c r="K115" s="421">
        <f t="shared" ca="1" si="965"/>
        <v>0</v>
      </c>
      <c r="L115" s="421">
        <f t="shared" ca="1" si="965"/>
        <v>0</v>
      </c>
      <c r="M115" s="421">
        <f t="shared" ca="1" si="965"/>
        <v>0</v>
      </c>
      <c r="N115" s="421">
        <f t="shared" ca="1" si="965"/>
        <v>0</v>
      </c>
      <c r="O115" s="421">
        <f t="shared" ca="1" si="965"/>
        <v>0</v>
      </c>
      <c r="P115" s="421">
        <f t="shared" ca="1" si="965"/>
        <v>0</v>
      </c>
      <c r="Q115" s="421">
        <f t="shared" ca="1" si="965"/>
        <v>0</v>
      </c>
      <c r="R115" s="421">
        <f t="shared" ca="1" si="965"/>
        <v>0</v>
      </c>
      <c r="S115" s="421">
        <f t="shared" ca="1" si="965"/>
        <v>0</v>
      </c>
      <c r="T115" s="421">
        <f t="shared" ca="1" si="965"/>
        <v>0</v>
      </c>
      <c r="U115" s="421">
        <f t="shared" ca="1" si="965"/>
        <v>0</v>
      </c>
      <c r="V115" s="421">
        <f t="shared" ca="1" si="965"/>
        <v>0</v>
      </c>
      <c r="W115" s="421">
        <f t="shared" ca="1" si="965"/>
        <v>0</v>
      </c>
      <c r="X115" s="421">
        <f t="shared" ca="1" si="965"/>
        <v>0</v>
      </c>
      <c r="Y115" s="421">
        <f t="shared" ca="1" si="965"/>
        <v>0</v>
      </c>
      <c r="Z115" s="421">
        <f t="shared" ca="1" si="965"/>
        <v>0</v>
      </c>
      <c r="AA115" s="421">
        <f t="shared" ca="1" si="965"/>
        <v>0</v>
      </c>
      <c r="AB115" s="421">
        <f t="shared" ca="1" si="965"/>
        <v>0</v>
      </c>
      <c r="AC115" s="421">
        <f t="shared" ca="1" si="965"/>
        <v>0</v>
      </c>
      <c r="AD115" s="421">
        <f t="shared" ca="1" si="965"/>
        <v>0</v>
      </c>
      <c r="AE115" s="421">
        <f t="shared" ca="1" si="965"/>
        <v>0</v>
      </c>
      <c r="AF115" s="421">
        <f t="shared" ca="1" si="965"/>
        <v>0</v>
      </c>
      <c r="AG115" s="421">
        <f t="shared" ca="1" si="965"/>
        <v>0</v>
      </c>
      <c r="AH115" s="421">
        <f t="shared" ca="1" si="965"/>
        <v>0</v>
      </c>
      <c r="AI115" s="421">
        <f t="shared" ca="1" si="965"/>
        <v>0</v>
      </c>
      <c r="AJ115" s="421">
        <f t="shared" ca="1" si="965"/>
        <v>0</v>
      </c>
      <c r="AK115" s="421">
        <f t="shared" ca="1" si="965"/>
        <v>0</v>
      </c>
      <c r="AL115" s="421">
        <f t="shared" ca="1" si="965"/>
        <v>0</v>
      </c>
      <c r="AM115" s="421">
        <f t="shared" ca="1" si="965"/>
        <v>0</v>
      </c>
      <c r="AN115" s="421">
        <f t="shared" ca="1" si="965"/>
        <v>0</v>
      </c>
      <c r="AO115" s="421">
        <f t="shared" ca="1" si="965"/>
        <v>0</v>
      </c>
      <c r="AP115" s="421">
        <f t="shared" ca="1" si="965"/>
        <v>0</v>
      </c>
      <c r="AQ115" s="421">
        <f t="shared" ca="1" si="965"/>
        <v>0</v>
      </c>
      <c r="AR115" s="421">
        <f t="shared" ca="1" si="965"/>
        <v>0</v>
      </c>
      <c r="AS115" s="421">
        <f t="shared" ca="1" si="965"/>
        <v>0</v>
      </c>
      <c r="AT115" s="421">
        <f t="shared" ca="1" si="965"/>
        <v>0</v>
      </c>
      <c r="AU115" s="421">
        <f t="shared" ca="1" si="965"/>
        <v>0</v>
      </c>
      <c r="AV115" s="421">
        <f t="shared" ca="1" si="965"/>
        <v>0</v>
      </c>
      <c r="AW115" s="421">
        <f t="shared" ca="1" si="965"/>
        <v>0</v>
      </c>
      <c r="AX115" s="421">
        <f t="shared" ca="1" si="965"/>
        <v>0</v>
      </c>
      <c r="AY115" s="421">
        <f t="shared" ca="1" si="965"/>
        <v>0</v>
      </c>
      <c r="AZ115" s="421">
        <f t="shared" ca="1" si="965"/>
        <v>0</v>
      </c>
      <c r="BA115" s="421">
        <f t="shared" ca="1" si="965"/>
        <v>0</v>
      </c>
      <c r="BB115" s="421">
        <f t="shared" ca="1" si="965"/>
        <v>0</v>
      </c>
      <c r="BC115" s="421">
        <f t="shared" ca="1" si="965"/>
        <v>0</v>
      </c>
      <c r="BD115" s="421">
        <f t="shared" ca="1" si="965"/>
        <v>0</v>
      </c>
      <c r="BE115" s="421">
        <f t="shared" ca="1" si="965"/>
        <v>0</v>
      </c>
      <c r="BF115" s="421">
        <f t="shared" ca="1" si="965"/>
        <v>0</v>
      </c>
      <c r="BG115" s="421">
        <f t="shared" ca="1" si="965"/>
        <v>0</v>
      </c>
      <c r="BH115" s="421">
        <f t="shared" ca="1" si="965"/>
        <v>0</v>
      </c>
      <c r="BI115" s="421">
        <f t="shared" ca="1" si="965"/>
        <v>0</v>
      </c>
      <c r="BJ115" s="421">
        <f t="shared" ca="1" si="965"/>
        <v>0</v>
      </c>
      <c r="BK115" s="421">
        <f t="shared" ca="1" si="965"/>
        <v>0</v>
      </c>
      <c r="BL115" s="421">
        <f t="shared" ca="1" si="965"/>
        <v>0</v>
      </c>
      <c r="BM115" s="421">
        <f t="shared" ca="1" si="965"/>
        <v>0</v>
      </c>
      <c r="BN115" s="421">
        <f t="shared" ca="1" si="965"/>
        <v>0</v>
      </c>
      <c r="BO115" s="421">
        <f t="shared" ca="1" si="965"/>
        <v>0</v>
      </c>
      <c r="BP115" s="421">
        <f t="shared" ca="1" si="965"/>
        <v>0</v>
      </c>
      <c r="BQ115" s="421">
        <f t="shared" ref="BQ115:CL115" ca="1" si="966">INDEX($E110:$CL113,4,MATCH($B$5,$E110:$CL110,0))</f>
        <v>0</v>
      </c>
      <c r="BR115" s="421">
        <f t="shared" ca="1" si="966"/>
        <v>0</v>
      </c>
      <c r="BS115" s="421">
        <f t="shared" ca="1" si="966"/>
        <v>0</v>
      </c>
      <c r="BT115" s="421">
        <f t="shared" ca="1" si="966"/>
        <v>0</v>
      </c>
      <c r="BU115" s="421">
        <f t="shared" ca="1" si="966"/>
        <v>0</v>
      </c>
      <c r="BV115" s="421">
        <f t="shared" ca="1" si="966"/>
        <v>0</v>
      </c>
      <c r="BW115" s="421">
        <f t="shared" ca="1" si="966"/>
        <v>0</v>
      </c>
      <c r="BX115" s="421">
        <f t="shared" ca="1" si="966"/>
        <v>0</v>
      </c>
      <c r="BY115" s="421">
        <f t="shared" ca="1" si="966"/>
        <v>0</v>
      </c>
      <c r="BZ115" s="421">
        <f t="shared" ca="1" si="966"/>
        <v>0</v>
      </c>
      <c r="CA115" s="421">
        <f t="shared" ca="1" si="966"/>
        <v>0</v>
      </c>
      <c r="CB115" s="421">
        <f t="shared" ca="1" si="966"/>
        <v>0</v>
      </c>
      <c r="CC115" s="421">
        <f t="shared" ca="1" si="966"/>
        <v>0</v>
      </c>
      <c r="CD115" s="421">
        <f t="shared" ca="1" si="966"/>
        <v>0</v>
      </c>
      <c r="CE115" s="421">
        <f t="shared" ca="1" si="966"/>
        <v>0</v>
      </c>
      <c r="CF115" s="421">
        <f t="shared" ca="1" si="966"/>
        <v>0</v>
      </c>
      <c r="CG115" s="421">
        <f t="shared" ca="1" si="966"/>
        <v>0</v>
      </c>
      <c r="CH115" s="421">
        <f t="shared" ca="1" si="966"/>
        <v>0</v>
      </c>
      <c r="CI115" s="421">
        <f t="shared" ca="1" si="966"/>
        <v>0</v>
      </c>
      <c r="CJ115" s="421">
        <f t="shared" ca="1" si="966"/>
        <v>0</v>
      </c>
      <c r="CK115" s="421">
        <f t="shared" ca="1" si="966"/>
        <v>0</v>
      </c>
      <c r="CL115" s="421">
        <f t="shared" ca="1" si="966"/>
        <v>0</v>
      </c>
      <c r="CN115" s="398"/>
      <c r="CO115" s="398"/>
      <c r="CP115" s="398"/>
    </row>
    <row r="116" spans="1:94" hidden="1" outlineLevel="1">
      <c r="A116" s="400" t="s">
        <v>255</v>
      </c>
      <c r="B116" s="400" t="s">
        <v>260</v>
      </c>
      <c r="C116" s="400" t="s">
        <v>360</v>
      </c>
      <c r="D116" s="400"/>
      <c r="E116" s="407" t="str">
        <f t="shared" ref="E116:AJ116" si="967">IF(E110=base,bte,"")</f>
        <v/>
      </c>
      <c r="F116" s="407" t="str">
        <f t="shared" si="967"/>
        <v/>
      </c>
      <c r="G116" s="407" t="str">
        <f t="shared" si="967"/>
        <v/>
      </c>
      <c r="H116" s="407" t="str">
        <f t="shared" si="967"/>
        <v/>
      </c>
      <c r="I116" s="459" t="e">
        <f t="shared" si="967"/>
        <v>#REF!</v>
      </c>
      <c r="J116" s="407" t="str">
        <f t="shared" si="967"/>
        <v/>
      </c>
      <c r="K116" s="407" t="str">
        <f t="shared" si="967"/>
        <v/>
      </c>
      <c r="L116" s="407" t="str">
        <f t="shared" si="967"/>
        <v/>
      </c>
      <c r="M116" s="407" t="str">
        <f t="shared" si="967"/>
        <v/>
      </c>
      <c r="N116" s="407" t="str">
        <f t="shared" si="967"/>
        <v/>
      </c>
      <c r="O116" s="407" t="str">
        <f t="shared" si="967"/>
        <v/>
      </c>
      <c r="P116" s="407" t="str">
        <f t="shared" si="967"/>
        <v/>
      </c>
      <c r="Q116" s="407" t="str">
        <f t="shared" si="967"/>
        <v/>
      </c>
      <c r="R116" s="407" t="str">
        <f t="shared" si="967"/>
        <v/>
      </c>
      <c r="S116" s="407" t="str">
        <f t="shared" si="967"/>
        <v/>
      </c>
      <c r="T116" s="407" t="str">
        <f t="shared" si="967"/>
        <v/>
      </c>
      <c r="U116" s="407" t="str">
        <f t="shared" si="967"/>
        <v/>
      </c>
      <c r="V116" s="407" t="str">
        <f t="shared" si="967"/>
        <v/>
      </c>
      <c r="W116" s="407" t="str">
        <f t="shared" si="967"/>
        <v/>
      </c>
      <c r="X116" s="407" t="str">
        <f t="shared" si="967"/>
        <v/>
      </c>
      <c r="Y116" s="407" t="str">
        <f t="shared" si="967"/>
        <v/>
      </c>
      <c r="Z116" s="407" t="str">
        <f t="shared" si="967"/>
        <v/>
      </c>
      <c r="AA116" s="407" t="str">
        <f t="shared" si="967"/>
        <v/>
      </c>
      <c r="AB116" s="407" t="str">
        <f t="shared" si="967"/>
        <v/>
      </c>
      <c r="AC116" s="407" t="str">
        <f t="shared" si="967"/>
        <v/>
      </c>
      <c r="AD116" s="407" t="str">
        <f t="shared" si="967"/>
        <v/>
      </c>
      <c r="AE116" s="407" t="str">
        <f t="shared" si="967"/>
        <v/>
      </c>
      <c r="AF116" s="407" t="str">
        <f t="shared" si="967"/>
        <v/>
      </c>
      <c r="AG116" s="407" t="str">
        <f t="shared" si="967"/>
        <v/>
      </c>
      <c r="AH116" s="407" t="str">
        <f t="shared" si="967"/>
        <v/>
      </c>
      <c r="AI116" s="407" t="str">
        <f t="shared" si="967"/>
        <v/>
      </c>
      <c r="AJ116" s="407" t="str">
        <f t="shared" si="967"/>
        <v/>
      </c>
      <c r="AK116" s="407" t="str">
        <f t="shared" ref="AK116:BP116" si="968">IF(AK110=base,bte,"")</f>
        <v/>
      </c>
      <c r="AL116" s="407" t="str">
        <f t="shared" si="968"/>
        <v/>
      </c>
      <c r="AM116" s="407" t="str">
        <f t="shared" si="968"/>
        <v/>
      </c>
      <c r="AN116" s="407" t="str">
        <f t="shared" si="968"/>
        <v/>
      </c>
      <c r="AO116" s="407" t="str">
        <f t="shared" si="968"/>
        <v/>
      </c>
      <c r="AP116" s="407" t="str">
        <f t="shared" si="968"/>
        <v/>
      </c>
      <c r="AQ116" s="407" t="str">
        <f t="shared" si="968"/>
        <v/>
      </c>
      <c r="AR116" s="407" t="str">
        <f t="shared" si="968"/>
        <v/>
      </c>
      <c r="AS116" s="407" t="str">
        <f t="shared" si="968"/>
        <v/>
      </c>
      <c r="AT116" s="407" t="str">
        <f t="shared" si="968"/>
        <v/>
      </c>
      <c r="AU116" s="407" t="str">
        <f t="shared" si="968"/>
        <v/>
      </c>
      <c r="AV116" s="407" t="str">
        <f t="shared" si="968"/>
        <v/>
      </c>
      <c r="AW116" s="407" t="str">
        <f t="shared" si="968"/>
        <v/>
      </c>
      <c r="AX116" s="407" t="str">
        <f t="shared" si="968"/>
        <v/>
      </c>
      <c r="AY116" s="407" t="str">
        <f t="shared" si="968"/>
        <v/>
      </c>
      <c r="AZ116" s="407" t="str">
        <f t="shared" si="968"/>
        <v/>
      </c>
      <c r="BA116" s="407" t="str">
        <f t="shared" si="968"/>
        <v/>
      </c>
      <c r="BB116" s="407" t="str">
        <f t="shared" si="968"/>
        <v/>
      </c>
      <c r="BC116" s="407" t="str">
        <f t="shared" si="968"/>
        <v/>
      </c>
      <c r="BD116" s="407" t="str">
        <f t="shared" si="968"/>
        <v/>
      </c>
      <c r="BE116" s="407" t="str">
        <f t="shared" si="968"/>
        <v/>
      </c>
      <c r="BF116" s="407" t="str">
        <f t="shared" si="968"/>
        <v/>
      </c>
      <c r="BG116" s="407" t="str">
        <f t="shared" si="968"/>
        <v/>
      </c>
      <c r="BH116" s="407" t="str">
        <f t="shared" si="968"/>
        <v/>
      </c>
      <c r="BI116" s="407" t="str">
        <f t="shared" si="968"/>
        <v/>
      </c>
      <c r="BJ116" s="407" t="str">
        <f t="shared" si="968"/>
        <v/>
      </c>
      <c r="BK116" s="407" t="str">
        <f t="shared" si="968"/>
        <v/>
      </c>
      <c r="BL116" s="407" t="str">
        <f t="shared" si="968"/>
        <v/>
      </c>
      <c r="BM116" s="407" t="str">
        <f t="shared" si="968"/>
        <v/>
      </c>
      <c r="BN116" s="407" t="str">
        <f t="shared" si="968"/>
        <v/>
      </c>
      <c r="BO116" s="407" t="str">
        <f t="shared" si="968"/>
        <v/>
      </c>
      <c r="BP116" s="407" t="str">
        <f t="shared" si="968"/>
        <v/>
      </c>
      <c r="BQ116" s="407" t="str">
        <f t="shared" ref="BQ116:CL116" si="969">IF(BQ110=base,bte,"")</f>
        <v/>
      </c>
      <c r="BR116" s="407" t="str">
        <f t="shared" si="969"/>
        <v/>
      </c>
      <c r="BS116" s="407" t="str">
        <f t="shared" si="969"/>
        <v/>
      </c>
      <c r="BT116" s="407" t="str">
        <f t="shared" si="969"/>
        <v/>
      </c>
      <c r="BU116" s="407" t="str">
        <f t="shared" si="969"/>
        <v/>
      </c>
      <c r="BV116" s="407" t="str">
        <f t="shared" si="969"/>
        <v/>
      </c>
      <c r="BW116" s="407" t="str">
        <f t="shared" si="969"/>
        <v/>
      </c>
      <c r="BX116" s="407" t="str">
        <f t="shared" si="969"/>
        <v/>
      </c>
      <c r="BY116" s="407" t="str">
        <f t="shared" si="969"/>
        <v/>
      </c>
      <c r="BZ116" s="407" t="str">
        <f t="shared" si="969"/>
        <v/>
      </c>
      <c r="CA116" s="407" t="str">
        <f t="shared" si="969"/>
        <v/>
      </c>
      <c r="CB116" s="407" t="str">
        <f t="shared" si="969"/>
        <v/>
      </c>
      <c r="CC116" s="407" t="str">
        <f t="shared" si="969"/>
        <v/>
      </c>
      <c r="CD116" s="407" t="str">
        <f t="shared" si="969"/>
        <v/>
      </c>
      <c r="CE116" s="407" t="str">
        <f t="shared" si="969"/>
        <v/>
      </c>
      <c r="CF116" s="407" t="str">
        <f t="shared" si="969"/>
        <v/>
      </c>
      <c r="CG116" s="407" t="str">
        <f t="shared" si="969"/>
        <v/>
      </c>
      <c r="CH116" s="407" t="str">
        <f t="shared" si="969"/>
        <v/>
      </c>
      <c r="CI116" s="407" t="str">
        <f t="shared" si="969"/>
        <v/>
      </c>
      <c r="CJ116" s="407" t="str">
        <f t="shared" si="969"/>
        <v/>
      </c>
      <c r="CK116" s="407" t="str">
        <f t="shared" si="969"/>
        <v/>
      </c>
      <c r="CL116" s="407" t="str">
        <f t="shared" si="969"/>
        <v/>
      </c>
      <c r="CN116" s="406" t="str">
        <f t="shared" ref="CN116:CN118" si="970">IFERROR((Y116/H116)^(1/17)-1,"")</f>
        <v/>
      </c>
      <c r="CO116" s="406" t="str">
        <f t="shared" ref="CO116:CO118" si="971">IFERROR((AN116/Y116)^(1/15)-1,"")</f>
        <v/>
      </c>
      <c r="CP116" s="406" t="str">
        <f t="shared" ref="CP116:CP118" si="972">IFERROR((AN116/H116)^(1/32)-1,"")</f>
        <v/>
      </c>
    </row>
    <row r="117" spans="1:94" hidden="1" outlineLevel="1">
      <c r="A117" s="400" t="s">
        <v>255</v>
      </c>
      <c r="B117" s="400" t="s">
        <v>259</v>
      </c>
      <c r="C117" s="400" t="s">
        <v>361</v>
      </c>
      <c r="D117" s="400"/>
      <c r="E117" s="413" t="e">
        <f>IF(E42&lt;sector_base,NA(),IFERROR(IF(activity_approach="Input Activity Data Manually",IF(E42=base,pla,IF(E42=target,plf,D117+((plf-pla)/(target-base)))),pla*(1+f_CAGR)^(E42-base)),""))</f>
        <v>#N/A</v>
      </c>
      <c r="F117" s="407" t="e">
        <f>IF(F42&lt;sector_base,NA(),IFERROR(IF(activity_approach="Input Activity Data Manually",IF(F42=base,pla,IF(F42=target,plf,E117+((plf-pla)/(target-base)))),pla*(1+f_CAGR)^(F42-base)),""))</f>
        <v>#N/A</v>
      </c>
      <c r="G117" s="407" t="e">
        <f>IF(G42&lt;sector_base,NA(),IFERROR(IF(activity_approach="Input Activity Data Manually",IF(G42=base,pla,IF(G42=target,plf,F117+((plf-pla)/(target-base)))),pla*(1+f_CAGR)^(G42-base)),""))</f>
        <v>#N/A</v>
      </c>
      <c r="H117" s="407" t="e">
        <f>IF(H42&lt;sector_base,NA(),IFERROR(IF(activity_approach="Input Activity Data Manually",IF(H42=base,pla,IF(H42=target,plf,G117+((plf-pla)/(target-base)))),pla*(1+f_CAGR)^(H42-base)),""))</f>
        <v>#N/A</v>
      </c>
      <c r="I117" s="407" t="e">
        <f>IF(I8&lt;sector_base,NA(),IF(I8=bt_base,bta,H117*bt_CAGR))/10</f>
        <v>#REF!</v>
      </c>
      <c r="J117" s="407" t="e">
        <f t="shared" ref="J117:AO117" si="973">IF(J8&lt;sector_base,NA(),IF(J8=bt_base,bta,I117*(1+bt_CAGR)))</f>
        <v>#REF!</v>
      </c>
      <c r="K117" s="407" t="e">
        <f t="shared" si="973"/>
        <v>#REF!</v>
      </c>
      <c r="L117" s="407" t="e">
        <f t="shared" si="973"/>
        <v>#REF!</v>
      </c>
      <c r="M117" s="407" t="e">
        <f t="shared" si="973"/>
        <v>#REF!</v>
      </c>
      <c r="N117" s="407" t="e">
        <f t="shared" si="973"/>
        <v>#REF!</v>
      </c>
      <c r="O117" s="407" t="e">
        <f t="shared" si="973"/>
        <v>#REF!</v>
      </c>
      <c r="P117" s="407" t="e">
        <f t="shared" si="973"/>
        <v>#REF!</v>
      </c>
      <c r="Q117" s="407" t="e">
        <f t="shared" si="973"/>
        <v>#REF!</v>
      </c>
      <c r="R117" s="407" t="e">
        <f t="shared" si="973"/>
        <v>#REF!</v>
      </c>
      <c r="S117" s="407" t="e">
        <f t="shared" si="973"/>
        <v>#REF!</v>
      </c>
      <c r="T117" s="407" t="e">
        <f t="shared" si="973"/>
        <v>#REF!</v>
      </c>
      <c r="U117" s="407" t="e">
        <f t="shared" si="973"/>
        <v>#REF!</v>
      </c>
      <c r="V117" s="407" t="e">
        <f t="shared" si="973"/>
        <v>#REF!</v>
      </c>
      <c r="W117" s="407" t="e">
        <f t="shared" si="973"/>
        <v>#REF!</v>
      </c>
      <c r="X117" s="407" t="e">
        <f t="shared" si="973"/>
        <v>#REF!</v>
      </c>
      <c r="Y117" s="407" t="e">
        <f t="shared" si="973"/>
        <v>#REF!</v>
      </c>
      <c r="Z117" s="407" t="e">
        <f t="shared" si="973"/>
        <v>#REF!</v>
      </c>
      <c r="AA117" s="407" t="e">
        <f t="shared" si="973"/>
        <v>#REF!</v>
      </c>
      <c r="AB117" s="407" t="e">
        <f t="shared" si="973"/>
        <v>#REF!</v>
      </c>
      <c r="AC117" s="407" t="e">
        <f t="shared" si="973"/>
        <v>#REF!</v>
      </c>
      <c r="AD117" s="407" t="e">
        <f t="shared" si="973"/>
        <v>#REF!</v>
      </c>
      <c r="AE117" s="407" t="e">
        <f t="shared" si="973"/>
        <v>#REF!</v>
      </c>
      <c r="AF117" s="407" t="e">
        <f t="shared" si="973"/>
        <v>#REF!</v>
      </c>
      <c r="AG117" s="407" t="e">
        <f t="shared" si="973"/>
        <v>#REF!</v>
      </c>
      <c r="AH117" s="407" t="e">
        <f t="shared" si="973"/>
        <v>#REF!</v>
      </c>
      <c r="AI117" s="407" t="e">
        <f t="shared" si="973"/>
        <v>#REF!</v>
      </c>
      <c r="AJ117" s="407" t="e">
        <f t="shared" si="973"/>
        <v>#REF!</v>
      </c>
      <c r="AK117" s="407" t="e">
        <f t="shared" si="973"/>
        <v>#REF!</v>
      </c>
      <c r="AL117" s="407" t="e">
        <f t="shared" si="973"/>
        <v>#REF!</v>
      </c>
      <c r="AM117" s="407" t="e">
        <f t="shared" si="973"/>
        <v>#REF!</v>
      </c>
      <c r="AN117" s="407" t="e">
        <f t="shared" si="973"/>
        <v>#REF!</v>
      </c>
      <c r="AO117" s="407" t="e">
        <f t="shared" si="973"/>
        <v>#REF!</v>
      </c>
      <c r="AP117" s="407" t="e">
        <f t="shared" ref="AP117:BU117" si="974">IF(AP8&lt;sector_base,NA(),IF(AP8=bt_base,bta,AO117*(1+bt_CAGR)))</f>
        <v>#REF!</v>
      </c>
      <c r="AQ117" s="407" t="e">
        <f t="shared" si="974"/>
        <v>#REF!</v>
      </c>
      <c r="AR117" s="407" t="e">
        <f t="shared" si="974"/>
        <v>#REF!</v>
      </c>
      <c r="AS117" s="407" t="e">
        <f t="shared" si="974"/>
        <v>#REF!</v>
      </c>
      <c r="AT117" s="407" t="e">
        <f t="shared" si="974"/>
        <v>#REF!</v>
      </c>
      <c r="AU117" s="407" t="e">
        <f t="shared" si="974"/>
        <v>#REF!</v>
      </c>
      <c r="AV117" s="407" t="e">
        <f t="shared" si="974"/>
        <v>#REF!</v>
      </c>
      <c r="AW117" s="407" t="e">
        <f t="shared" si="974"/>
        <v>#REF!</v>
      </c>
      <c r="AX117" s="407" t="e">
        <f t="shared" si="974"/>
        <v>#REF!</v>
      </c>
      <c r="AY117" s="407" t="e">
        <f t="shared" si="974"/>
        <v>#REF!</v>
      </c>
      <c r="AZ117" s="407" t="e">
        <f t="shared" si="974"/>
        <v>#REF!</v>
      </c>
      <c r="BA117" s="407" t="e">
        <f t="shared" si="974"/>
        <v>#REF!</v>
      </c>
      <c r="BB117" s="407" t="e">
        <f t="shared" si="974"/>
        <v>#REF!</v>
      </c>
      <c r="BC117" s="407" t="e">
        <f t="shared" si="974"/>
        <v>#REF!</v>
      </c>
      <c r="BD117" s="407" t="e">
        <f t="shared" si="974"/>
        <v>#REF!</v>
      </c>
      <c r="BE117" s="407" t="e">
        <f t="shared" si="974"/>
        <v>#REF!</v>
      </c>
      <c r="BF117" s="407" t="e">
        <f t="shared" si="974"/>
        <v>#REF!</v>
      </c>
      <c r="BG117" s="407" t="e">
        <f t="shared" si="974"/>
        <v>#REF!</v>
      </c>
      <c r="BH117" s="407" t="e">
        <f t="shared" si="974"/>
        <v>#REF!</v>
      </c>
      <c r="BI117" s="407" t="e">
        <f t="shared" si="974"/>
        <v>#REF!</v>
      </c>
      <c r="BJ117" s="407" t="e">
        <f t="shared" si="974"/>
        <v>#REF!</v>
      </c>
      <c r="BK117" s="407" t="e">
        <f t="shared" si="974"/>
        <v>#REF!</v>
      </c>
      <c r="BL117" s="407" t="e">
        <f t="shared" si="974"/>
        <v>#REF!</v>
      </c>
      <c r="BM117" s="407" t="e">
        <f t="shared" si="974"/>
        <v>#REF!</v>
      </c>
      <c r="BN117" s="407" t="e">
        <f t="shared" si="974"/>
        <v>#REF!</v>
      </c>
      <c r="BO117" s="407" t="e">
        <f t="shared" si="974"/>
        <v>#REF!</v>
      </c>
      <c r="BP117" s="407" t="e">
        <f t="shared" si="974"/>
        <v>#REF!</v>
      </c>
      <c r="BQ117" s="407" t="e">
        <f t="shared" si="974"/>
        <v>#REF!</v>
      </c>
      <c r="BR117" s="407" t="e">
        <f t="shared" si="974"/>
        <v>#REF!</v>
      </c>
      <c r="BS117" s="407" t="e">
        <f t="shared" si="974"/>
        <v>#REF!</v>
      </c>
      <c r="BT117" s="407" t="e">
        <f t="shared" si="974"/>
        <v>#REF!</v>
      </c>
      <c r="BU117" s="407" t="e">
        <f t="shared" si="974"/>
        <v>#REF!</v>
      </c>
      <c r="BV117" s="407" t="e">
        <f t="shared" ref="BV117:CL117" si="975">IF(BV8&lt;sector_base,NA(),IF(BV8=bt_base,bta,BU117*(1+bt_CAGR)))</f>
        <v>#REF!</v>
      </c>
      <c r="BW117" s="407" t="e">
        <f t="shared" si="975"/>
        <v>#REF!</v>
      </c>
      <c r="BX117" s="407" t="e">
        <f t="shared" si="975"/>
        <v>#REF!</v>
      </c>
      <c r="BY117" s="407" t="e">
        <f t="shared" si="975"/>
        <v>#REF!</v>
      </c>
      <c r="BZ117" s="407" t="e">
        <f t="shared" si="975"/>
        <v>#REF!</v>
      </c>
      <c r="CA117" s="407" t="e">
        <f t="shared" si="975"/>
        <v>#REF!</v>
      </c>
      <c r="CB117" s="407" t="e">
        <f t="shared" si="975"/>
        <v>#REF!</v>
      </c>
      <c r="CC117" s="407" t="e">
        <f t="shared" si="975"/>
        <v>#REF!</v>
      </c>
      <c r="CD117" s="407" t="e">
        <f t="shared" si="975"/>
        <v>#REF!</v>
      </c>
      <c r="CE117" s="407" t="e">
        <f t="shared" si="975"/>
        <v>#REF!</v>
      </c>
      <c r="CF117" s="407" t="e">
        <f t="shared" si="975"/>
        <v>#REF!</v>
      </c>
      <c r="CG117" s="407" t="e">
        <f t="shared" si="975"/>
        <v>#REF!</v>
      </c>
      <c r="CH117" s="407" t="e">
        <f t="shared" si="975"/>
        <v>#REF!</v>
      </c>
      <c r="CI117" s="407" t="e">
        <f t="shared" si="975"/>
        <v>#REF!</v>
      </c>
      <c r="CJ117" s="407" t="e">
        <f t="shared" si="975"/>
        <v>#REF!</v>
      </c>
      <c r="CK117" s="407" t="e">
        <f t="shared" si="975"/>
        <v>#REF!</v>
      </c>
      <c r="CL117" s="407" t="e">
        <f t="shared" si="975"/>
        <v>#REF!</v>
      </c>
      <c r="CN117" s="408" t="str">
        <f t="shared" si="970"/>
        <v/>
      </c>
      <c r="CO117" s="408" t="str">
        <f t="shared" si="971"/>
        <v/>
      </c>
      <c r="CP117" s="408" t="str">
        <f t="shared" si="972"/>
        <v/>
      </c>
    </row>
    <row r="118" spans="1:94" hidden="1" outlineLevel="1">
      <c r="A118" s="389" t="s">
        <v>255</v>
      </c>
      <c r="B118" s="389" t="s">
        <v>258</v>
      </c>
      <c r="C118" s="400" t="s">
        <v>362</v>
      </c>
      <c r="D118" s="400" t="s">
        <v>363</v>
      </c>
      <c r="E118" s="409" t="str">
        <f>IFERROR((E116/E117)*1000,"")</f>
        <v/>
      </c>
      <c r="F118" s="390" t="str">
        <f t="shared" ref="F118:G118" si="976">IFERROR((F116/F117)*1000,"")</f>
        <v/>
      </c>
      <c r="G118" s="390" t="str">
        <f t="shared" si="976"/>
        <v/>
      </c>
      <c r="H118" s="390" t="str">
        <f>IFERROR((H116/H117)*1000,"")</f>
        <v/>
      </c>
      <c r="I118" s="390" t="str">
        <f>IFERROR((I116/I117)*1000,"")</f>
        <v/>
      </c>
      <c r="J118" s="390" t="str">
        <f t="shared" ref="J118:BT118" si="977">IFERROR((J116/J117)*1000,"")</f>
        <v/>
      </c>
      <c r="K118" s="390" t="str">
        <f t="shared" si="977"/>
        <v/>
      </c>
      <c r="L118" s="390" t="str">
        <f t="shared" si="977"/>
        <v/>
      </c>
      <c r="M118" s="390" t="str">
        <f t="shared" si="977"/>
        <v/>
      </c>
      <c r="N118" s="390" t="str">
        <f t="shared" si="977"/>
        <v/>
      </c>
      <c r="O118" s="390" t="str">
        <f t="shared" si="977"/>
        <v/>
      </c>
      <c r="P118" s="390" t="str">
        <f t="shared" si="977"/>
        <v/>
      </c>
      <c r="Q118" s="390" t="str">
        <f t="shared" si="977"/>
        <v/>
      </c>
      <c r="R118" s="390" t="str">
        <f t="shared" si="977"/>
        <v/>
      </c>
      <c r="S118" s="390" t="str">
        <f t="shared" si="977"/>
        <v/>
      </c>
      <c r="T118" s="390" t="str">
        <f t="shared" si="977"/>
        <v/>
      </c>
      <c r="U118" s="390" t="str">
        <f t="shared" si="977"/>
        <v/>
      </c>
      <c r="V118" s="390" t="str">
        <f t="shared" si="977"/>
        <v/>
      </c>
      <c r="W118" s="390" t="str">
        <f t="shared" si="977"/>
        <v/>
      </c>
      <c r="X118" s="390" t="str">
        <f t="shared" si="977"/>
        <v/>
      </c>
      <c r="Y118" s="390" t="str">
        <f t="shared" si="977"/>
        <v/>
      </c>
      <c r="Z118" s="390" t="str">
        <f t="shared" si="977"/>
        <v/>
      </c>
      <c r="AA118" s="390" t="str">
        <f t="shared" si="977"/>
        <v/>
      </c>
      <c r="AB118" s="390" t="str">
        <f t="shared" si="977"/>
        <v/>
      </c>
      <c r="AC118" s="390" t="str">
        <f t="shared" si="977"/>
        <v/>
      </c>
      <c r="AD118" s="390" t="str">
        <f t="shared" si="977"/>
        <v/>
      </c>
      <c r="AE118" s="390" t="str">
        <f t="shared" si="977"/>
        <v/>
      </c>
      <c r="AF118" s="390" t="str">
        <f t="shared" si="977"/>
        <v/>
      </c>
      <c r="AG118" s="390" t="str">
        <f t="shared" si="977"/>
        <v/>
      </c>
      <c r="AH118" s="390" t="str">
        <f t="shared" si="977"/>
        <v/>
      </c>
      <c r="AI118" s="390" t="str">
        <f t="shared" si="977"/>
        <v/>
      </c>
      <c r="AJ118" s="390" t="str">
        <f t="shared" si="977"/>
        <v/>
      </c>
      <c r="AK118" s="390" t="str">
        <f t="shared" si="977"/>
        <v/>
      </c>
      <c r="AL118" s="390" t="str">
        <f t="shared" si="977"/>
        <v/>
      </c>
      <c r="AM118" s="390" t="str">
        <f t="shared" si="977"/>
        <v/>
      </c>
      <c r="AN118" s="390" t="str">
        <f t="shared" si="977"/>
        <v/>
      </c>
      <c r="AO118" s="390" t="str">
        <f t="shared" si="977"/>
        <v/>
      </c>
      <c r="AP118" s="390" t="str">
        <f t="shared" si="977"/>
        <v/>
      </c>
      <c r="AQ118" s="390" t="str">
        <f t="shared" si="977"/>
        <v/>
      </c>
      <c r="AR118" s="390" t="str">
        <f t="shared" si="977"/>
        <v/>
      </c>
      <c r="AS118" s="390" t="str">
        <f t="shared" si="977"/>
        <v/>
      </c>
      <c r="AT118" s="390" t="str">
        <f t="shared" si="977"/>
        <v/>
      </c>
      <c r="AU118" s="390" t="str">
        <f t="shared" si="977"/>
        <v/>
      </c>
      <c r="AV118" s="390" t="str">
        <f t="shared" si="977"/>
        <v/>
      </c>
      <c r="AW118" s="390" t="str">
        <f t="shared" si="977"/>
        <v/>
      </c>
      <c r="AX118" s="390" t="str">
        <f t="shared" si="977"/>
        <v/>
      </c>
      <c r="AY118" s="390" t="str">
        <f t="shared" si="977"/>
        <v/>
      </c>
      <c r="AZ118" s="390" t="str">
        <f t="shared" si="977"/>
        <v/>
      </c>
      <c r="BA118" s="390" t="str">
        <f t="shared" si="977"/>
        <v/>
      </c>
      <c r="BB118" s="390" t="str">
        <f t="shared" si="977"/>
        <v/>
      </c>
      <c r="BC118" s="390" t="str">
        <f t="shared" si="977"/>
        <v/>
      </c>
      <c r="BD118" s="390" t="str">
        <f t="shared" si="977"/>
        <v/>
      </c>
      <c r="BE118" s="390" t="str">
        <f t="shared" si="977"/>
        <v/>
      </c>
      <c r="BF118" s="390" t="str">
        <f t="shared" si="977"/>
        <v/>
      </c>
      <c r="BG118" s="390" t="str">
        <f t="shared" si="977"/>
        <v/>
      </c>
      <c r="BH118" s="390" t="str">
        <f t="shared" si="977"/>
        <v/>
      </c>
      <c r="BI118" s="390" t="str">
        <f t="shared" si="977"/>
        <v/>
      </c>
      <c r="BJ118" s="390" t="str">
        <f t="shared" si="977"/>
        <v/>
      </c>
      <c r="BK118" s="390" t="str">
        <f t="shared" si="977"/>
        <v/>
      </c>
      <c r="BL118" s="390" t="str">
        <f t="shared" si="977"/>
        <v/>
      </c>
      <c r="BM118" s="390" t="str">
        <f t="shared" si="977"/>
        <v/>
      </c>
      <c r="BN118" s="390" t="str">
        <f t="shared" si="977"/>
        <v/>
      </c>
      <c r="BO118" s="390" t="str">
        <f t="shared" si="977"/>
        <v/>
      </c>
      <c r="BP118" s="390" t="str">
        <f t="shared" si="977"/>
        <v/>
      </c>
      <c r="BQ118" s="390" t="str">
        <f t="shared" si="977"/>
        <v/>
      </c>
      <c r="BR118" s="390" t="str">
        <f t="shared" si="977"/>
        <v/>
      </c>
      <c r="BS118" s="390" t="str">
        <f t="shared" si="977"/>
        <v/>
      </c>
      <c r="BT118" s="390" t="str">
        <f t="shared" si="977"/>
        <v/>
      </c>
      <c r="BU118" s="390" t="str">
        <f t="shared" ref="BU118:CL118" si="978">IFERROR((BU116/BU117)*1000,"")</f>
        <v/>
      </c>
      <c r="BV118" s="390" t="str">
        <f t="shared" si="978"/>
        <v/>
      </c>
      <c r="BW118" s="390" t="str">
        <f t="shared" si="978"/>
        <v/>
      </c>
      <c r="BX118" s="390" t="str">
        <f t="shared" si="978"/>
        <v/>
      </c>
      <c r="BY118" s="390" t="str">
        <f t="shared" si="978"/>
        <v/>
      </c>
      <c r="BZ118" s="390" t="str">
        <f t="shared" si="978"/>
        <v/>
      </c>
      <c r="CA118" s="390" t="str">
        <f t="shared" si="978"/>
        <v/>
      </c>
      <c r="CB118" s="390" t="str">
        <f t="shared" si="978"/>
        <v/>
      </c>
      <c r="CC118" s="390" t="str">
        <f t="shared" si="978"/>
        <v/>
      </c>
      <c r="CD118" s="390" t="str">
        <f t="shared" si="978"/>
        <v/>
      </c>
      <c r="CE118" s="390" t="str">
        <f t="shared" si="978"/>
        <v/>
      </c>
      <c r="CF118" s="390" t="str">
        <f t="shared" si="978"/>
        <v/>
      </c>
      <c r="CG118" s="390" t="str">
        <f t="shared" si="978"/>
        <v/>
      </c>
      <c r="CH118" s="390" t="str">
        <f t="shared" si="978"/>
        <v/>
      </c>
      <c r="CI118" s="390" t="str">
        <f t="shared" si="978"/>
        <v/>
      </c>
      <c r="CJ118" s="390" t="str">
        <f t="shared" si="978"/>
        <v/>
      </c>
      <c r="CK118" s="390" t="str">
        <f t="shared" si="978"/>
        <v/>
      </c>
      <c r="CL118" s="390" t="str">
        <f t="shared" si="978"/>
        <v/>
      </c>
      <c r="CN118" s="391" t="str">
        <f t="shared" si="970"/>
        <v/>
      </c>
      <c r="CO118" s="391" t="str">
        <f t="shared" si="971"/>
        <v/>
      </c>
      <c r="CP118" s="391" t="str">
        <f t="shared" si="972"/>
        <v/>
      </c>
    </row>
    <row r="119" spans="1:94" hidden="1" outlineLevel="1">
      <c r="A119" s="394"/>
      <c r="B119" s="394" t="s">
        <v>124</v>
      </c>
      <c r="C119" s="410" t="s">
        <v>364</v>
      </c>
      <c r="D119" s="410" t="s">
        <v>365</v>
      </c>
      <c r="E119" s="411" t="str">
        <f t="shared" ref="E119:BP119" ca="1" si="979">IFERROR(IF((INDEX($E110:$CL117,8,MATCH(base,$E110:$CL110,0))/INDEX($E110:$CL117,3,MATCH(sector_base,$E110:$CL110,0))/(E117/E112))&gt;=1,1,(INDEX($E110:$CL117,8,MATCH(base,$E110:$CL110,0))/INDEX($E110:$CL117,3,MATCH(base,$E110:$CL110,0))/(E117/E112))),"")</f>
        <v/>
      </c>
      <c r="F119" s="412" t="str">
        <f t="shared" ca="1" si="979"/>
        <v/>
      </c>
      <c r="G119" s="412" t="str">
        <f t="shared" ca="1" si="979"/>
        <v/>
      </c>
      <c r="H119" s="412" t="str">
        <f t="shared" ca="1" si="979"/>
        <v/>
      </c>
      <c r="I119" s="412" t="str">
        <f t="shared" ca="1" si="979"/>
        <v/>
      </c>
      <c r="J119" s="412" t="str">
        <f t="shared" ca="1" si="979"/>
        <v/>
      </c>
      <c r="K119" s="412" t="str">
        <f t="shared" ca="1" si="979"/>
        <v/>
      </c>
      <c r="L119" s="412" t="str">
        <f t="shared" ca="1" si="979"/>
        <v/>
      </c>
      <c r="M119" s="412" t="str">
        <f t="shared" ca="1" si="979"/>
        <v/>
      </c>
      <c r="N119" s="412" t="str">
        <f t="shared" ca="1" si="979"/>
        <v/>
      </c>
      <c r="O119" s="412" t="str">
        <f t="shared" ca="1" si="979"/>
        <v/>
      </c>
      <c r="P119" s="412" t="str">
        <f t="shared" ca="1" si="979"/>
        <v/>
      </c>
      <c r="Q119" s="412" t="str">
        <f t="shared" ca="1" si="979"/>
        <v/>
      </c>
      <c r="R119" s="412" t="str">
        <f t="shared" ca="1" si="979"/>
        <v/>
      </c>
      <c r="S119" s="412" t="str">
        <f t="shared" ca="1" si="979"/>
        <v/>
      </c>
      <c r="T119" s="412" t="str">
        <f t="shared" ca="1" si="979"/>
        <v/>
      </c>
      <c r="U119" s="412" t="str">
        <f t="shared" ca="1" si="979"/>
        <v/>
      </c>
      <c r="V119" s="412" t="str">
        <f t="shared" ca="1" si="979"/>
        <v/>
      </c>
      <c r="W119" s="412" t="str">
        <f t="shared" ca="1" si="979"/>
        <v/>
      </c>
      <c r="X119" s="412" t="str">
        <f t="shared" ca="1" si="979"/>
        <v/>
      </c>
      <c r="Y119" s="412" t="str">
        <f t="shared" ca="1" si="979"/>
        <v/>
      </c>
      <c r="Z119" s="412" t="str">
        <f t="shared" ca="1" si="979"/>
        <v/>
      </c>
      <c r="AA119" s="412" t="str">
        <f t="shared" ca="1" si="979"/>
        <v/>
      </c>
      <c r="AB119" s="412" t="str">
        <f t="shared" ca="1" si="979"/>
        <v/>
      </c>
      <c r="AC119" s="412" t="str">
        <f t="shared" ca="1" si="979"/>
        <v/>
      </c>
      <c r="AD119" s="412" t="str">
        <f t="shared" ca="1" si="979"/>
        <v/>
      </c>
      <c r="AE119" s="412" t="str">
        <f t="shared" ca="1" si="979"/>
        <v/>
      </c>
      <c r="AF119" s="412" t="str">
        <f t="shared" ca="1" si="979"/>
        <v/>
      </c>
      <c r="AG119" s="412" t="str">
        <f t="shared" ca="1" si="979"/>
        <v/>
      </c>
      <c r="AH119" s="412" t="str">
        <f t="shared" ca="1" si="979"/>
        <v/>
      </c>
      <c r="AI119" s="412" t="str">
        <f t="shared" ca="1" si="979"/>
        <v/>
      </c>
      <c r="AJ119" s="412" t="str">
        <f t="shared" ca="1" si="979"/>
        <v/>
      </c>
      <c r="AK119" s="412" t="str">
        <f t="shared" ca="1" si="979"/>
        <v/>
      </c>
      <c r="AL119" s="412" t="str">
        <f t="shared" ca="1" si="979"/>
        <v/>
      </c>
      <c r="AM119" s="412" t="str">
        <f t="shared" ca="1" si="979"/>
        <v/>
      </c>
      <c r="AN119" s="412" t="str">
        <f t="shared" ca="1" si="979"/>
        <v/>
      </c>
      <c r="AO119" s="412" t="str">
        <f t="shared" ca="1" si="979"/>
        <v/>
      </c>
      <c r="AP119" s="412" t="str">
        <f t="shared" ca="1" si="979"/>
        <v/>
      </c>
      <c r="AQ119" s="412" t="str">
        <f t="shared" ca="1" si="979"/>
        <v/>
      </c>
      <c r="AR119" s="412" t="str">
        <f t="shared" ca="1" si="979"/>
        <v/>
      </c>
      <c r="AS119" s="412" t="str">
        <f t="shared" ca="1" si="979"/>
        <v/>
      </c>
      <c r="AT119" s="412" t="str">
        <f t="shared" ca="1" si="979"/>
        <v/>
      </c>
      <c r="AU119" s="412" t="str">
        <f t="shared" ca="1" si="979"/>
        <v/>
      </c>
      <c r="AV119" s="412" t="str">
        <f t="shared" ca="1" si="979"/>
        <v/>
      </c>
      <c r="AW119" s="412" t="str">
        <f t="shared" ca="1" si="979"/>
        <v/>
      </c>
      <c r="AX119" s="412" t="str">
        <f t="shared" ca="1" si="979"/>
        <v/>
      </c>
      <c r="AY119" s="412" t="str">
        <f t="shared" ca="1" si="979"/>
        <v/>
      </c>
      <c r="AZ119" s="412" t="str">
        <f t="shared" ca="1" si="979"/>
        <v/>
      </c>
      <c r="BA119" s="412" t="str">
        <f t="shared" ca="1" si="979"/>
        <v/>
      </c>
      <c r="BB119" s="412" t="str">
        <f t="shared" ca="1" si="979"/>
        <v/>
      </c>
      <c r="BC119" s="412" t="str">
        <f t="shared" ca="1" si="979"/>
        <v/>
      </c>
      <c r="BD119" s="412" t="str">
        <f t="shared" ca="1" si="979"/>
        <v/>
      </c>
      <c r="BE119" s="412" t="str">
        <f t="shared" ca="1" si="979"/>
        <v/>
      </c>
      <c r="BF119" s="412" t="str">
        <f t="shared" ca="1" si="979"/>
        <v/>
      </c>
      <c r="BG119" s="412" t="str">
        <f t="shared" ca="1" si="979"/>
        <v/>
      </c>
      <c r="BH119" s="412" t="str">
        <f t="shared" ca="1" si="979"/>
        <v/>
      </c>
      <c r="BI119" s="412" t="str">
        <f t="shared" ca="1" si="979"/>
        <v/>
      </c>
      <c r="BJ119" s="412" t="str">
        <f t="shared" ca="1" si="979"/>
        <v/>
      </c>
      <c r="BK119" s="412" t="str">
        <f t="shared" ca="1" si="979"/>
        <v/>
      </c>
      <c r="BL119" s="412" t="str">
        <f t="shared" ca="1" si="979"/>
        <v/>
      </c>
      <c r="BM119" s="412" t="str">
        <f t="shared" ca="1" si="979"/>
        <v/>
      </c>
      <c r="BN119" s="412" t="str">
        <f t="shared" ca="1" si="979"/>
        <v/>
      </c>
      <c r="BO119" s="412" t="str">
        <f t="shared" ca="1" si="979"/>
        <v/>
      </c>
      <c r="BP119" s="412" t="str">
        <f t="shared" ca="1" si="979"/>
        <v/>
      </c>
      <c r="BQ119" s="412" t="str">
        <f t="shared" ref="BQ119:CL119" ca="1" si="980">IFERROR(IF((INDEX($E110:$CL117,8,MATCH(base,$E110:$CL110,0))/INDEX($E110:$CL117,3,MATCH(sector_base,$E110:$CL110,0))/(BQ117/BQ112))&gt;=1,1,(INDEX($E110:$CL117,8,MATCH(base,$E110:$CL110,0))/INDEX($E110:$CL117,3,MATCH(base,$E110:$CL110,0))/(BQ117/BQ112))),"")</f>
        <v/>
      </c>
      <c r="BR119" s="412" t="str">
        <f t="shared" ca="1" si="980"/>
        <v/>
      </c>
      <c r="BS119" s="412" t="str">
        <f t="shared" ca="1" si="980"/>
        <v/>
      </c>
      <c r="BT119" s="412" t="str">
        <f t="shared" ca="1" si="980"/>
        <v/>
      </c>
      <c r="BU119" s="412" t="str">
        <f t="shared" ca="1" si="980"/>
        <v/>
      </c>
      <c r="BV119" s="412" t="str">
        <f t="shared" ca="1" si="980"/>
        <v/>
      </c>
      <c r="BW119" s="412" t="str">
        <f t="shared" ca="1" si="980"/>
        <v/>
      </c>
      <c r="BX119" s="412" t="str">
        <f t="shared" ca="1" si="980"/>
        <v/>
      </c>
      <c r="BY119" s="412" t="str">
        <f t="shared" ca="1" si="980"/>
        <v/>
      </c>
      <c r="BZ119" s="412" t="str">
        <f t="shared" ca="1" si="980"/>
        <v/>
      </c>
      <c r="CA119" s="412" t="str">
        <f t="shared" ca="1" si="980"/>
        <v/>
      </c>
      <c r="CB119" s="412" t="str">
        <f t="shared" ca="1" si="980"/>
        <v/>
      </c>
      <c r="CC119" s="412" t="str">
        <f t="shared" ca="1" si="980"/>
        <v/>
      </c>
      <c r="CD119" s="412" t="str">
        <f t="shared" ca="1" si="980"/>
        <v/>
      </c>
      <c r="CE119" s="412" t="str">
        <f t="shared" ca="1" si="980"/>
        <v/>
      </c>
      <c r="CF119" s="412" t="str">
        <f t="shared" ca="1" si="980"/>
        <v/>
      </c>
      <c r="CG119" s="412" t="str">
        <f t="shared" ca="1" si="980"/>
        <v/>
      </c>
      <c r="CH119" s="412" t="str">
        <f t="shared" ca="1" si="980"/>
        <v/>
      </c>
      <c r="CI119" s="412" t="str">
        <f t="shared" ca="1" si="980"/>
        <v/>
      </c>
      <c r="CJ119" s="412" t="str">
        <f t="shared" ca="1" si="980"/>
        <v/>
      </c>
      <c r="CK119" s="412" t="str">
        <f t="shared" ca="1" si="980"/>
        <v/>
      </c>
      <c r="CL119" s="412" t="str">
        <f t="shared" ca="1" si="980"/>
        <v/>
      </c>
      <c r="CN119" s="406" t="str">
        <f ca="1">IFERROR((Y119/H119)^(1/17)-1,"")</f>
        <v/>
      </c>
      <c r="CO119" s="406" t="str">
        <f ca="1">IFERROR((AN119/Y119)^(1/15)-1,"")</f>
        <v/>
      </c>
      <c r="CP119" s="406" t="str">
        <f ca="1">IFERROR((AN119/H119)^(1/32)-1,"")</f>
        <v/>
      </c>
    </row>
    <row r="120" spans="1:94" hidden="1" outlineLevel="1">
      <c r="A120" s="399"/>
      <c r="B120" s="399" t="s">
        <v>27</v>
      </c>
      <c r="C120" s="399" t="s">
        <v>366</v>
      </c>
      <c r="D120" s="399" t="s">
        <v>367</v>
      </c>
      <c r="E120" s="401" t="str">
        <f t="shared" ref="E120:BP120" ca="1" si="981">IFERROR(IF(INDEX($E110:$CL119,9,MATCH(base,$E110:$CL110,0))-E115&lt;0,"N/A",INDEX($E110:$CL119,9,MATCH(base,$E110:$CL110,0))-E115),"")</f>
        <v/>
      </c>
      <c r="F120" s="402" t="str">
        <f t="shared" ca="1" si="981"/>
        <v/>
      </c>
      <c r="G120" s="402" t="str">
        <f t="shared" ca="1" si="981"/>
        <v/>
      </c>
      <c r="H120" s="402" t="str">
        <f t="shared" ca="1" si="981"/>
        <v/>
      </c>
      <c r="I120" s="402" t="str">
        <f t="shared" ca="1" si="981"/>
        <v/>
      </c>
      <c r="J120" s="402" t="str">
        <f t="shared" ca="1" si="981"/>
        <v/>
      </c>
      <c r="K120" s="402" t="str">
        <f t="shared" ca="1" si="981"/>
        <v/>
      </c>
      <c r="L120" s="402" t="str">
        <f t="shared" ca="1" si="981"/>
        <v/>
      </c>
      <c r="M120" s="402" t="str">
        <f t="shared" ca="1" si="981"/>
        <v/>
      </c>
      <c r="N120" s="402" t="str">
        <f t="shared" ca="1" si="981"/>
        <v/>
      </c>
      <c r="O120" s="402" t="str">
        <f t="shared" ca="1" si="981"/>
        <v/>
      </c>
      <c r="P120" s="402" t="str">
        <f t="shared" ca="1" si="981"/>
        <v/>
      </c>
      <c r="Q120" s="402" t="str">
        <f t="shared" ca="1" si="981"/>
        <v/>
      </c>
      <c r="R120" s="402" t="str">
        <f t="shared" ca="1" si="981"/>
        <v/>
      </c>
      <c r="S120" s="402" t="str">
        <f t="shared" ca="1" si="981"/>
        <v/>
      </c>
      <c r="T120" s="402" t="str">
        <f t="shared" ca="1" si="981"/>
        <v/>
      </c>
      <c r="U120" s="402" t="str">
        <f t="shared" ca="1" si="981"/>
        <v/>
      </c>
      <c r="V120" s="402" t="str">
        <f t="shared" ca="1" si="981"/>
        <v/>
      </c>
      <c r="W120" s="402" t="str">
        <f t="shared" ca="1" si="981"/>
        <v/>
      </c>
      <c r="X120" s="402" t="str">
        <f t="shared" ca="1" si="981"/>
        <v/>
      </c>
      <c r="Y120" s="402" t="str">
        <f t="shared" ca="1" si="981"/>
        <v/>
      </c>
      <c r="Z120" s="402" t="str">
        <f t="shared" ca="1" si="981"/>
        <v/>
      </c>
      <c r="AA120" s="402" t="str">
        <f t="shared" ca="1" si="981"/>
        <v/>
      </c>
      <c r="AB120" s="402" t="str">
        <f t="shared" ca="1" si="981"/>
        <v/>
      </c>
      <c r="AC120" s="402" t="str">
        <f t="shared" ca="1" si="981"/>
        <v/>
      </c>
      <c r="AD120" s="402" t="str">
        <f t="shared" ca="1" si="981"/>
        <v/>
      </c>
      <c r="AE120" s="402" t="str">
        <f t="shared" ca="1" si="981"/>
        <v/>
      </c>
      <c r="AF120" s="402" t="str">
        <f t="shared" ca="1" si="981"/>
        <v/>
      </c>
      <c r="AG120" s="402" t="str">
        <f t="shared" ca="1" si="981"/>
        <v/>
      </c>
      <c r="AH120" s="402" t="str">
        <f t="shared" ca="1" si="981"/>
        <v/>
      </c>
      <c r="AI120" s="402" t="str">
        <f t="shared" ca="1" si="981"/>
        <v/>
      </c>
      <c r="AJ120" s="402" t="str">
        <f t="shared" ca="1" si="981"/>
        <v/>
      </c>
      <c r="AK120" s="402" t="str">
        <f t="shared" ca="1" si="981"/>
        <v/>
      </c>
      <c r="AL120" s="402" t="str">
        <f t="shared" ca="1" si="981"/>
        <v/>
      </c>
      <c r="AM120" s="402" t="str">
        <f t="shared" ca="1" si="981"/>
        <v/>
      </c>
      <c r="AN120" s="402" t="str">
        <f t="shared" ca="1" si="981"/>
        <v/>
      </c>
      <c r="AO120" s="402" t="str">
        <f t="shared" ca="1" si="981"/>
        <v/>
      </c>
      <c r="AP120" s="402" t="str">
        <f t="shared" ca="1" si="981"/>
        <v/>
      </c>
      <c r="AQ120" s="402" t="str">
        <f t="shared" ca="1" si="981"/>
        <v/>
      </c>
      <c r="AR120" s="402" t="str">
        <f t="shared" ca="1" si="981"/>
        <v/>
      </c>
      <c r="AS120" s="402" t="str">
        <f t="shared" ca="1" si="981"/>
        <v/>
      </c>
      <c r="AT120" s="402" t="str">
        <f t="shared" ca="1" si="981"/>
        <v/>
      </c>
      <c r="AU120" s="402" t="str">
        <f t="shared" ca="1" si="981"/>
        <v/>
      </c>
      <c r="AV120" s="402" t="str">
        <f t="shared" ca="1" si="981"/>
        <v/>
      </c>
      <c r="AW120" s="402" t="str">
        <f t="shared" ca="1" si="981"/>
        <v/>
      </c>
      <c r="AX120" s="402" t="str">
        <f t="shared" ca="1" si="981"/>
        <v/>
      </c>
      <c r="AY120" s="402" t="str">
        <f t="shared" ca="1" si="981"/>
        <v/>
      </c>
      <c r="AZ120" s="402" t="str">
        <f t="shared" ca="1" si="981"/>
        <v/>
      </c>
      <c r="BA120" s="402" t="str">
        <f t="shared" ca="1" si="981"/>
        <v/>
      </c>
      <c r="BB120" s="402" t="str">
        <f t="shared" ca="1" si="981"/>
        <v/>
      </c>
      <c r="BC120" s="402" t="str">
        <f t="shared" ca="1" si="981"/>
        <v/>
      </c>
      <c r="BD120" s="402" t="str">
        <f t="shared" ca="1" si="981"/>
        <v/>
      </c>
      <c r="BE120" s="402" t="str">
        <f t="shared" ca="1" si="981"/>
        <v/>
      </c>
      <c r="BF120" s="402" t="str">
        <f t="shared" ca="1" si="981"/>
        <v/>
      </c>
      <c r="BG120" s="402" t="str">
        <f t="shared" ca="1" si="981"/>
        <v/>
      </c>
      <c r="BH120" s="402" t="str">
        <f t="shared" ca="1" si="981"/>
        <v/>
      </c>
      <c r="BI120" s="402" t="str">
        <f t="shared" ca="1" si="981"/>
        <v/>
      </c>
      <c r="BJ120" s="402" t="str">
        <f t="shared" ca="1" si="981"/>
        <v/>
      </c>
      <c r="BK120" s="402" t="str">
        <f t="shared" ca="1" si="981"/>
        <v/>
      </c>
      <c r="BL120" s="402" t="str">
        <f t="shared" ca="1" si="981"/>
        <v/>
      </c>
      <c r="BM120" s="402" t="str">
        <f t="shared" ca="1" si="981"/>
        <v/>
      </c>
      <c r="BN120" s="402" t="str">
        <f t="shared" ca="1" si="981"/>
        <v/>
      </c>
      <c r="BO120" s="402" t="str">
        <f t="shared" ca="1" si="981"/>
        <v/>
      </c>
      <c r="BP120" s="402" t="str">
        <f t="shared" ca="1" si="981"/>
        <v/>
      </c>
      <c r="BQ120" s="402" t="str">
        <f t="shared" ref="BQ120:CL120" ca="1" si="982">IFERROR(IF(INDEX($E110:$CL119,9,MATCH(base,$E110:$CL110,0))-BQ115&lt;0,"N/A",INDEX($E110:$CL119,9,MATCH(base,$E110:$CL110,0))-BQ115),"")</f>
        <v/>
      </c>
      <c r="BR120" s="402" t="str">
        <f t="shared" ca="1" si="982"/>
        <v/>
      </c>
      <c r="BS120" s="402" t="str">
        <f t="shared" ca="1" si="982"/>
        <v/>
      </c>
      <c r="BT120" s="402" t="str">
        <f t="shared" ca="1" si="982"/>
        <v/>
      </c>
      <c r="BU120" s="402" t="str">
        <f t="shared" ca="1" si="982"/>
        <v/>
      </c>
      <c r="BV120" s="402" t="str">
        <f t="shared" ca="1" si="982"/>
        <v/>
      </c>
      <c r="BW120" s="402" t="str">
        <f t="shared" ca="1" si="982"/>
        <v/>
      </c>
      <c r="BX120" s="402" t="str">
        <f t="shared" ca="1" si="982"/>
        <v/>
      </c>
      <c r="BY120" s="402" t="str">
        <f t="shared" ca="1" si="982"/>
        <v/>
      </c>
      <c r="BZ120" s="402" t="str">
        <f t="shared" ca="1" si="982"/>
        <v/>
      </c>
      <c r="CA120" s="402" t="str">
        <f t="shared" ca="1" si="982"/>
        <v/>
      </c>
      <c r="CB120" s="402" t="str">
        <f t="shared" ca="1" si="982"/>
        <v/>
      </c>
      <c r="CC120" s="402" t="str">
        <f t="shared" ca="1" si="982"/>
        <v/>
      </c>
      <c r="CD120" s="402" t="str">
        <f t="shared" ca="1" si="982"/>
        <v/>
      </c>
      <c r="CE120" s="402" t="str">
        <f t="shared" ca="1" si="982"/>
        <v/>
      </c>
      <c r="CF120" s="402" t="str">
        <f t="shared" ca="1" si="982"/>
        <v/>
      </c>
      <c r="CG120" s="402" t="str">
        <f t="shared" ca="1" si="982"/>
        <v/>
      </c>
      <c r="CH120" s="402" t="str">
        <f t="shared" ca="1" si="982"/>
        <v/>
      </c>
      <c r="CI120" s="402" t="str">
        <f t="shared" ca="1" si="982"/>
        <v/>
      </c>
      <c r="CJ120" s="402" t="str">
        <f t="shared" ca="1" si="982"/>
        <v/>
      </c>
      <c r="CK120" s="402" t="str">
        <f t="shared" ca="1" si="982"/>
        <v/>
      </c>
      <c r="CL120" s="402" t="str">
        <f t="shared" ca="1" si="982"/>
        <v/>
      </c>
      <c r="CN120" s="398" t="str">
        <f ca="1">IFERROR((Y120/H120)^(1/17)-1,"")</f>
        <v/>
      </c>
      <c r="CO120" s="398" t="str">
        <f ca="1">IFERROR((AN120/Y120)^(1/15)-1,"")</f>
        <v/>
      </c>
      <c r="CP120" s="398" t="str">
        <f ca="1">IFERROR((AN120/H120)^(1/32)-1,"")</f>
        <v/>
      </c>
    </row>
    <row r="121" spans="1:94" hidden="1" outlineLevel="1">
      <c r="A121" s="403" t="s">
        <v>255</v>
      </c>
      <c r="B121" s="403" t="s">
        <v>256</v>
      </c>
      <c r="C121" s="403" t="s">
        <v>368</v>
      </c>
      <c r="D121" s="403" t="s">
        <v>369</v>
      </c>
      <c r="E121" s="405" t="e">
        <f t="shared" ref="E121:AJ121" si="983">IF(E42&lt;sector_base,NA(),IF($B$6="ON", IF(E42&gt;=covid_start, IF(E42&lt;covid_recovery,NA(),IFERROR(E115+(E114*E120*E119),0)),IFERROR(E115+(E114*E120*E119),0)),IFERROR(E115+(E114*E120*E119),0)))</f>
        <v>#N/A</v>
      </c>
      <c r="F121" s="405" t="e">
        <f t="shared" si="983"/>
        <v>#N/A</v>
      </c>
      <c r="G121" s="405" t="e">
        <f t="shared" si="983"/>
        <v>#N/A</v>
      </c>
      <c r="H121" s="405" t="e">
        <f t="shared" si="983"/>
        <v>#N/A</v>
      </c>
      <c r="I121" s="405">
        <f t="shared" ca="1" si="983"/>
        <v>0</v>
      </c>
      <c r="J121" s="405" t="e">
        <f t="shared" si="983"/>
        <v>#N/A</v>
      </c>
      <c r="K121" s="405" t="e">
        <f t="shared" si="983"/>
        <v>#N/A</v>
      </c>
      <c r="L121" s="405" t="e">
        <f t="shared" si="983"/>
        <v>#N/A</v>
      </c>
      <c r="M121" s="405">
        <f t="shared" ca="1" si="983"/>
        <v>0</v>
      </c>
      <c r="N121" s="405">
        <f t="shared" ca="1" si="983"/>
        <v>0</v>
      </c>
      <c r="O121" s="405">
        <f t="shared" ca="1" si="983"/>
        <v>0</v>
      </c>
      <c r="P121" s="405">
        <f t="shared" ca="1" si="983"/>
        <v>0</v>
      </c>
      <c r="Q121" s="405">
        <f t="shared" ca="1" si="983"/>
        <v>0</v>
      </c>
      <c r="R121" s="405">
        <f t="shared" ca="1" si="983"/>
        <v>0</v>
      </c>
      <c r="S121" s="405">
        <f t="shared" ca="1" si="983"/>
        <v>0</v>
      </c>
      <c r="T121" s="405">
        <f t="shared" ca="1" si="983"/>
        <v>0</v>
      </c>
      <c r="U121" s="405">
        <f t="shared" ca="1" si="983"/>
        <v>0</v>
      </c>
      <c r="V121" s="405">
        <f t="shared" ca="1" si="983"/>
        <v>0</v>
      </c>
      <c r="W121" s="405">
        <f t="shared" ca="1" si="983"/>
        <v>0</v>
      </c>
      <c r="X121" s="405">
        <f t="shared" ca="1" si="983"/>
        <v>0</v>
      </c>
      <c r="Y121" s="405">
        <f t="shared" ca="1" si="983"/>
        <v>0</v>
      </c>
      <c r="Z121" s="405">
        <f t="shared" ca="1" si="983"/>
        <v>0</v>
      </c>
      <c r="AA121" s="405">
        <f t="shared" ca="1" si="983"/>
        <v>0</v>
      </c>
      <c r="AB121" s="405">
        <f t="shared" ca="1" si="983"/>
        <v>0</v>
      </c>
      <c r="AC121" s="405">
        <f t="shared" ca="1" si="983"/>
        <v>0</v>
      </c>
      <c r="AD121" s="405">
        <f t="shared" ca="1" si="983"/>
        <v>0</v>
      </c>
      <c r="AE121" s="405">
        <f t="shared" ca="1" si="983"/>
        <v>0</v>
      </c>
      <c r="AF121" s="405">
        <f t="shared" ca="1" si="983"/>
        <v>0</v>
      </c>
      <c r="AG121" s="405">
        <f t="shared" ca="1" si="983"/>
        <v>0</v>
      </c>
      <c r="AH121" s="405">
        <f t="shared" ca="1" si="983"/>
        <v>0</v>
      </c>
      <c r="AI121" s="405">
        <f t="shared" ca="1" si="983"/>
        <v>0</v>
      </c>
      <c r="AJ121" s="405">
        <f t="shared" ca="1" si="983"/>
        <v>0</v>
      </c>
      <c r="AK121" s="405">
        <f t="shared" ref="AK121:BP121" ca="1" si="984">IF(AK42&lt;sector_base,NA(),IF($B$6="ON", IF(AK42&gt;=covid_start, IF(AK42&lt;covid_recovery,NA(),IFERROR(AK115+(AK114*AK120*AK119),0)),IFERROR(AK115+(AK114*AK120*AK119),0)),IFERROR(AK115+(AK114*AK120*AK119),0)))</f>
        <v>0</v>
      </c>
      <c r="AL121" s="405">
        <f t="shared" ca="1" si="984"/>
        <v>0</v>
      </c>
      <c r="AM121" s="405">
        <f t="shared" ca="1" si="984"/>
        <v>0</v>
      </c>
      <c r="AN121" s="405">
        <f t="shared" ca="1" si="984"/>
        <v>0</v>
      </c>
      <c r="AO121" s="405">
        <f t="shared" ca="1" si="984"/>
        <v>0</v>
      </c>
      <c r="AP121" s="405">
        <f t="shared" ca="1" si="984"/>
        <v>0</v>
      </c>
      <c r="AQ121" s="405">
        <f t="shared" ca="1" si="984"/>
        <v>0</v>
      </c>
      <c r="AR121" s="405">
        <f t="shared" ca="1" si="984"/>
        <v>0</v>
      </c>
      <c r="AS121" s="405">
        <f t="shared" ca="1" si="984"/>
        <v>0</v>
      </c>
      <c r="AT121" s="405">
        <f t="shared" ca="1" si="984"/>
        <v>0</v>
      </c>
      <c r="AU121" s="405">
        <f t="shared" ca="1" si="984"/>
        <v>0</v>
      </c>
      <c r="AV121" s="405">
        <f t="shared" ca="1" si="984"/>
        <v>0</v>
      </c>
      <c r="AW121" s="405">
        <f t="shared" ca="1" si="984"/>
        <v>0</v>
      </c>
      <c r="AX121" s="405">
        <f t="shared" ca="1" si="984"/>
        <v>0</v>
      </c>
      <c r="AY121" s="405">
        <f t="shared" ca="1" si="984"/>
        <v>0</v>
      </c>
      <c r="AZ121" s="405">
        <f t="shared" ca="1" si="984"/>
        <v>0</v>
      </c>
      <c r="BA121" s="405">
        <f t="shared" ca="1" si="984"/>
        <v>0</v>
      </c>
      <c r="BB121" s="405">
        <f t="shared" ca="1" si="984"/>
        <v>0</v>
      </c>
      <c r="BC121" s="405">
        <f t="shared" ca="1" si="984"/>
        <v>0</v>
      </c>
      <c r="BD121" s="405">
        <f t="shared" ca="1" si="984"/>
        <v>0</v>
      </c>
      <c r="BE121" s="405">
        <f t="shared" ca="1" si="984"/>
        <v>0</v>
      </c>
      <c r="BF121" s="405">
        <f t="shared" ca="1" si="984"/>
        <v>0</v>
      </c>
      <c r="BG121" s="405">
        <f t="shared" ca="1" si="984"/>
        <v>0</v>
      </c>
      <c r="BH121" s="405">
        <f t="shared" ca="1" si="984"/>
        <v>0</v>
      </c>
      <c r="BI121" s="405">
        <f t="shared" ca="1" si="984"/>
        <v>0</v>
      </c>
      <c r="BJ121" s="405">
        <f t="shared" ca="1" si="984"/>
        <v>0</v>
      </c>
      <c r="BK121" s="405">
        <f t="shared" ca="1" si="984"/>
        <v>0</v>
      </c>
      <c r="BL121" s="405">
        <f t="shared" ca="1" si="984"/>
        <v>0</v>
      </c>
      <c r="BM121" s="405">
        <f t="shared" ca="1" si="984"/>
        <v>0</v>
      </c>
      <c r="BN121" s="405">
        <f t="shared" ca="1" si="984"/>
        <v>0</v>
      </c>
      <c r="BO121" s="405">
        <f t="shared" ca="1" si="984"/>
        <v>0</v>
      </c>
      <c r="BP121" s="405">
        <f t="shared" ca="1" si="984"/>
        <v>0</v>
      </c>
      <c r="BQ121" s="405">
        <f t="shared" ref="BQ121:CL121" ca="1" si="985">IF(BQ42&lt;sector_base,NA(),IF($B$6="ON", IF(BQ42&gt;=covid_start, IF(BQ42&lt;covid_recovery,NA(),IFERROR(BQ115+(BQ114*BQ120*BQ119),0)),IFERROR(BQ115+(BQ114*BQ120*BQ119),0)),IFERROR(BQ115+(BQ114*BQ120*BQ119),0)))</f>
        <v>0</v>
      </c>
      <c r="BR121" s="405">
        <f t="shared" ca="1" si="985"/>
        <v>0</v>
      </c>
      <c r="BS121" s="405">
        <f t="shared" ca="1" si="985"/>
        <v>0</v>
      </c>
      <c r="BT121" s="405">
        <f t="shared" ca="1" si="985"/>
        <v>0</v>
      </c>
      <c r="BU121" s="405">
        <f t="shared" ca="1" si="985"/>
        <v>0</v>
      </c>
      <c r="BV121" s="405">
        <f t="shared" ca="1" si="985"/>
        <v>0</v>
      </c>
      <c r="BW121" s="405">
        <f t="shared" ca="1" si="985"/>
        <v>0</v>
      </c>
      <c r="BX121" s="405">
        <f t="shared" ca="1" si="985"/>
        <v>0</v>
      </c>
      <c r="BY121" s="405">
        <f t="shared" ca="1" si="985"/>
        <v>0</v>
      </c>
      <c r="BZ121" s="405">
        <f t="shared" ca="1" si="985"/>
        <v>0</v>
      </c>
      <c r="CA121" s="405">
        <f t="shared" ca="1" si="985"/>
        <v>0</v>
      </c>
      <c r="CB121" s="405">
        <f t="shared" ca="1" si="985"/>
        <v>0</v>
      </c>
      <c r="CC121" s="405">
        <f t="shared" ca="1" si="985"/>
        <v>0</v>
      </c>
      <c r="CD121" s="405">
        <f t="shared" ca="1" si="985"/>
        <v>0</v>
      </c>
      <c r="CE121" s="405">
        <f t="shared" ca="1" si="985"/>
        <v>0</v>
      </c>
      <c r="CF121" s="405">
        <f t="shared" ca="1" si="985"/>
        <v>0</v>
      </c>
      <c r="CG121" s="405">
        <f t="shared" ca="1" si="985"/>
        <v>0</v>
      </c>
      <c r="CH121" s="405">
        <f t="shared" ca="1" si="985"/>
        <v>0</v>
      </c>
      <c r="CI121" s="405">
        <f t="shared" ca="1" si="985"/>
        <v>0</v>
      </c>
      <c r="CJ121" s="405">
        <f t="shared" ca="1" si="985"/>
        <v>0</v>
      </c>
      <c r="CK121" s="405">
        <f t="shared" ca="1" si="985"/>
        <v>0</v>
      </c>
      <c r="CL121" s="405">
        <f t="shared" ca="1" si="985"/>
        <v>0</v>
      </c>
      <c r="CN121" s="406" t="str">
        <f ca="1">IFERROR((Y121/H121)^(1/17)-1,"")</f>
        <v/>
      </c>
      <c r="CO121" s="406" t="str">
        <f ca="1">IFERROR((AN121/Y121)^(1/15)-1,"")</f>
        <v/>
      </c>
      <c r="CP121" s="406" t="str">
        <f ca="1">IFERROR((AN121/H121)^(1/32)-1,"")</f>
        <v/>
      </c>
    </row>
    <row r="122" spans="1:94" hidden="1" outlineLevel="1">
      <c r="A122" s="400" t="s">
        <v>255</v>
      </c>
      <c r="B122" s="400" t="s">
        <v>129</v>
      </c>
      <c r="C122" s="400" t="s">
        <v>370</v>
      </c>
      <c r="D122" s="400"/>
      <c r="E122" s="413" t="e">
        <f>IF(E110=base,E121, IF(E110=target,E121,#N/A))</f>
        <v>#N/A</v>
      </c>
      <c r="F122" s="407" t="e">
        <f>IF(F118=base,F121, IF(F118=target,F121,#N/A))</f>
        <v>#N/A</v>
      </c>
      <c r="G122" s="407" t="e">
        <f>IF(G118=base,G121, IF(G118=target,G121,#N/A))</f>
        <v>#N/A</v>
      </c>
      <c r="H122" s="407" t="e">
        <f>IF(H110=base,H121, IF(H110=target,H121,#N/A))</f>
        <v>#N/A</v>
      </c>
      <c r="I122" s="407">
        <f t="shared" ref="I122:X122" ca="1" si="986">IF(I110=base,I121, IF(I110=target,I121,#N/A))</f>
        <v>0</v>
      </c>
      <c r="J122" s="407" t="e">
        <f t="shared" si="986"/>
        <v>#N/A</v>
      </c>
      <c r="K122" s="407" t="e">
        <f t="shared" si="986"/>
        <v>#N/A</v>
      </c>
      <c r="L122" s="407" t="e">
        <f t="shared" si="986"/>
        <v>#N/A</v>
      </c>
      <c r="M122" s="407" t="e">
        <f t="shared" si="986"/>
        <v>#N/A</v>
      </c>
      <c r="N122" s="407" t="e">
        <f t="shared" si="986"/>
        <v>#N/A</v>
      </c>
      <c r="O122" s="407" t="e">
        <f t="shared" si="986"/>
        <v>#N/A</v>
      </c>
      <c r="P122" s="407" t="e">
        <f t="shared" si="986"/>
        <v>#N/A</v>
      </c>
      <c r="Q122" s="407" t="e">
        <f t="shared" si="986"/>
        <v>#N/A</v>
      </c>
      <c r="R122" s="407" t="e">
        <f t="shared" si="986"/>
        <v>#N/A</v>
      </c>
      <c r="S122" s="407" t="e">
        <f t="shared" si="986"/>
        <v>#N/A</v>
      </c>
      <c r="T122" s="407" t="e">
        <f t="shared" si="986"/>
        <v>#N/A</v>
      </c>
      <c r="U122" s="407" t="e">
        <f t="shared" si="986"/>
        <v>#N/A</v>
      </c>
      <c r="V122" s="407" t="e">
        <f t="shared" si="986"/>
        <v>#N/A</v>
      </c>
      <c r="W122" s="407" t="e">
        <f t="shared" si="986"/>
        <v>#N/A</v>
      </c>
      <c r="X122" s="407" t="e">
        <f t="shared" si="986"/>
        <v>#N/A</v>
      </c>
      <c r="Y122" s="407" t="e">
        <f>IF(Y110=base,Y121, IF(Y110=target,Y121,#N/A))</f>
        <v>#N/A</v>
      </c>
      <c r="Z122" s="407" t="e">
        <f t="shared" ref="Z122:AN122" si="987">IF(Z110=base,Z121, IF(Z110=target,Z121,#N/A))</f>
        <v>#N/A</v>
      </c>
      <c r="AA122" s="407" t="e">
        <f t="shared" si="987"/>
        <v>#N/A</v>
      </c>
      <c r="AB122" s="407" t="e">
        <f t="shared" si="987"/>
        <v>#N/A</v>
      </c>
      <c r="AC122" s="407" t="e">
        <f t="shared" si="987"/>
        <v>#N/A</v>
      </c>
      <c r="AD122" s="407" t="e">
        <f t="shared" si="987"/>
        <v>#N/A</v>
      </c>
      <c r="AE122" s="407" t="e">
        <f t="shared" si="987"/>
        <v>#N/A</v>
      </c>
      <c r="AF122" s="407" t="e">
        <f t="shared" si="987"/>
        <v>#N/A</v>
      </c>
      <c r="AG122" s="407" t="e">
        <f t="shared" si="987"/>
        <v>#N/A</v>
      </c>
      <c r="AH122" s="407" t="e">
        <f t="shared" si="987"/>
        <v>#N/A</v>
      </c>
      <c r="AI122" s="407" t="e">
        <f t="shared" si="987"/>
        <v>#N/A</v>
      </c>
      <c r="AJ122" s="407" t="e">
        <f t="shared" si="987"/>
        <v>#N/A</v>
      </c>
      <c r="AK122" s="407" t="e">
        <f t="shared" si="987"/>
        <v>#N/A</v>
      </c>
      <c r="AL122" s="407" t="e">
        <f t="shared" si="987"/>
        <v>#N/A</v>
      </c>
      <c r="AM122" s="407" t="e">
        <f t="shared" si="987"/>
        <v>#N/A</v>
      </c>
      <c r="AN122" s="407" t="e">
        <f t="shared" si="987"/>
        <v>#N/A</v>
      </c>
      <c r="AO122" s="407">
        <f t="shared" ref="AO122:CL122" ca="1" si="988">IF(AO118=base,AO121, IF(AO118=target,AO121,#N/A))</f>
        <v>0</v>
      </c>
      <c r="AP122" s="407">
        <f t="shared" ca="1" si="988"/>
        <v>0</v>
      </c>
      <c r="AQ122" s="407">
        <f t="shared" ca="1" si="988"/>
        <v>0</v>
      </c>
      <c r="AR122" s="407">
        <f t="shared" ca="1" si="988"/>
        <v>0</v>
      </c>
      <c r="AS122" s="407">
        <f t="shared" ca="1" si="988"/>
        <v>0</v>
      </c>
      <c r="AT122" s="407">
        <f t="shared" ca="1" si="988"/>
        <v>0</v>
      </c>
      <c r="AU122" s="407">
        <f t="shared" ca="1" si="988"/>
        <v>0</v>
      </c>
      <c r="AV122" s="407">
        <f t="shared" ca="1" si="988"/>
        <v>0</v>
      </c>
      <c r="AW122" s="407">
        <f t="shared" ca="1" si="988"/>
        <v>0</v>
      </c>
      <c r="AX122" s="407">
        <f t="shared" ca="1" si="988"/>
        <v>0</v>
      </c>
      <c r="AY122" s="407">
        <f t="shared" ca="1" si="988"/>
        <v>0</v>
      </c>
      <c r="AZ122" s="407">
        <f t="shared" ca="1" si="988"/>
        <v>0</v>
      </c>
      <c r="BA122" s="407">
        <f t="shared" ca="1" si="988"/>
        <v>0</v>
      </c>
      <c r="BB122" s="407">
        <f t="shared" ca="1" si="988"/>
        <v>0</v>
      </c>
      <c r="BC122" s="407">
        <f t="shared" ca="1" si="988"/>
        <v>0</v>
      </c>
      <c r="BD122" s="407">
        <f t="shared" ca="1" si="988"/>
        <v>0</v>
      </c>
      <c r="BE122" s="407">
        <f t="shared" ca="1" si="988"/>
        <v>0</v>
      </c>
      <c r="BF122" s="407">
        <f t="shared" ca="1" si="988"/>
        <v>0</v>
      </c>
      <c r="BG122" s="407">
        <f t="shared" ca="1" si="988"/>
        <v>0</v>
      </c>
      <c r="BH122" s="407">
        <f t="shared" ca="1" si="988"/>
        <v>0</v>
      </c>
      <c r="BI122" s="407">
        <f t="shared" ca="1" si="988"/>
        <v>0</v>
      </c>
      <c r="BJ122" s="407">
        <f t="shared" ca="1" si="988"/>
        <v>0</v>
      </c>
      <c r="BK122" s="407">
        <f t="shared" ca="1" si="988"/>
        <v>0</v>
      </c>
      <c r="BL122" s="407">
        <f t="shared" ca="1" si="988"/>
        <v>0</v>
      </c>
      <c r="BM122" s="407">
        <f t="shared" ca="1" si="988"/>
        <v>0</v>
      </c>
      <c r="BN122" s="407">
        <f t="shared" ca="1" si="988"/>
        <v>0</v>
      </c>
      <c r="BO122" s="407">
        <f t="shared" ca="1" si="988"/>
        <v>0</v>
      </c>
      <c r="BP122" s="407">
        <f t="shared" ca="1" si="988"/>
        <v>0</v>
      </c>
      <c r="BQ122" s="407">
        <f t="shared" ca="1" si="988"/>
        <v>0</v>
      </c>
      <c r="BR122" s="407">
        <f t="shared" ca="1" si="988"/>
        <v>0</v>
      </c>
      <c r="BS122" s="407">
        <f t="shared" ca="1" si="988"/>
        <v>0</v>
      </c>
      <c r="BT122" s="407">
        <f t="shared" ca="1" si="988"/>
        <v>0</v>
      </c>
      <c r="BU122" s="407">
        <f t="shared" ca="1" si="988"/>
        <v>0</v>
      </c>
      <c r="BV122" s="407">
        <f t="shared" ca="1" si="988"/>
        <v>0</v>
      </c>
      <c r="BW122" s="407">
        <f t="shared" ca="1" si="988"/>
        <v>0</v>
      </c>
      <c r="BX122" s="407">
        <f t="shared" ca="1" si="988"/>
        <v>0</v>
      </c>
      <c r="BY122" s="407">
        <f t="shared" ca="1" si="988"/>
        <v>0</v>
      </c>
      <c r="BZ122" s="407">
        <f t="shared" ca="1" si="988"/>
        <v>0</v>
      </c>
      <c r="CA122" s="407">
        <f t="shared" ca="1" si="988"/>
        <v>0</v>
      </c>
      <c r="CB122" s="407">
        <f t="shared" ca="1" si="988"/>
        <v>0</v>
      </c>
      <c r="CC122" s="407">
        <f t="shared" ca="1" si="988"/>
        <v>0</v>
      </c>
      <c r="CD122" s="407">
        <f t="shared" ca="1" si="988"/>
        <v>0</v>
      </c>
      <c r="CE122" s="407">
        <f t="shared" ca="1" si="988"/>
        <v>0</v>
      </c>
      <c r="CF122" s="407">
        <f t="shared" ca="1" si="988"/>
        <v>0</v>
      </c>
      <c r="CG122" s="407">
        <f t="shared" ca="1" si="988"/>
        <v>0</v>
      </c>
      <c r="CH122" s="407">
        <f t="shared" ca="1" si="988"/>
        <v>0</v>
      </c>
      <c r="CI122" s="407">
        <f t="shared" ca="1" si="988"/>
        <v>0</v>
      </c>
      <c r="CJ122" s="407">
        <f t="shared" ca="1" si="988"/>
        <v>0</v>
      </c>
      <c r="CK122" s="407">
        <f t="shared" ca="1" si="988"/>
        <v>0</v>
      </c>
      <c r="CL122" s="407">
        <f t="shared" ca="1" si="988"/>
        <v>0</v>
      </c>
      <c r="CN122" s="408" t="str">
        <f>IFERROR((Y122/H122)^(1/17)-1,"")</f>
        <v/>
      </c>
      <c r="CO122" s="408" t="str">
        <f>IFERROR((AN122/Y122)^(1/15)-1,"")</f>
        <v/>
      </c>
      <c r="CP122" s="408" t="str">
        <f>IFERROR((AN122/H122)^(1/32)-1,"")</f>
        <v/>
      </c>
    </row>
    <row r="123" spans="1:94" hidden="1" outlineLevel="1">
      <c r="A123" s="403" t="s">
        <v>255</v>
      </c>
      <c r="B123" s="403" t="s">
        <v>257</v>
      </c>
      <c r="C123" s="403" t="s">
        <v>371</v>
      </c>
      <c r="D123" s="403" t="s">
        <v>372</v>
      </c>
      <c r="E123" s="405" t="e">
        <f t="shared" ref="E123:G123" si="989">IFERROR((E121*E117)/1000,NA())</f>
        <v>#N/A</v>
      </c>
      <c r="F123" s="405" t="e">
        <f t="shared" si="989"/>
        <v>#N/A</v>
      </c>
      <c r="G123" s="405" t="e">
        <f t="shared" si="989"/>
        <v>#N/A</v>
      </c>
      <c r="H123" s="405" t="e">
        <f>IFERROR((H121*H117)/1000,NA())</f>
        <v>#N/A</v>
      </c>
      <c r="I123" s="405">
        <f ca="1">IFERROR((I121*I117)/1000,0)</f>
        <v>0</v>
      </c>
      <c r="J123" s="405">
        <f t="shared" ref="J123:BU123" si="990">IFERROR((J121*J117)/1000,0)</f>
        <v>0</v>
      </c>
      <c r="K123" s="405">
        <f t="shared" si="990"/>
        <v>0</v>
      </c>
      <c r="L123" s="405">
        <f t="shared" si="990"/>
        <v>0</v>
      </c>
      <c r="M123" s="405">
        <f t="shared" ca="1" si="990"/>
        <v>0</v>
      </c>
      <c r="N123" s="405">
        <f t="shared" ca="1" si="990"/>
        <v>0</v>
      </c>
      <c r="O123" s="405">
        <f t="shared" ca="1" si="990"/>
        <v>0</v>
      </c>
      <c r="P123" s="405">
        <f t="shared" ca="1" si="990"/>
        <v>0</v>
      </c>
      <c r="Q123" s="405">
        <f t="shared" ca="1" si="990"/>
        <v>0</v>
      </c>
      <c r="R123" s="405">
        <f t="shared" ca="1" si="990"/>
        <v>0</v>
      </c>
      <c r="S123" s="418">
        <f t="shared" ca="1" si="990"/>
        <v>0</v>
      </c>
      <c r="T123" s="418">
        <f t="shared" ca="1" si="990"/>
        <v>0</v>
      </c>
      <c r="U123" s="418">
        <f t="shared" ca="1" si="990"/>
        <v>0</v>
      </c>
      <c r="V123" s="405">
        <f t="shared" ca="1" si="990"/>
        <v>0</v>
      </c>
      <c r="W123" s="405">
        <f t="shared" ca="1" si="990"/>
        <v>0</v>
      </c>
      <c r="X123" s="405">
        <f t="shared" ca="1" si="990"/>
        <v>0</v>
      </c>
      <c r="Y123" s="405">
        <f t="shared" ca="1" si="990"/>
        <v>0</v>
      </c>
      <c r="Z123" s="405">
        <f t="shared" ca="1" si="990"/>
        <v>0</v>
      </c>
      <c r="AA123" s="405">
        <f t="shared" ca="1" si="990"/>
        <v>0</v>
      </c>
      <c r="AB123" s="405">
        <f t="shared" ca="1" si="990"/>
        <v>0</v>
      </c>
      <c r="AC123" s="405">
        <f t="shared" ca="1" si="990"/>
        <v>0</v>
      </c>
      <c r="AD123" s="405">
        <f t="shared" ca="1" si="990"/>
        <v>0</v>
      </c>
      <c r="AE123" s="405">
        <f t="shared" ca="1" si="990"/>
        <v>0</v>
      </c>
      <c r="AF123" s="405">
        <f t="shared" ca="1" si="990"/>
        <v>0</v>
      </c>
      <c r="AG123" s="405">
        <f t="shared" ca="1" si="990"/>
        <v>0</v>
      </c>
      <c r="AH123" s="405">
        <f t="shared" ca="1" si="990"/>
        <v>0</v>
      </c>
      <c r="AI123" s="405">
        <f t="shared" ca="1" si="990"/>
        <v>0</v>
      </c>
      <c r="AJ123" s="405">
        <f t="shared" ca="1" si="990"/>
        <v>0</v>
      </c>
      <c r="AK123" s="405">
        <f t="shared" ca="1" si="990"/>
        <v>0</v>
      </c>
      <c r="AL123" s="405">
        <f t="shared" ca="1" si="990"/>
        <v>0</v>
      </c>
      <c r="AM123" s="405">
        <f t="shared" ca="1" si="990"/>
        <v>0</v>
      </c>
      <c r="AN123" s="405">
        <f t="shared" ca="1" si="990"/>
        <v>0</v>
      </c>
      <c r="AO123" s="405">
        <f t="shared" ca="1" si="990"/>
        <v>0</v>
      </c>
      <c r="AP123" s="405">
        <f t="shared" ca="1" si="990"/>
        <v>0</v>
      </c>
      <c r="AQ123" s="405">
        <f t="shared" ca="1" si="990"/>
        <v>0</v>
      </c>
      <c r="AR123" s="405">
        <f t="shared" ca="1" si="990"/>
        <v>0</v>
      </c>
      <c r="AS123" s="405">
        <f t="shared" ca="1" si="990"/>
        <v>0</v>
      </c>
      <c r="AT123" s="405">
        <f t="shared" ca="1" si="990"/>
        <v>0</v>
      </c>
      <c r="AU123" s="405">
        <f t="shared" ca="1" si="990"/>
        <v>0</v>
      </c>
      <c r="AV123" s="405">
        <f t="shared" ca="1" si="990"/>
        <v>0</v>
      </c>
      <c r="AW123" s="405">
        <f t="shared" ca="1" si="990"/>
        <v>0</v>
      </c>
      <c r="AX123" s="405">
        <f t="shared" ca="1" si="990"/>
        <v>0</v>
      </c>
      <c r="AY123" s="405">
        <f t="shared" ca="1" si="990"/>
        <v>0</v>
      </c>
      <c r="AZ123" s="405">
        <f t="shared" ca="1" si="990"/>
        <v>0</v>
      </c>
      <c r="BA123" s="405">
        <f t="shared" ca="1" si="990"/>
        <v>0</v>
      </c>
      <c r="BB123" s="405">
        <f t="shared" ca="1" si="990"/>
        <v>0</v>
      </c>
      <c r="BC123" s="405">
        <f t="shared" ca="1" si="990"/>
        <v>0</v>
      </c>
      <c r="BD123" s="405">
        <f t="shared" ca="1" si="990"/>
        <v>0</v>
      </c>
      <c r="BE123" s="405">
        <f t="shared" ca="1" si="990"/>
        <v>0</v>
      </c>
      <c r="BF123" s="405">
        <f t="shared" ca="1" si="990"/>
        <v>0</v>
      </c>
      <c r="BG123" s="405">
        <f t="shared" ca="1" si="990"/>
        <v>0</v>
      </c>
      <c r="BH123" s="405">
        <f t="shared" ca="1" si="990"/>
        <v>0</v>
      </c>
      <c r="BI123" s="405">
        <f t="shared" ca="1" si="990"/>
        <v>0</v>
      </c>
      <c r="BJ123" s="405">
        <f t="shared" ca="1" si="990"/>
        <v>0</v>
      </c>
      <c r="BK123" s="405">
        <f t="shared" ca="1" si="990"/>
        <v>0</v>
      </c>
      <c r="BL123" s="405">
        <f t="shared" ca="1" si="990"/>
        <v>0</v>
      </c>
      <c r="BM123" s="405">
        <f t="shared" ca="1" si="990"/>
        <v>0</v>
      </c>
      <c r="BN123" s="405">
        <f t="shared" ca="1" si="990"/>
        <v>0</v>
      </c>
      <c r="BO123" s="405">
        <f t="shared" ca="1" si="990"/>
        <v>0</v>
      </c>
      <c r="BP123" s="405">
        <f t="shared" ca="1" si="990"/>
        <v>0</v>
      </c>
      <c r="BQ123" s="405">
        <f t="shared" ca="1" si="990"/>
        <v>0</v>
      </c>
      <c r="BR123" s="405">
        <f t="shared" ca="1" si="990"/>
        <v>0</v>
      </c>
      <c r="BS123" s="405">
        <f t="shared" ca="1" si="990"/>
        <v>0</v>
      </c>
      <c r="BT123" s="405">
        <f t="shared" ca="1" si="990"/>
        <v>0</v>
      </c>
      <c r="BU123" s="405">
        <f t="shared" ca="1" si="990"/>
        <v>0</v>
      </c>
      <c r="BV123" s="405">
        <f t="shared" ref="BV123:CL123" ca="1" si="991">IFERROR((BV121*BV117)/1000,0)</f>
        <v>0</v>
      </c>
      <c r="BW123" s="405">
        <f t="shared" ca="1" si="991"/>
        <v>0</v>
      </c>
      <c r="BX123" s="405">
        <f t="shared" ca="1" si="991"/>
        <v>0</v>
      </c>
      <c r="BY123" s="405">
        <f t="shared" ca="1" si="991"/>
        <v>0</v>
      </c>
      <c r="BZ123" s="405">
        <f t="shared" ca="1" si="991"/>
        <v>0</v>
      </c>
      <c r="CA123" s="405">
        <f t="shared" ca="1" si="991"/>
        <v>0</v>
      </c>
      <c r="CB123" s="405">
        <f t="shared" ca="1" si="991"/>
        <v>0</v>
      </c>
      <c r="CC123" s="405">
        <f t="shared" ca="1" si="991"/>
        <v>0</v>
      </c>
      <c r="CD123" s="405">
        <f t="shared" ca="1" si="991"/>
        <v>0</v>
      </c>
      <c r="CE123" s="405">
        <f t="shared" ca="1" si="991"/>
        <v>0</v>
      </c>
      <c r="CF123" s="405">
        <f t="shared" ca="1" si="991"/>
        <v>0</v>
      </c>
      <c r="CG123" s="405">
        <f t="shared" ca="1" si="991"/>
        <v>0</v>
      </c>
      <c r="CH123" s="405">
        <f t="shared" ca="1" si="991"/>
        <v>0</v>
      </c>
      <c r="CI123" s="405">
        <f t="shared" ca="1" si="991"/>
        <v>0</v>
      </c>
      <c r="CJ123" s="405">
        <f t="shared" ca="1" si="991"/>
        <v>0</v>
      </c>
      <c r="CK123" s="405">
        <f t="shared" ca="1" si="991"/>
        <v>0</v>
      </c>
      <c r="CL123" s="405">
        <f t="shared" ca="1" si="991"/>
        <v>0</v>
      </c>
      <c r="CN123" s="406" t="str">
        <f ca="1">IFERROR((Y123/H123)^(1/17)-1,"")</f>
        <v/>
      </c>
      <c r="CO123" s="406" t="str">
        <f ca="1">IFERROR((AN123/Y123)^(1/15)-1,"")</f>
        <v/>
      </c>
      <c r="CP123" s="406" t="str">
        <f ca="1">IFERROR((AN123/H123)^(1/32)-1,"")</f>
        <v/>
      </c>
    </row>
    <row r="124" spans="1:94" hidden="1" outlineLevel="1">
      <c r="A124" s="414" t="s">
        <v>382</v>
      </c>
      <c r="B124" s="414" t="s">
        <v>384</v>
      </c>
      <c r="C124" s="414"/>
      <c r="D124" s="414"/>
      <c r="E124" s="415" t="e">
        <f t="shared" ref="E124" si="992">IF($B$6="ON",IF(E110=covid_start-1,E113,IF(E110=covid_recovery,E113,IF(E110&gt;=covid_start,IF(E110&lt;covid_recovery,D124-(INDEX($E110:$CH123,4,MATCH(covid_start-1,$E110:$CL110,0))-INDEX($E110:$CL123,4,MATCH(covid_recovery,$E110:$CL110,0)))/(covid_recovery-covid_start+1),NA()),NA()))),NA())</f>
        <v>#N/A</v>
      </c>
      <c r="F124" s="415" t="e">
        <f t="shared" ref="F124" si="993">IF($B$6="ON",IF(F110=covid_start-1,F113,IF(F110=covid_recovery,F113,IF(F110&gt;=covid_start,IF(F110&lt;covid_recovery,E124-(INDEX($E110:$CH123,4,MATCH(covid_start-1,$E110:$CL110,0))-INDEX($E110:$CL123,4,MATCH(covid_recovery,$E110:$CL110,0)))/(covid_recovery-covid_start+1),NA()),NA()))),NA())</f>
        <v>#N/A</v>
      </c>
      <c r="G124" s="415" t="e">
        <f t="shared" ref="G124" si="994">IF($B$6="ON",IF(G110=covid_start-1,G113,IF(G110=covid_recovery,G113,IF(G110&gt;=covid_start,IF(G110&lt;covid_recovery,F124-(INDEX($E110:$CH123,4,MATCH(covid_start-1,$E110:$CL110,0))-INDEX($E110:$CL123,4,MATCH(covid_recovery,$E110:$CL110,0)))/(covid_recovery-covid_start+1),NA()),NA()))),NA())</f>
        <v>#N/A</v>
      </c>
      <c r="H124" s="415" t="e">
        <f t="shared" ref="H124" si="995">IF($B$6="ON",IF(H110=covid_start-1,H113,IF(H110=covid_recovery,H113,IF(H110&gt;=covid_start,IF(H110&lt;covid_recovery,G124-(INDEX($E110:$CH123,4,MATCH(covid_start-1,$E110:$CL110,0))-INDEX($E110:$CL123,4,MATCH(covid_recovery,$E110:$CL110,0)))/(covid_recovery-covid_start+1),NA()),NA()))),NA())</f>
        <v>#N/A</v>
      </c>
      <c r="I124" s="415">
        <f t="shared" ref="I124" ca="1" si="996">IF($B$6="ON",IF(I110=covid_start-1,I113,IF(I110=covid_recovery,I113,IF(I110&gt;=covid_start,IF(I110&lt;covid_recovery,H124-(INDEX($E110:$CH123,4,MATCH(covid_start-1,$E110:$CL110,0))-INDEX($E110:$CL123,4,MATCH(covid_recovery,$E110:$CL110,0)))/(covid_recovery-covid_start+1),NA()),NA()))),NA())</f>
        <v>0</v>
      </c>
      <c r="J124" s="415">
        <f t="shared" ref="J124" ca="1" si="997">IF($B$6="ON",IF(J110=covid_start-1,J113,IF(J110=covid_recovery,J113,IF(J110&gt;=covid_start,IF(J110&lt;covid_recovery,I124-(INDEX($E110:$CH123,4,MATCH(covid_start-1,$E110:$CL110,0))-INDEX($E110:$CL123,4,MATCH(covid_recovery,$E110:$CL110,0)))/(covid_recovery-covid_start+1),NA()),NA()))),NA())</f>
        <v>0</v>
      </c>
      <c r="K124" s="415">
        <f t="shared" ref="K124" ca="1" si="998">IF($B$6="ON",IF(K110=covid_start-1,K113,IF(K110=covid_recovery,K113,IF(K110&gt;=covid_start,IF(K110&lt;covid_recovery,J124-(INDEX($E110:$CH123,4,MATCH(covid_start-1,$E110:$CL110,0))-INDEX($E110:$CL123,4,MATCH(covid_recovery,$E110:$CL110,0)))/(covid_recovery-covid_start+1),NA()),NA()))),NA())</f>
        <v>0</v>
      </c>
      <c r="L124" s="415">
        <f t="shared" ref="L124" ca="1" si="999">IF($B$6="ON",IF(L110=covid_start-1,L113,IF(L110=covid_recovery,L113,IF(L110&gt;=covid_start,IF(L110&lt;covid_recovery,K124-(INDEX($E110:$CH123,4,MATCH(covid_start-1,$E110:$CL110,0))-INDEX($E110:$CL123,4,MATCH(covid_recovery,$E110:$CL110,0)))/(covid_recovery-covid_start+1),NA()),NA()))),NA())</f>
        <v>0</v>
      </c>
      <c r="M124" s="415">
        <f t="shared" ref="M124" ca="1" si="1000">IF($B$6="ON",IF(M110=covid_start-1,M113,IF(M110=covid_recovery,M113,IF(M110&gt;=covid_start,IF(M110&lt;covid_recovery,L124-(INDEX($E110:$CH123,4,MATCH(covid_start-1,$E110:$CL110,0))-INDEX($E110:$CL123,4,MATCH(covid_recovery,$E110:$CL110,0)))/(covid_recovery-covid_start+1),NA()),NA()))),NA())</f>
        <v>0</v>
      </c>
      <c r="N124" s="415" t="e">
        <f t="shared" ref="N124" si="1001">IF($B$6="ON",IF(N110=covid_start-1,N113,IF(N110=covid_recovery,N113,IF(N110&gt;=covid_start,IF(N110&lt;covid_recovery,M124-(INDEX($E110:$CH123,4,MATCH(covid_start-1,$E110:$CL110,0))-INDEX($E110:$CL123,4,MATCH(covid_recovery,$E110:$CL110,0)))/(covid_recovery-covid_start+1),NA()),NA()))),NA())</f>
        <v>#N/A</v>
      </c>
      <c r="O124" s="415" t="e">
        <f t="shared" ref="O124" si="1002">IF($B$6="ON",IF(O110=covid_start-1,O113,IF(O110=covid_recovery,O113,IF(O110&gt;=covid_start,IF(O110&lt;covid_recovery,N124-(INDEX($E110:$CH123,4,MATCH(covid_start-1,$E110:$CL110,0))-INDEX($E110:$CL123,4,MATCH(covid_recovery,$E110:$CL110,0)))/(covid_recovery-covid_start+1),NA()),NA()))),NA())</f>
        <v>#N/A</v>
      </c>
      <c r="P124" s="415" t="e">
        <f t="shared" ref="P124" si="1003">IF($B$6="ON",IF(P110=covid_start-1,P113,IF(P110=covid_recovery,P113,IF(P110&gt;=covid_start,IF(P110&lt;covid_recovery,O124-(INDEX($E110:$CH123,4,MATCH(covid_start-1,$E110:$CL110,0))-INDEX($E110:$CL123,4,MATCH(covid_recovery,$E110:$CL110,0)))/(covid_recovery-covid_start+1),NA()),NA()))),NA())</f>
        <v>#N/A</v>
      </c>
      <c r="Q124" s="415" t="e">
        <f t="shared" ref="Q124" si="1004">IF($B$6="ON",IF(Q110=covid_start-1,Q113,IF(Q110=covid_recovery,Q113,IF(Q110&gt;=covid_start,IF(Q110&lt;covid_recovery,P124-(INDEX($E110:$CH123,4,MATCH(covid_start-1,$E110:$CL110,0))-INDEX($E110:$CL123,4,MATCH(covid_recovery,$E110:$CL110,0)))/(covid_recovery-covid_start+1),NA()),NA()))),NA())</f>
        <v>#N/A</v>
      </c>
      <c r="R124" s="415" t="e">
        <f t="shared" ref="R124" si="1005">IF($B$6="ON",IF(R110=covid_start-1,R113,IF(R110=covid_recovery,R113,IF(R110&gt;=covid_start,IF(R110&lt;covid_recovery,Q124-(INDEX($E110:$CH123,4,MATCH(covid_start-1,$E110:$CL110,0))-INDEX($E110:$CL123,4,MATCH(covid_recovery,$E110:$CL110,0)))/(covid_recovery-covid_start+1),NA()),NA()))),NA())</f>
        <v>#N/A</v>
      </c>
      <c r="S124" s="415" t="e">
        <f t="shared" ref="S124" si="1006">IF($B$6="ON",IF(S110=covid_start-1,S113,IF(S110=covid_recovery,S113,IF(S110&gt;=covid_start,IF(S110&lt;covid_recovery,R124-(INDEX($E110:$CH123,4,MATCH(covid_start-1,$E110:$CL110,0))-INDEX($E110:$CL123,4,MATCH(covid_recovery,$E110:$CL110,0)))/(covid_recovery-covid_start+1),NA()),NA()))),NA())</f>
        <v>#N/A</v>
      </c>
      <c r="T124" s="415" t="e">
        <f t="shared" ref="T124" si="1007">IF($B$6="ON",IF(T110=covid_start-1,T113,IF(T110=covid_recovery,T113,IF(T110&gt;=covid_start,IF(T110&lt;covid_recovery,S124-(INDEX($E110:$CH123,4,MATCH(covid_start-1,$E110:$CL110,0))-INDEX($E110:$CL123,4,MATCH(covid_recovery,$E110:$CL110,0)))/(covid_recovery-covid_start+1),NA()),NA()))),NA())</f>
        <v>#N/A</v>
      </c>
      <c r="U124" s="415" t="e">
        <f t="shared" ref="U124" si="1008">IF($B$6="ON",IF(U110=covid_start-1,U113,IF(U110=covid_recovery,U113,IF(U110&gt;=covid_start,IF(U110&lt;covid_recovery,T124-(INDEX($E110:$CH123,4,MATCH(covid_start-1,$E110:$CL110,0))-INDEX($E110:$CL123,4,MATCH(covid_recovery,$E110:$CL110,0)))/(covid_recovery-covid_start+1),NA()),NA()))),NA())</f>
        <v>#N/A</v>
      </c>
      <c r="V124" s="415" t="e">
        <f t="shared" ref="V124" si="1009">IF($B$6="ON",IF(V110=covid_start-1,V113,IF(V110=covid_recovery,V113,IF(V110&gt;=covid_start,IF(V110&lt;covid_recovery,U124-(INDEX($E110:$CH123,4,MATCH(covid_start-1,$E110:$CL110,0))-INDEX($E110:$CL123,4,MATCH(covid_recovery,$E110:$CL110,0)))/(covid_recovery-covid_start+1),NA()),NA()))),NA())</f>
        <v>#N/A</v>
      </c>
      <c r="W124" s="415" t="e">
        <f t="shared" ref="W124" si="1010">IF($B$6="ON",IF(W110=covid_start-1,W113,IF(W110=covid_recovery,W113,IF(W110&gt;=covid_start,IF(W110&lt;covid_recovery,V124-(INDEX($E110:$CH123,4,MATCH(covid_start-1,$E110:$CL110,0))-INDEX($E110:$CL123,4,MATCH(covid_recovery,$E110:$CL110,0)))/(covid_recovery-covid_start+1),NA()),NA()))),NA())</f>
        <v>#N/A</v>
      </c>
      <c r="X124" s="415" t="e">
        <f t="shared" ref="X124" si="1011">IF($B$6="ON",IF(X110=covid_start-1,X113,IF(X110=covid_recovery,X113,IF(X110&gt;=covid_start,IF(X110&lt;covid_recovery,W124-(INDEX($E110:$CH123,4,MATCH(covid_start-1,$E110:$CL110,0))-INDEX($E110:$CL123,4,MATCH(covid_recovery,$E110:$CL110,0)))/(covid_recovery-covid_start+1),NA()),NA()))),NA())</f>
        <v>#N/A</v>
      </c>
      <c r="Y124" s="415" t="e">
        <f t="shared" ref="Y124" si="1012">IF($B$6="ON",IF(Y110=covid_start-1,Y113,IF(Y110=covid_recovery,Y113,IF(Y110&gt;=covid_start,IF(Y110&lt;covid_recovery,X124-(INDEX($E110:$CH123,4,MATCH(covid_start-1,$E110:$CL110,0))-INDEX($E110:$CL123,4,MATCH(covid_recovery,$E110:$CL110,0)))/(covid_recovery-covid_start+1),NA()),NA()))),NA())</f>
        <v>#N/A</v>
      </c>
      <c r="Z124" s="415" t="e">
        <f t="shared" ref="Z124" si="1013">IF($B$6="ON",IF(Z110=covid_start-1,Z113,IF(Z110=covid_recovery,Z113,IF(Z110&gt;=covid_start,IF(Z110&lt;covid_recovery,Y124-(INDEX($E110:$CH123,4,MATCH(covid_start-1,$E110:$CL110,0))-INDEX($E110:$CL123,4,MATCH(covid_recovery,$E110:$CL110,0)))/(covid_recovery-covid_start+1),NA()),NA()))),NA())</f>
        <v>#N/A</v>
      </c>
      <c r="AA124" s="415" t="e">
        <f t="shared" ref="AA124" si="1014">IF($B$6="ON",IF(AA110=covid_start-1,AA113,IF(AA110=covid_recovery,AA113,IF(AA110&gt;=covid_start,IF(AA110&lt;covid_recovery,Z124-(INDEX($E110:$CH123,4,MATCH(covid_start-1,$E110:$CL110,0))-INDEX($E110:$CL123,4,MATCH(covid_recovery,$E110:$CL110,0)))/(covid_recovery-covid_start+1),NA()),NA()))),NA())</f>
        <v>#N/A</v>
      </c>
      <c r="AB124" s="415" t="e">
        <f t="shared" ref="AB124" si="1015">IF($B$6="ON",IF(AB110=covid_start-1,AB113,IF(AB110=covid_recovery,AB113,IF(AB110&gt;=covid_start,IF(AB110&lt;covid_recovery,AA124-(INDEX($E110:$CH123,4,MATCH(covid_start-1,$E110:$CL110,0))-INDEX($E110:$CL123,4,MATCH(covid_recovery,$E110:$CL110,0)))/(covid_recovery-covid_start+1),NA()),NA()))),NA())</f>
        <v>#N/A</v>
      </c>
      <c r="AC124" s="415" t="e">
        <f t="shared" ref="AC124" si="1016">IF($B$6="ON",IF(AC110=covid_start-1,AC113,IF(AC110=covid_recovery,AC113,IF(AC110&gt;=covid_start,IF(AC110&lt;covid_recovery,AB124-(INDEX($E110:$CH123,4,MATCH(covid_start-1,$E110:$CL110,0))-INDEX($E110:$CL123,4,MATCH(covid_recovery,$E110:$CL110,0)))/(covid_recovery-covid_start+1),NA()),NA()))),NA())</f>
        <v>#N/A</v>
      </c>
      <c r="AD124" s="415" t="e">
        <f t="shared" ref="AD124" si="1017">IF($B$6="ON",IF(AD110=covid_start-1,AD113,IF(AD110=covid_recovery,AD113,IF(AD110&gt;=covid_start,IF(AD110&lt;covid_recovery,AC124-(INDEX($E110:$CH123,4,MATCH(covid_start-1,$E110:$CL110,0))-INDEX($E110:$CL123,4,MATCH(covid_recovery,$E110:$CL110,0)))/(covid_recovery-covid_start+1),NA()),NA()))),NA())</f>
        <v>#N/A</v>
      </c>
      <c r="AE124" s="415" t="e">
        <f t="shared" ref="AE124" si="1018">IF($B$6="ON",IF(AE110=covid_start-1,AE113,IF(AE110=covid_recovery,AE113,IF(AE110&gt;=covid_start,IF(AE110&lt;covid_recovery,AD124-(INDEX($E110:$CH123,4,MATCH(covid_start-1,$E110:$CL110,0))-INDEX($E110:$CL123,4,MATCH(covid_recovery,$E110:$CL110,0)))/(covid_recovery-covid_start+1),NA()),NA()))),NA())</f>
        <v>#N/A</v>
      </c>
      <c r="AF124" s="415" t="e">
        <f t="shared" ref="AF124" si="1019">IF($B$6="ON",IF(AF110=covid_start-1,AF113,IF(AF110=covid_recovery,AF113,IF(AF110&gt;=covid_start,IF(AF110&lt;covid_recovery,AE124-(INDEX($E110:$CH123,4,MATCH(covid_start-1,$E110:$CL110,0))-INDEX($E110:$CL123,4,MATCH(covid_recovery,$E110:$CL110,0)))/(covid_recovery-covid_start+1),NA()),NA()))),NA())</f>
        <v>#N/A</v>
      </c>
      <c r="AG124" s="415" t="e">
        <f t="shared" ref="AG124" si="1020">IF($B$6="ON",IF(AG110=covid_start-1,AG113,IF(AG110=covid_recovery,AG113,IF(AG110&gt;=covid_start,IF(AG110&lt;covid_recovery,AF124-(INDEX($E110:$CH123,4,MATCH(covid_start-1,$E110:$CL110,0))-INDEX($E110:$CL123,4,MATCH(covid_recovery,$E110:$CL110,0)))/(covid_recovery-covid_start+1),NA()),NA()))),NA())</f>
        <v>#N/A</v>
      </c>
      <c r="AH124" s="415" t="e">
        <f t="shared" ref="AH124" si="1021">IF($B$6="ON",IF(AH110=covid_start-1,AH113,IF(AH110=covid_recovery,AH113,IF(AH110&gt;=covid_start,IF(AH110&lt;covid_recovery,AG124-(INDEX($E110:$CH123,4,MATCH(covid_start-1,$E110:$CL110,0))-INDEX($E110:$CL123,4,MATCH(covid_recovery,$E110:$CL110,0)))/(covid_recovery-covid_start+1),NA()),NA()))),NA())</f>
        <v>#N/A</v>
      </c>
      <c r="AI124" s="415" t="e">
        <f t="shared" ref="AI124" si="1022">IF($B$6="ON",IF(AI110=covid_start-1,AI113,IF(AI110=covid_recovery,AI113,IF(AI110&gt;=covid_start,IF(AI110&lt;covid_recovery,AH124-(INDEX($E110:$CH123,4,MATCH(covid_start-1,$E110:$CL110,0))-INDEX($E110:$CL123,4,MATCH(covid_recovery,$E110:$CL110,0)))/(covid_recovery-covid_start+1),NA()),NA()))),NA())</f>
        <v>#N/A</v>
      </c>
      <c r="AJ124" s="415" t="e">
        <f t="shared" ref="AJ124" si="1023">IF($B$6="ON",IF(AJ110=covid_start-1,AJ113,IF(AJ110=covid_recovery,AJ113,IF(AJ110&gt;=covid_start,IF(AJ110&lt;covid_recovery,AI124-(INDEX($E110:$CH123,4,MATCH(covid_start-1,$E110:$CL110,0))-INDEX($E110:$CL123,4,MATCH(covid_recovery,$E110:$CL110,0)))/(covid_recovery-covid_start+1),NA()),NA()))),NA())</f>
        <v>#N/A</v>
      </c>
      <c r="AK124" s="415" t="e">
        <f t="shared" ref="AK124" si="1024">IF($B$6="ON",IF(AK110=covid_start-1,AK113,IF(AK110=covid_recovery,AK113,IF(AK110&gt;=covid_start,IF(AK110&lt;covid_recovery,AJ124-(INDEX($E110:$CH123,4,MATCH(covid_start-1,$E110:$CL110,0))-INDEX($E110:$CL123,4,MATCH(covid_recovery,$E110:$CL110,0)))/(covid_recovery-covid_start+1),NA()),NA()))),NA())</f>
        <v>#N/A</v>
      </c>
      <c r="AL124" s="415" t="e">
        <f t="shared" ref="AL124" si="1025">IF($B$6="ON",IF(AL110=covid_start-1,AL113,IF(AL110=covid_recovery,AL113,IF(AL110&gt;=covid_start,IF(AL110&lt;covid_recovery,AK124-(INDEX($E110:$CH123,4,MATCH(covid_start-1,$E110:$CL110,0))-INDEX($E110:$CL123,4,MATCH(covid_recovery,$E110:$CL110,0)))/(covid_recovery-covid_start+1),NA()),NA()))),NA())</f>
        <v>#N/A</v>
      </c>
      <c r="AM124" s="415" t="e">
        <f t="shared" ref="AM124" si="1026">IF($B$6="ON",IF(AM110=covid_start-1,AM113,IF(AM110=covid_recovery,AM113,IF(AM110&gt;=covid_start,IF(AM110&lt;covid_recovery,AL124-(INDEX($E110:$CH123,4,MATCH(covid_start-1,$E110:$CL110,0))-INDEX($E110:$CL123,4,MATCH(covid_recovery,$E110:$CL110,0)))/(covid_recovery-covid_start+1),NA()),NA()))),NA())</f>
        <v>#N/A</v>
      </c>
      <c r="AN124" s="415" t="e">
        <f t="shared" ref="AN124" si="1027">IF($B$6="ON",IF(AN110=covid_start-1,AN113,IF(AN110=covid_recovery,AN113,IF(AN110&gt;=covid_start,IF(AN110&lt;covid_recovery,AM124-(INDEX($E110:$CH123,4,MATCH(covid_start-1,$E110:$CL110,0))-INDEX($E110:$CL123,4,MATCH(covid_recovery,$E110:$CL110,0)))/(covid_recovery-covid_start+1),NA()),NA()))),NA())</f>
        <v>#N/A</v>
      </c>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A124" s="407"/>
      <c r="CB124" s="407"/>
      <c r="CC124" s="407"/>
      <c r="CD124" s="407"/>
      <c r="CE124" s="407"/>
      <c r="CF124" s="407"/>
      <c r="CG124" s="407"/>
      <c r="CH124" s="407"/>
      <c r="CI124" s="407"/>
      <c r="CJ124" s="407"/>
      <c r="CK124" s="407"/>
      <c r="CL124" s="407"/>
      <c r="CN124" s="416" t="str">
        <f t="shared" ref="CN124:CN125" si="1028">IFERROR((Y124/H124)^(1/17)-1,"")</f>
        <v/>
      </c>
      <c r="CO124" s="416" t="str">
        <f t="shared" ref="CO124:CO125" si="1029">IFERROR((AN124/Y124)^(1/15)-1,"")</f>
        <v/>
      </c>
      <c r="CP124" s="416" t="str">
        <f t="shared" ref="CP124:CP125" si="1030">IFERROR((AN124/H124)^(1/32)-1,"")</f>
        <v/>
      </c>
    </row>
    <row r="125" spans="1:94" hidden="1" outlineLevel="1">
      <c r="A125" s="400" t="s">
        <v>383</v>
      </c>
      <c r="B125" s="400" t="s">
        <v>384</v>
      </c>
      <c r="C125" s="400"/>
      <c r="D125" s="400"/>
      <c r="E125" s="407" t="e">
        <f t="shared" ref="E125" si="1031">IF($B$6="ON",IF(E110=covid_start-1,E121,IF(E110=covid_recovery,E121,IF(E110&gt;=covid_start,IF(E110&lt;covid_recovery,D125-(INDEX($E110:$CH123,12,MATCH(covid_start-1,$E110:$CL110,0))-INDEX($E110:$CL123,12,MATCH(covid_recovery,$E110:$CL110,0)))/(covid_recovery-covid_start+1),NA()),NA()))),NA())</f>
        <v>#N/A</v>
      </c>
      <c r="F125" s="407" t="e">
        <f t="shared" ref="F125" si="1032">IF($B$6="ON",IF(F110=covid_start-1,F121,IF(F110=covid_recovery,F121,IF(F110&gt;=covid_start,IF(F110&lt;covid_recovery,E125-(INDEX($E110:$CH123,12,MATCH(covid_start-1,$E110:$CL110,0))-INDEX($E110:$CL123,12,MATCH(covid_recovery,$E110:$CL110,0)))/(covid_recovery-covid_start+1),NA()),NA()))),NA())</f>
        <v>#N/A</v>
      </c>
      <c r="G125" s="407" t="e">
        <f t="shared" ref="G125" si="1033">IF($B$6="ON",IF(G110=covid_start-1,G121,IF(G110=covid_recovery,G121,IF(G110&gt;=covid_start,IF(G110&lt;covid_recovery,F125-(INDEX($E110:$CH123,12,MATCH(covid_start-1,$E110:$CL110,0))-INDEX($E110:$CL123,12,MATCH(covid_recovery,$E110:$CL110,0)))/(covid_recovery-covid_start+1),NA()),NA()))),NA())</f>
        <v>#N/A</v>
      </c>
      <c r="H125" s="407" t="e">
        <f t="shared" ref="H125" si="1034">IF($B$6="ON",IF(H110=covid_start-1,H121,IF(H110=covid_recovery,H121,IF(H110&gt;=covid_start,IF(H110&lt;covid_recovery,G125-(INDEX($E110:$CH123,12,MATCH(covid_start-1,$E110:$CL110,0))-INDEX($E110:$CL123,12,MATCH(covid_recovery,$E110:$CL110,0)))/(covid_recovery-covid_start+1),NA()),NA()))),NA())</f>
        <v>#N/A</v>
      </c>
      <c r="I125" s="407">
        <f t="shared" ref="I125" ca="1" si="1035">IF($B$6="ON",IF(I110=covid_start-1,I121,IF(I110=covid_recovery,I121,IF(I110&gt;=covid_start,IF(I110&lt;covid_recovery,H125-(INDEX($E110:$CH123,12,MATCH(covid_start-1,$E110:$CL110,0))-INDEX($E110:$CL123,12,MATCH(covid_recovery,$E110:$CL110,0)))/(covid_recovery-covid_start+1),NA()),NA()))),NA())</f>
        <v>0</v>
      </c>
      <c r="J125" s="407">
        <f t="shared" ref="J125" ca="1" si="1036">IF($B$6="ON",IF(J110=covid_start-1,J121,IF(J110=covid_recovery,J121,IF(J110&gt;=covid_start,IF(J110&lt;covid_recovery,I125-(INDEX($E110:$CH123,12,MATCH(covid_start-1,$E110:$CL110,0))-INDEX($E110:$CL123,12,MATCH(covid_recovery,$E110:$CL110,0)))/(covid_recovery-covid_start+1),NA()),NA()))),NA())</f>
        <v>0</v>
      </c>
      <c r="K125" s="407">
        <f t="shared" ref="K125" ca="1" si="1037">IF($B$6="ON",IF(K110=covid_start-1,K121,IF(K110=covid_recovery,K121,IF(K110&gt;=covid_start,IF(K110&lt;covid_recovery,J125-(INDEX($E110:$CH123,12,MATCH(covid_start-1,$E110:$CL110,0))-INDEX($E110:$CL123,12,MATCH(covid_recovery,$E110:$CL110,0)))/(covid_recovery-covid_start+1),NA()),NA()))),NA())</f>
        <v>0</v>
      </c>
      <c r="L125" s="407">
        <f t="shared" ref="L125" ca="1" si="1038">IF($B$6="ON",IF(L110=covid_start-1,L121,IF(L110=covid_recovery,L121,IF(L110&gt;=covid_start,IF(L110&lt;covid_recovery,K125-(INDEX($E110:$CH123,12,MATCH(covid_start-1,$E110:$CL110,0))-INDEX($E110:$CL123,12,MATCH(covid_recovery,$E110:$CL110,0)))/(covid_recovery-covid_start+1),NA()),NA()))),NA())</f>
        <v>0</v>
      </c>
      <c r="M125" s="407">
        <f t="shared" ref="M125" ca="1" si="1039">IF($B$6="ON",IF(M110=covid_start-1,M121,IF(M110=covid_recovery,M121,IF(M110&gt;=covid_start,IF(M110&lt;covid_recovery,L125-(INDEX($E110:$CH123,12,MATCH(covid_start-1,$E110:$CL110,0))-INDEX($E110:$CL123,12,MATCH(covid_recovery,$E110:$CL110,0)))/(covid_recovery-covid_start+1),NA()),NA()))),NA())</f>
        <v>0</v>
      </c>
      <c r="N125" s="407" t="e">
        <f t="shared" ref="N125" si="1040">IF($B$6="ON",IF(N110=covid_start-1,N121,IF(N110=covid_recovery,N121,IF(N110&gt;=covid_start,IF(N110&lt;covid_recovery,M125-(INDEX($E110:$CH123,12,MATCH(covid_start-1,$E110:$CL110,0))-INDEX($E110:$CL123,12,MATCH(covid_recovery,$E110:$CL110,0)))/(covid_recovery-covid_start+1),NA()),NA()))),NA())</f>
        <v>#N/A</v>
      </c>
      <c r="O125" s="407" t="e">
        <f t="shared" ref="O125" si="1041">IF($B$6="ON",IF(O110=covid_start-1,O121,IF(O110=covid_recovery,O121,IF(O110&gt;=covid_start,IF(O110&lt;covid_recovery,N125-(INDEX($E110:$CH123,12,MATCH(covid_start-1,$E110:$CL110,0))-INDEX($E110:$CL123,12,MATCH(covid_recovery,$E110:$CL110,0)))/(covid_recovery-covid_start+1),NA()),NA()))),NA())</f>
        <v>#N/A</v>
      </c>
      <c r="P125" s="407" t="e">
        <f t="shared" ref="P125" si="1042">IF($B$6="ON",IF(P110=covid_start-1,P121,IF(P110=covid_recovery,P121,IF(P110&gt;=covid_start,IF(P110&lt;covid_recovery,O125-(INDEX($E110:$CH123,12,MATCH(covid_start-1,$E110:$CL110,0))-INDEX($E110:$CL123,12,MATCH(covid_recovery,$E110:$CL110,0)))/(covid_recovery-covid_start+1),NA()),NA()))),NA())</f>
        <v>#N/A</v>
      </c>
      <c r="Q125" s="407" t="e">
        <f t="shared" ref="Q125" si="1043">IF($B$6="ON",IF(Q110=covid_start-1,Q121,IF(Q110=covid_recovery,Q121,IF(Q110&gt;=covid_start,IF(Q110&lt;covid_recovery,P125-(INDEX($E110:$CH123,12,MATCH(covid_start-1,$E110:$CL110,0))-INDEX($E110:$CL123,12,MATCH(covid_recovery,$E110:$CL110,0)))/(covid_recovery-covid_start+1),NA()),NA()))),NA())</f>
        <v>#N/A</v>
      </c>
      <c r="R125" s="407" t="e">
        <f t="shared" ref="R125" si="1044">IF($B$6="ON",IF(R110=covid_start-1,R121,IF(R110=covid_recovery,R121,IF(R110&gt;=covid_start,IF(R110&lt;covid_recovery,Q125-(INDEX($E110:$CH123,12,MATCH(covid_start-1,$E110:$CL110,0))-INDEX($E110:$CL123,12,MATCH(covid_recovery,$E110:$CL110,0)))/(covid_recovery-covid_start+1),NA()),NA()))),NA())</f>
        <v>#N/A</v>
      </c>
      <c r="S125" s="407" t="e">
        <f t="shared" ref="S125" si="1045">IF($B$6="ON",IF(S110=covid_start-1,S121,IF(S110=covid_recovery,S121,IF(S110&gt;=covid_start,IF(S110&lt;covid_recovery,R125-(INDEX($E110:$CH123,12,MATCH(covid_start-1,$E110:$CL110,0))-INDEX($E110:$CL123,12,MATCH(covid_recovery,$E110:$CL110,0)))/(covid_recovery-covid_start+1),NA()),NA()))),NA())</f>
        <v>#N/A</v>
      </c>
      <c r="T125" s="407" t="e">
        <f t="shared" ref="T125" si="1046">IF($B$6="ON",IF(T110=covid_start-1,T121,IF(T110=covid_recovery,T121,IF(T110&gt;=covid_start,IF(T110&lt;covid_recovery,S125-(INDEX($E110:$CH123,12,MATCH(covid_start-1,$E110:$CL110,0))-INDEX($E110:$CL123,12,MATCH(covid_recovery,$E110:$CL110,0)))/(covid_recovery-covid_start+1),NA()),NA()))),NA())</f>
        <v>#N/A</v>
      </c>
      <c r="U125" s="407" t="e">
        <f t="shared" ref="U125" si="1047">IF($B$6="ON",IF(U110=covid_start-1,U121,IF(U110=covid_recovery,U121,IF(U110&gt;=covid_start,IF(U110&lt;covid_recovery,T125-(INDEX($E110:$CH123,12,MATCH(covid_start-1,$E110:$CL110,0))-INDEX($E110:$CL123,12,MATCH(covid_recovery,$E110:$CL110,0)))/(covid_recovery-covid_start+1),NA()),NA()))),NA())</f>
        <v>#N/A</v>
      </c>
      <c r="V125" s="407" t="e">
        <f t="shared" ref="V125" si="1048">IF($B$6="ON",IF(V110=covid_start-1,V121,IF(V110=covid_recovery,V121,IF(V110&gt;=covid_start,IF(V110&lt;covid_recovery,U125-(INDEX($E110:$CH123,12,MATCH(covid_start-1,$E110:$CL110,0))-INDEX($E110:$CL123,12,MATCH(covid_recovery,$E110:$CL110,0)))/(covid_recovery-covid_start+1),NA()),NA()))),NA())</f>
        <v>#N/A</v>
      </c>
      <c r="W125" s="407" t="e">
        <f t="shared" ref="W125" si="1049">IF($B$6="ON",IF(W110=covid_start-1,W121,IF(W110=covid_recovery,W121,IF(W110&gt;=covid_start,IF(W110&lt;covid_recovery,V125-(INDEX($E110:$CH123,12,MATCH(covid_start-1,$E110:$CL110,0))-INDEX($E110:$CL123,12,MATCH(covid_recovery,$E110:$CL110,0)))/(covid_recovery-covid_start+1),NA()),NA()))),NA())</f>
        <v>#N/A</v>
      </c>
      <c r="X125" s="407" t="e">
        <f t="shared" ref="X125" si="1050">IF($B$6="ON",IF(X110=covid_start-1,X121,IF(X110=covid_recovery,X121,IF(X110&gt;=covid_start,IF(X110&lt;covid_recovery,W125-(INDEX($E110:$CH123,12,MATCH(covid_start-1,$E110:$CL110,0))-INDEX($E110:$CL123,12,MATCH(covid_recovery,$E110:$CL110,0)))/(covid_recovery-covid_start+1),NA()),NA()))),NA())</f>
        <v>#N/A</v>
      </c>
      <c r="Y125" s="407" t="e">
        <f t="shared" ref="Y125" si="1051">IF($B$6="ON",IF(Y110=covid_start-1,Y121,IF(Y110=covid_recovery,Y121,IF(Y110&gt;=covid_start,IF(Y110&lt;covid_recovery,X125-(INDEX($E110:$CH123,12,MATCH(covid_start-1,$E110:$CL110,0))-INDEX($E110:$CL123,12,MATCH(covid_recovery,$E110:$CL110,0)))/(covid_recovery-covid_start+1),NA()),NA()))),NA())</f>
        <v>#N/A</v>
      </c>
      <c r="Z125" s="407" t="e">
        <f t="shared" ref="Z125" si="1052">IF($B$6="ON",IF(Z110=covid_start-1,Z121,IF(Z110=covid_recovery,Z121,IF(Z110&gt;=covid_start,IF(Z110&lt;covid_recovery,Y125-(INDEX($E110:$CH123,12,MATCH(covid_start-1,$E110:$CL110,0))-INDEX($E110:$CL123,12,MATCH(covid_recovery,$E110:$CL110,0)))/(covid_recovery-covid_start+1),NA()),NA()))),NA())</f>
        <v>#N/A</v>
      </c>
      <c r="AA125" s="407" t="e">
        <f t="shared" ref="AA125" si="1053">IF($B$6="ON",IF(AA110=covid_start-1,AA121,IF(AA110=covid_recovery,AA121,IF(AA110&gt;=covid_start,IF(AA110&lt;covid_recovery,Z125-(INDEX($E110:$CH123,12,MATCH(covid_start-1,$E110:$CL110,0))-INDEX($E110:$CL123,12,MATCH(covid_recovery,$E110:$CL110,0)))/(covid_recovery-covid_start+1),NA()),NA()))),NA())</f>
        <v>#N/A</v>
      </c>
      <c r="AB125" s="407" t="e">
        <f t="shared" ref="AB125" si="1054">IF($B$6="ON",IF(AB110=covid_start-1,AB121,IF(AB110=covid_recovery,AB121,IF(AB110&gt;=covid_start,IF(AB110&lt;covid_recovery,AA125-(INDEX($E110:$CH123,12,MATCH(covid_start-1,$E110:$CL110,0))-INDEX($E110:$CL123,12,MATCH(covid_recovery,$E110:$CL110,0)))/(covid_recovery-covid_start+1),NA()),NA()))),NA())</f>
        <v>#N/A</v>
      </c>
      <c r="AC125" s="407" t="e">
        <f t="shared" ref="AC125" si="1055">IF($B$6="ON",IF(AC110=covid_start-1,AC121,IF(AC110=covid_recovery,AC121,IF(AC110&gt;=covid_start,IF(AC110&lt;covid_recovery,AB125-(INDEX($E110:$CH123,12,MATCH(covid_start-1,$E110:$CL110,0))-INDEX($E110:$CL123,12,MATCH(covid_recovery,$E110:$CL110,0)))/(covid_recovery-covid_start+1),NA()),NA()))),NA())</f>
        <v>#N/A</v>
      </c>
      <c r="AD125" s="407" t="e">
        <f t="shared" ref="AD125" si="1056">IF($B$6="ON",IF(AD110=covid_start-1,AD121,IF(AD110=covid_recovery,AD121,IF(AD110&gt;=covid_start,IF(AD110&lt;covid_recovery,AC125-(INDEX($E110:$CH123,12,MATCH(covid_start-1,$E110:$CL110,0))-INDEX($E110:$CL123,12,MATCH(covid_recovery,$E110:$CL110,0)))/(covid_recovery-covid_start+1),NA()),NA()))),NA())</f>
        <v>#N/A</v>
      </c>
      <c r="AE125" s="407" t="e">
        <f t="shared" ref="AE125" si="1057">IF($B$6="ON",IF(AE110=covid_start-1,AE121,IF(AE110=covid_recovery,AE121,IF(AE110&gt;=covid_start,IF(AE110&lt;covid_recovery,AD125-(INDEX($E110:$CH123,12,MATCH(covid_start-1,$E110:$CL110,0))-INDEX($E110:$CL123,12,MATCH(covid_recovery,$E110:$CL110,0)))/(covid_recovery-covid_start+1),NA()),NA()))),NA())</f>
        <v>#N/A</v>
      </c>
      <c r="AF125" s="407" t="e">
        <f t="shared" ref="AF125" si="1058">IF($B$6="ON",IF(AF110=covid_start-1,AF121,IF(AF110=covid_recovery,AF121,IF(AF110&gt;=covid_start,IF(AF110&lt;covid_recovery,AE125-(INDEX($E110:$CH123,12,MATCH(covid_start-1,$E110:$CL110,0))-INDEX($E110:$CL123,12,MATCH(covid_recovery,$E110:$CL110,0)))/(covid_recovery-covid_start+1),NA()),NA()))),NA())</f>
        <v>#N/A</v>
      </c>
      <c r="AG125" s="407" t="e">
        <f t="shared" ref="AG125" si="1059">IF($B$6="ON",IF(AG110=covid_start-1,AG121,IF(AG110=covid_recovery,AG121,IF(AG110&gt;=covid_start,IF(AG110&lt;covid_recovery,AF125-(INDEX($E110:$CH123,12,MATCH(covid_start-1,$E110:$CL110,0))-INDEX($E110:$CL123,12,MATCH(covid_recovery,$E110:$CL110,0)))/(covid_recovery-covid_start+1),NA()),NA()))),NA())</f>
        <v>#N/A</v>
      </c>
      <c r="AH125" s="407" t="e">
        <f t="shared" ref="AH125" si="1060">IF($B$6="ON",IF(AH110=covid_start-1,AH121,IF(AH110=covid_recovery,AH121,IF(AH110&gt;=covid_start,IF(AH110&lt;covid_recovery,AG125-(INDEX($E110:$CH123,12,MATCH(covid_start-1,$E110:$CL110,0))-INDEX($E110:$CL123,12,MATCH(covid_recovery,$E110:$CL110,0)))/(covid_recovery-covid_start+1),NA()),NA()))),NA())</f>
        <v>#N/A</v>
      </c>
      <c r="AI125" s="407" t="e">
        <f t="shared" ref="AI125" si="1061">IF($B$6="ON",IF(AI110=covid_start-1,AI121,IF(AI110=covid_recovery,AI121,IF(AI110&gt;=covid_start,IF(AI110&lt;covid_recovery,AH125-(INDEX($E110:$CH123,12,MATCH(covid_start-1,$E110:$CL110,0))-INDEX($E110:$CL123,12,MATCH(covid_recovery,$E110:$CL110,0)))/(covid_recovery-covid_start+1),NA()),NA()))),NA())</f>
        <v>#N/A</v>
      </c>
      <c r="AJ125" s="407" t="e">
        <f t="shared" ref="AJ125" si="1062">IF($B$6="ON",IF(AJ110=covid_start-1,AJ121,IF(AJ110=covid_recovery,AJ121,IF(AJ110&gt;=covid_start,IF(AJ110&lt;covid_recovery,AI125-(INDEX($E110:$CH123,12,MATCH(covid_start-1,$E110:$CL110,0))-INDEX($E110:$CL123,12,MATCH(covid_recovery,$E110:$CL110,0)))/(covid_recovery-covid_start+1),NA()),NA()))),NA())</f>
        <v>#N/A</v>
      </c>
      <c r="AK125" s="407" t="e">
        <f t="shared" ref="AK125" si="1063">IF($B$6="ON",IF(AK110=covid_start-1,AK121,IF(AK110=covid_recovery,AK121,IF(AK110&gt;=covid_start,IF(AK110&lt;covid_recovery,AJ125-(INDEX($E110:$CH123,12,MATCH(covid_start-1,$E110:$CL110,0))-INDEX($E110:$CL123,12,MATCH(covid_recovery,$E110:$CL110,0)))/(covid_recovery-covid_start+1),NA()),NA()))),NA())</f>
        <v>#N/A</v>
      </c>
      <c r="AL125" s="407" t="e">
        <f t="shared" ref="AL125" si="1064">IF($B$6="ON",IF(AL110=covid_start-1,AL121,IF(AL110=covid_recovery,AL121,IF(AL110&gt;=covid_start,IF(AL110&lt;covid_recovery,AK125-(INDEX($E110:$CH123,12,MATCH(covid_start-1,$E110:$CL110,0))-INDEX($E110:$CL123,12,MATCH(covid_recovery,$E110:$CL110,0)))/(covid_recovery-covid_start+1),NA()),NA()))),NA())</f>
        <v>#N/A</v>
      </c>
      <c r="AM125" s="407" t="e">
        <f t="shared" ref="AM125" si="1065">IF($B$6="ON",IF(AM110=covid_start-1,AM121,IF(AM110=covid_recovery,AM121,IF(AM110&gt;=covid_start,IF(AM110&lt;covid_recovery,AL125-(INDEX($E110:$CH123,12,MATCH(covid_start-1,$E110:$CL110,0))-INDEX($E110:$CL123,12,MATCH(covid_recovery,$E110:$CL110,0)))/(covid_recovery-covid_start+1),NA()),NA()))),NA())</f>
        <v>#N/A</v>
      </c>
      <c r="AN125" s="407" t="e">
        <f t="shared" ref="AN125" si="1066">IF($B$6="ON",IF(AN110=covid_start-1,AN121,IF(AN110=covid_recovery,AN121,IF(AN110&gt;=covid_start,IF(AN110&lt;covid_recovery,AM125-(INDEX($E110:$CH123,12,MATCH(covid_start-1,$E110:$CL110,0))-INDEX($E110:$CL123,12,MATCH(covid_recovery,$E110:$CL110,0)))/(covid_recovery-covid_start+1),NA()),NA()))),NA())</f>
        <v>#N/A</v>
      </c>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A125" s="407"/>
      <c r="CB125" s="407"/>
      <c r="CC125" s="407"/>
      <c r="CD125" s="407"/>
      <c r="CE125" s="407"/>
      <c r="CF125" s="407"/>
      <c r="CG125" s="407"/>
      <c r="CH125" s="407"/>
      <c r="CI125" s="407"/>
      <c r="CJ125" s="407"/>
      <c r="CK125" s="407"/>
      <c r="CL125" s="407"/>
      <c r="CN125" s="408" t="str">
        <f t="shared" si="1028"/>
        <v/>
      </c>
      <c r="CO125" s="408" t="str">
        <f t="shared" si="1029"/>
        <v/>
      </c>
      <c r="CP125" s="408" t="str">
        <f t="shared" si="1030"/>
        <v/>
      </c>
    </row>
    <row r="126" spans="1:94" ht="17.25" hidden="1" collapsed="1" thickTop="1" thickBot="1">
      <c r="A126" s="455" t="s">
        <v>489</v>
      </c>
      <c r="B126" s="455"/>
      <c r="C126" s="455"/>
      <c r="D126" s="455"/>
      <c r="E126" s="456">
        <v>2015</v>
      </c>
      <c r="F126" s="457">
        <f>E126+1</f>
        <v>2016</v>
      </c>
      <c r="G126" s="457">
        <f t="shared" ref="G126" si="1067">F126+1</f>
        <v>2017</v>
      </c>
      <c r="H126" s="457">
        <f t="shared" ref="H126" si="1068">G126+1</f>
        <v>2018</v>
      </c>
      <c r="I126" s="457">
        <f t="shared" ref="I126" si="1069">H126+1</f>
        <v>2019</v>
      </c>
      <c r="J126" s="457">
        <f>E126+5</f>
        <v>2020</v>
      </c>
      <c r="K126" s="457">
        <f>J126+1</f>
        <v>2021</v>
      </c>
      <c r="L126" s="457">
        <f t="shared" ref="L126" si="1070">K126+1</f>
        <v>2022</v>
      </c>
      <c r="M126" s="457">
        <f t="shared" ref="M126" si="1071">L126+1</f>
        <v>2023</v>
      </c>
      <c r="N126" s="457">
        <f t="shared" ref="N126" si="1072">M126+1</f>
        <v>2024</v>
      </c>
      <c r="O126" s="457">
        <f>J126+5</f>
        <v>2025</v>
      </c>
      <c r="P126" s="457">
        <f>O126+1</f>
        <v>2026</v>
      </c>
      <c r="Q126" s="457">
        <f t="shared" ref="Q126" si="1073">P126+1</f>
        <v>2027</v>
      </c>
      <c r="R126" s="457">
        <f t="shared" ref="R126" si="1074">Q126+1</f>
        <v>2028</v>
      </c>
      <c r="S126" s="457">
        <f t="shared" ref="S126" si="1075">R126+1</f>
        <v>2029</v>
      </c>
      <c r="T126" s="457">
        <f>O126+5</f>
        <v>2030</v>
      </c>
      <c r="U126" s="457">
        <f>T126+1</f>
        <v>2031</v>
      </c>
      <c r="V126" s="457">
        <f t="shared" ref="V126" si="1076">U126+1</f>
        <v>2032</v>
      </c>
      <c r="W126" s="457">
        <f t="shared" ref="W126" si="1077">V126+1</f>
        <v>2033</v>
      </c>
      <c r="X126" s="457">
        <f t="shared" ref="X126" si="1078">W126+1</f>
        <v>2034</v>
      </c>
      <c r="Y126" s="457">
        <f>T126+5</f>
        <v>2035</v>
      </c>
      <c r="Z126" s="457">
        <f>Y126+1</f>
        <v>2036</v>
      </c>
      <c r="AA126" s="457">
        <f t="shared" ref="AA126" si="1079">Z126+1</f>
        <v>2037</v>
      </c>
      <c r="AB126" s="457">
        <f t="shared" ref="AB126" si="1080">AA126+1</f>
        <v>2038</v>
      </c>
      <c r="AC126" s="457">
        <f t="shared" ref="AC126" si="1081">AB126+1</f>
        <v>2039</v>
      </c>
      <c r="AD126" s="457">
        <f>Y126+5</f>
        <v>2040</v>
      </c>
      <c r="AE126" s="457">
        <f>AD126+1</f>
        <v>2041</v>
      </c>
      <c r="AF126" s="457">
        <f t="shared" ref="AF126" si="1082">AE126+1</f>
        <v>2042</v>
      </c>
      <c r="AG126" s="457">
        <f t="shared" ref="AG126" si="1083">AF126+1</f>
        <v>2043</v>
      </c>
      <c r="AH126" s="457">
        <f t="shared" ref="AH126" si="1084">AG126+1</f>
        <v>2044</v>
      </c>
      <c r="AI126" s="457">
        <f>AD126+5</f>
        <v>2045</v>
      </c>
      <c r="AJ126" s="457">
        <f>AI126+1</f>
        <v>2046</v>
      </c>
      <c r="AK126" s="457">
        <f t="shared" ref="AK126" si="1085">AJ126+1</f>
        <v>2047</v>
      </c>
      <c r="AL126" s="457">
        <f t="shared" ref="AL126" si="1086">AK126+1</f>
        <v>2048</v>
      </c>
      <c r="AM126" s="457">
        <f t="shared" ref="AM126" si="1087">AL126+1</f>
        <v>2049</v>
      </c>
      <c r="AN126" s="457">
        <f>AI126+5</f>
        <v>2050</v>
      </c>
      <c r="AO126" s="457">
        <f>AN126+1</f>
        <v>2051</v>
      </c>
      <c r="AP126" s="457">
        <f t="shared" ref="AP126" si="1088">AO126+1</f>
        <v>2052</v>
      </c>
      <c r="AQ126" s="457">
        <f t="shared" ref="AQ126" si="1089">AP126+1</f>
        <v>2053</v>
      </c>
      <c r="AR126" s="457">
        <f t="shared" ref="AR126" si="1090">AQ126+1</f>
        <v>2054</v>
      </c>
      <c r="AS126" s="457">
        <f>AN126+5</f>
        <v>2055</v>
      </c>
      <c r="AT126" s="457">
        <f>AS126+1</f>
        <v>2056</v>
      </c>
      <c r="AU126" s="457">
        <f t="shared" ref="AU126" si="1091">AT126+1</f>
        <v>2057</v>
      </c>
      <c r="AV126" s="457">
        <f t="shared" ref="AV126" si="1092">AU126+1</f>
        <v>2058</v>
      </c>
      <c r="AW126" s="457">
        <f t="shared" ref="AW126" si="1093">AV126+1</f>
        <v>2059</v>
      </c>
      <c r="AX126" s="457">
        <f>AS126+5</f>
        <v>2060</v>
      </c>
      <c r="AY126" s="457">
        <f>AX126+1</f>
        <v>2061</v>
      </c>
      <c r="AZ126" s="457">
        <f t="shared" ref="AZ126" si="1094">AY126+1</f>
        <v>2062</v>
      </c>
      <c r="BA126" s="457">
        <f t="shared" ref="BA126" si="1095">AZ126+1</f>
        <v>2063</v>
      </c>
      <c r="BB126" s="457">
        <f t="shared" ref="BB126" si="1096">BA126+1</f>
        <v>2064</v>
      </c>
      <c r="BC126" s="457">
        <f>AX126+5</f>
        <v>2065</v>
      </c>
      <c r="BD126" s="457">
        <f>BC126+1</f>
        <v>2066</v>
      </c>
      <c r="BE126" s="457">
        <f t="shared" ref="BE126" si="1097">BD126+1</f>
        <v>2067</v>
      </c>
      <c r="BF126" s="457">
        <f t="shared" ref="BF126" si="1098">BE126+1</f>
        <v>2068</v>
      </c>
      <c r="BG126" s="457">
        <f t="shared" ref="BG126" si="1099">BF126+1</f>
        <v>2069</v>
      </c>
      <c r="BH126" s="457">
        <f>BC126+5</f>
        <v>2070</v>
      </c>
      <c r="BI126" s="457">
        <f>BH126+1</f>
        <v>2071</v>
      </c>
      <c r="BJ126" s="457">
        <f t="shared" ref="BJ126" si="1100">BI126+1</f>
        <v>2072</v>
      </c>
      <c r="BK126" s="457">
        <f t="shared" ref="BK126" si="1101">BJ126+1</f>
        <v>2073</v>
      </c>
      <c r="BL126" s="457">
        <f t="shared" ref="BL126" si="1102">BK126+1</f>
        <v>2074</v>
      </c>
      <c r="BM126" s="457">
        <f>BH126+5</f>
        <v>2075</v>
      </c>
      <c r="BN126" s="457">
        <f>BM126+1</f>
        <v>2076</v>
      </c>
      <c r="BO126" s="457">
        <f t="shared" ref="BO126" si="1103">BN126+1</f>
        <v>2077</v>
      </c>
      <c r="BP126" s="457">
        <f t="shared" ref="BP126" si="1104">BO126+1</f>
        <v>2078</v>
      </c>
      <c r="BQ126" s="457">
        <f t="shared" ref="BQ126" si="1105">BP126+1</f>
        <v>2079</v>
      </c>
      <c r="BR126" s="457">
        <f>BM126+5</f>
        <v>2080</v>
      </c>
      <c r="BS126" s="457">
        <f>BR126+1</f>
        <v>2081</v>
      </c>
      <c r="BT126" s="457">
        <f t="shared" ref="BT126" si="1106">BS126+1</f>
        <v>2082</v>
      </c>
      <c r="BU126" s="457">
        <f t="shared" ref="BU126" si="1107">BT126+1</f>
        <v>2083</v>
      </c>
      <c r="BV126" s="457">
        <f t="shared" ref="BV126" si="1108">BU126+1</f>
        <v>2084</v>
      </c>
      <c r="BW126" s="457">
        <f>BR126+5</f>
        <v>2085</v>
      </c>
      <c r="BX126" s="457">
        <f>BW126+1</f>
        <v>2086</v>
      </c>
      <c r="BY126" s="457">
        <f t="shared" ref="BY126" si="1109">BX126+1</f>
        <v>2087</v>
      </c>
      <c r="BZ126" s="457">
        <f t="shared" ref="BZ126" si="1110">BY126+1</f>
        <v>2088</v>
      </c>
      <c r="CA126" s="457">
        <f t="shared" ref="CA126" si="1111">BZ126+1</f>
        <v>2089</v>
      </c>
      <c r="CB126" s="457">
        <f>BW126+5</f>
        <v>2090</v>
      </c>
      <c r="CC126" s="457">
        <f>CB126+1</f>
        <v>2091</v>
      </c>
      <c r="CD126" s="457">
        <f t="shared" ref="CD126" si="1112">CC126+1</f>
        <v>2092</v>
      </c>
      <c r="CE126" s="457">
        <f t="shared" ref="CE126" si="1113">CD126+1</f>
        <v>2093</v>
      </c>
      <c r="CF126" s="457">
        <f t="shared" ref="CF126" si="1114">CE126+1</f>
        <v>2094</v>
      </c>
      <c r="CG126" s="457">
        <f>CB126+5</f>
        <v>2095</v>
      </c>
      <c r="CH126" s="457">
        <f>CG126+1</f>
        <v>2096</v>
      </c>
      <c r="CI126" s="457">
        <f t="shared" ref="CI126" si="1115">CH126+1</f>
        <v>2097</v>
      </c>
      <c r="CJ126" s="457">
        <f t="shared" ref="CJ126" si="1116">CI126+1</f>
        <v>2098</v>
      </c>
      <c r="CK126" s="457">
        <f t="shared" ref="CK126" si="1117">CJ126+1</f>
        <v>2099</v>
      </c>
      <c r="CL126" s="457">
        <f>CG126+5</f>
        <v>2100</v>
      </c>
      <c r="CN126" s="458" t="s">
        <v>409</v>
      </c>
      <c r="CO126" s="458" t="s">
        <v>411</v>
      </c>
      <c r="CP126" s="458" t="s">
        <v>410</v>
      </c>
    </row>
    <row r="127" spans="1:94" s="460" customFormat="1" ht="16.5" hidden="1" outlineLevel="1" thickTop="1">
      <c r="A127" s="403" t="s">
        <v>419</v>
      </c>
      <c r="B127" s="403" t="s">
        <v>420</v>
      </c>
      <c r="C127" s="403" t="s">
        <v>422</v>
      </c>
      <c r="D127" s="403"/>
      <c r="E127" s="405"/>
      <c r="F127" s="405"/>
      <c r="G127" s="405"/>
      <c r="H127" s="405"/>
      <c r="I127" s="405">
        <f t="shared" ref="I127:AN127" ca="1" si="1118">IF(I42&lt;sector_base,NA(),IF($B$6="ON", IF(I42&gt;=covid_start, IF(I42&lt;covid_recovery,NA(),IFERROR(I115+(I114*I120),0)),IFERROR(I115+(I114*I120),0)),IFERROR(I115+(I114*I120),0)))</f>
        <v>0</v>
      </c>
      <c r="J127" s="405" t="e">
        <f t="shared" si="1118"/>
        <v>#N/A</v>
      </c>
      <c r="K127" s="405" t="e">
        <f t="shared" si="1118"/>
        <v>#N/A</v>
      </c>
      <c r="L127" s="405" t="e">
        <f t="shared" si="1118"/>
        <v>#N/A</v>
      </c>
      <c r="M127" s="405">
        <f t="shared" ca="1" si="1118"/>
        <v>0</v>
      </c>
      <c r="N127" s="405">
        <f t="shared" ca="1" si="1118"/>
        <v>0</v>
      </c>
      <c r="O127" s="405">
        <f t="shared" ca="1" si="1118"/>
        <v>0</v>
      </c>
      <c r="P127" s="405">
        <f t="shared" ca="1" si="1118"/>
        <v>0</v>
      </c>
      <c r="Q127" s="405">
        <f t="shared" ca="1" si="1118"/>
        <v>0</v>
      </c>
      <c r="R127" s="405">
        <f t="shared" ca="1" si="1118"/>
        <v>0</v>
      </c>
      <c r="S127" s="418">
        <f t="shared" ca="1" si="1118"/>
        <v>0</v>
      </c>
      <c r="T127" s="418">
        <f t="shared" ca="1" si="1118"/>
        <v>0</v>
      </c>
      <c r="U127" s="418">
        <f t="shared" ca="1" si="1118"/>
        <v>0</v>
      </c>
      <c r="V127" s="405">
        <f t="shared" ca="1" si="1118"/>
        <v>0</v>
      </c>
      <c r="W127" s="405">
        <f t="shared" ca="1" si="1118"/>
        <v>0</v>
      </c>
      <c r="X127" s="405">
        <f t="shared" ca="1" si="1118"/>
        <v>0</v>
      </c>
      <c r="Y127" s="405">
        <f t="shared" ca="1" si="1118"/>
        <v>0</v>
      </c>
      <c r="Z127" s="405">
        <f t="shared" ca="1" si="1118"/>
        <v>0</v>
      </c>
      <c r="AA127" s="405">
        <f t="shared" ca="1" si="1118"/>
        <v>0</v>
      </c>
      <c r="AB127" s="405">
        <f t="shared" ca="1" si="1118"/>
        <v>0</v>
      </c>
      <c r="AC127" s="405">
        <f t="shared" ca="1" si="1118"/>
        <v>0</v>
      </c>
      <c r="AD127" s="405">
        <f t="shared" ca="1" si="1118"/>
        <v>0</v>
      </c>
      <c r="AE127" s="405">
        <f t="shared" ca="1" si="1118"/>
        <v>0</v>
      </c>
      <c r="AF127" s="405">
        <f t="shared" ca="1" si="1118"/>
        <v>0</v>
      </c>
      <c r="AG127" s="405">
        <f t="shared" ca="1" si="1118"/>
        <v>0</v>
      </c>
      <c r="AH127" s="405">
        <f t="shared" ca="1" si="1118"/>
        <v>0</v>
      </c>
      <c r="AI127" s="405">
        <f t="shared" ca="1" si="1118"/>
        <v>0</v>
      </c>
      <c r="AJ127" s="405">
        <f t="shared" ca="1" si="1118"/>
        <v>0</v>
      </c>
      <c r="AK127" s="405">
        <f t="shared" ca="1" si="1118"/>
        <v>0</v>
      </c>
      <c r="AL127" s="405">
        <f t="shared" ca="1" si="1118"/>
        <v>0</v>
      </c>
      <c r="AM127" s="405">
        <f t="shared" ca="1" si="1118"/>
        <v>0</v>
      </c>
      <c r="AN127" s="405">
        <f t="shared" ca="1" si="1118"/>
        <v>0</v>
      </c>
      <c r="AO127" s="405">
        <f t="shared" ref="AO127:BT127" ca="1" si="1119">IF(AO42&lt;sector_base,NA(),IF($B$6="ON", IF(AO42&gt;=covid_start, IF(AO42&lt;covid_recovery,NA(),IFERROR(AO115+(AO114*AO120),0)),IFERROR(AO115+(AO114*AO120),0)),IFERROR(AO115+(AO114*AO120),0)))</f>
        <v>0</v>
      </c>
      <c r="AP127" s="405">
        <f t="shared" ca="1" si="1119"/>
        <v>0</v>
      </c>
      <c r="AQ127" s="405">
        <f t="shared" ca="1" si="1119"/>
        <v>0</v>
      </c>
      <c r="AR127" s="405">
        <f t="shared" ca="1" si="1119"/>
        <v>0</v>
      </c>
      <c r="AS127" s="405">
        <f t="shared" ca="1" si="1119"/>
        <v>0</v>
      </c>
      <c r="AT127" s="405">
        <f t="shared" ca="1" si="1119"/>
        <v>0</v>
      </c>
      <c r="AU127" s="405">
        <f t="shared" ca="1" si="1119"/>
        <v>0</v>
      </c>
      <c r="AV127" s="405">
        <f t="shared" ca="1" si="1119"/>
        <v>0</v>
      </c>
      <c r="AW127" s="405">
        <f t="shared" ca="1" si="1119"/>
        <v>0</v>
      </c>
      <c r="AX127" s="405">
        <f t="shared" ca="1" si="1119"/>
        <v>0</v>
      </c>
      <c r="AY127" s="405">
        <f t="shared" ca="1" si="1119"/>
        <v>0</v>
      </c>
      <c r="AZ127" s="405">
        <f t="shared" ca="1" si="1119"/>
        <v>0</v>
      </c>
      <c r="BA127" s="405">
        <f t="shared" ca="1" si="1119"/>
        <v>0</v>
      </c>
      <c r="BB127" s="405">
        <f t="shared" ca="1" si="1119"/>
        <v>0</v>
      </c>
      <c r="BC127" s="405">
        <f t="shared" ca="1" si="1119"/>
        <v>0</v>
      </c>
      <c r="BD127" s="405">
        <f t="shared" ca="1" si="1119"/>
        <v>0</v>
      </c>
      <c r="BE127" s="405">
        <f t="shared" ca="1" si="1119"/>
        <v>0</v>
      </c>
      <c r="BF127" s="405">
        <f t="shared" ca="1" si="1119"/>
        <v>0</v>
      </c>
      <c r="BG127" s="405">
        <f t="shared" ca="1" si="1119"/>
        <v>0</v>
      </c>
      <c r="BH127" s="405">
        <f t="shared" ca="1" si="1119"/>
        <v>0</v>
      </c>
      <c r="BI127" s="405">
        <f t="shared" ca="1" si="1119"/>
        <v>0</v>
      </c>
      <c r="BJ127" s="405">
        <f t="shared" ca="1" si="1119"/>
        <v>0</v>
      </c>
      <c r="BK127" s="405">
        <f t="shared" ca="1" si="1119"/>
        <v>0</v>
      </c>
      <c r="BL127" s="405">
        <f t="shared" ca="1" si="1119"/>
        <v>0</v>
      </c>
      <c r="BM127" s="405">
        <f t="shared" ca="1" si="1119"/>
        <v>0</v>
      </c>
      <c r="BN127" s="405">
        <f t="shared" ca="1" si="1119"/>
        <v>0</v>
      </c>
      <c r="BO127" s="405">
        <f t="shared" ca="1" si="1119"/>
        <v>0</v>
      </c>
      <c r="BP127" s="405">
        <f t="shared" ca="1" si="1119"/>
        <v>0</v>
      </c>
      <c r="BQ127" s="405">
        <f t="shared" ca="1" si="1119"/>
        <v>0</v>
      </c>
      <c r="BR127" s="405">
        <f t="shared" ca="1" si="1119"/>
        <v>0</v>
      </c>
      <c r="BS127" s="405">
        <f t="shared" ca="1" si="1119"/>
        <v>0</v>
      </c>
      <c r="BT127" s="405">
        <f t="shared" ca="1" si="1119"/>
        <v>0</v>
      </c>
      <c r="BU127" s="405">
        <f t="shared" ref="BU127:CL127" ca="1" si="1120">IF(BU42&lt;sector_base,NA(),IF($B$6="ON", IF(BU42&gt;=covid_start, IF(BU42&lt;covid_recovery,NA(),IFERROR(BU115+(BU114*BU120),0)),IFERROR(BU115+(BU114*BU120),0)),IFERROR(BU115+(BU114*BU120),0)))</f>
        <v>0</v>
      </c>
      <c r="BV127" s="405">
        <f t="shared" ca="1" si="1120"/>
        <v>0</v>
      </c>
      <c r="BW127" s="405">
        <f t="shared" ca="1" si="1120"/>
        <v>0</v>
      </c>
      <c r="BX127" s="405">
        <f t="shared" ca="1" si="1120"/>
        <v>0</v>
      </c>
      <c r="BY127" s="405">
        <f t="shared" ca="1" si="1120"/>
        <v>0</v>
      </c>
      <c r="BZ127" s="405">
        <f t="shared" ca="1" si="1120"/>
        <v>0</v>
      </c>
      <c r="CA127" s="405">
        <f t="shared" ca="1" si="1120"/>
        <v>0</v>
      </c>
      <c r="CB127" s="405">
        <f t="shared" ca="1" si="1120"/>
        <v>0</v>
      </c>
      <c r="CC127" s="405">
        <f t="shared" ca="1" si="1120"/>
        <v>0</v>
      </c>
      <c r="CD127" s="405">
        <f t="shared" ca="1" si="1120"/>
        <v>0</v>
      </c>
      <c r="CE127" s="405">
        <f t="shared" ca="1" si="1120"/>
        <v>0</v>
      </c>
      <c r="CF127" s="405">
        <f t="shared" ca="1" si="1120"/>
        <v>0</v>
      </c>
      <c r="CG127" s="405">
        <f t="shared" ca="1" si="1120"/>
        <v>0</v>
      </c>
      <c r="CH127" s="405">
        <f t="shared" ca="1" si="1120"/>
        <v>0</v>
      </c>
      <c r="CI127" s="405">
        <f t="shared" ca="1" si="1120"/>
        <v>0</v>
      </c>
      <c r="CJ127" s="405">
        <f t="shared" ca="1" si="1120"/>
        <v>0</v>
      </c>
      <c r="CK127" s="405">
        <f t="shared" ca="1" si="1120"/>
        <v>0</v>
      </c>
      <c r="CL127" s="405">
        <f t="shared" ca="1" si="1120"/>
        <v>0</v>
      </c>
      <c r="CM127" s="41"/>
      <c r="CN127" s="406"/>
      <c r="CO127" s="406"/>
      <c r="CP127" s="406"/>
    </row>
    <row r="128" spans="1:94" hidden="1" outlineLevel="1">
      <c r="A128" s="403" t="s">
        <v>419</v>
      </c>
      <c r="B128" s="403" t="s">
        <v>421</v>
      </c>
      <c r="C128" s="403" t="s">
        <v>2</v>
      </c>
      <c r="D128" s="403"/>
      <c r="E128" s="405"/>
      <c r="F128" s="405"/>
      <c r="G128" s="405"/>
      <c r="H128" s="405"/>
      <c r="I128" s="405" t="e">
        <f t="shared" ref="I128:AN128" ca="1" si="1121">(I127*I117)/1000</f>
        <v>#REF!</v>
      </c>
      <c r="J128" s="405" t="e">
        <f t="shared" si="1121"/>
        <v>#N/A</v>
      </c>
      <c r="K128" s="405" t="e">
        <f t="shared" si="1121"/>
        <v>#N/A</v>
      </c>
      <c r="L128" s="405" t="e">
        <f t="shared" si="1121"/>
        <v>#N/A</v>
      </c>
      <c r="M128" s="405" t="e">
        <f t="shared" ca="1" si="1121"/>
        <v>#REF!</v>
      </c>
      <c r="N128" s="405" t="e">
        <f t="shared" ca="1" si="1121"/>
        <v>#REF!</v>
      </c>
      <c r="O128" s="405" t="e">
        <f t="shared" ca="1" si="1121"/>
        <v>#REF!</v>
      </c>
      <c r="P128" s="405" t="e">
        <f t="shared" ca="1" si="1121"/>
        <v>#REF!</v>
      </c>
      <c r="Q128" s="405" t="e">
        <f t="shared" ca="1" si="1121"/>
        <v>#REF!</v>
      </c>
      <c r="R128" s="405" t="e">
        <f t="shared" ca="1" si="1121"/>
        <v>#REF!</v>
      </c>
      <c r="S128" s="418" t="e">
        <f t="shared" ca="1" si="1121"/>
        <v>#REF!</v>
      </c>
      <c r="T128" s="418" t="e">
        <f t="shared" ca="1" si="1121"/>
        <v>#REF!</v>
      </c>
      <c r="U128" s="418" t="e">
        <f t="shared" ca="1" si="1121"/>
        <v>#REF!</v>
      </c>
      <c r="V128" s="405" t="e">
        <f t="shared" ca="1" si="1121"/>
        <v>#REF!</v>
      </c>
      <c r="W128" s="405" t="e">
        <f t="shared" ca="1" si="1121"/>
        <v>#REF!</v>
      </c>
      <c r="X128" s="405" t="e">
        <f t="shared" ca="1" si="1121"/>
        <v>#REF!</v>
      </c>
      <c r="Y128" s="405" t="e">
        <f t="shared" ca="1" si="1121"/>
        <v>#REF!</v>
      </c>
      <c r="Z128" s="405" t="e">
        <f t="shared" ca="1" si="1121"/>
        <v>#REF!</v>
      </c>
      <c r="AA128" s="405" t="e">
        <f t="shared" ca="1" si="1121"/>
        <v>#REF!</v>
      </c>
      <c r="AB128" s="405" t="e">
        <f t="shared" ca="1" si="1121"/>
        <v>#REF!</v>
      </c>
      <c r="AC128" s="405" t="e">
        <f t="shared" ca="1" si="1121"/>
        <v>#REF!</v>
      </c>
      <c r="AD128" s="405" t="e">
        <f t="shared" ca="1" si="1121"/>
        <v>#REF!</v>
      </c>
      <c r="AE128" s="405" t="e">
        <f t="shared" ca="1" si="1121"/>
        <v>#REF!</v>
      </c>
      <c r="AF128" s="405" t="e">
        <f t="shared" ca="1" si="1121"/>
        <v>#REF!</v>
      </c>
      <c r="AG128" s="405" t="e">
        <f t="shared" ca="1" si="1121"/>
        <v>#REF!</v>
      </c>
      <c r="AH128" s="405" t="e">
        <f t="shared" ca="1" si="1121"/>
        <v>#REF!</v>
      </c>
      <c r="AI128" s="405" t="e">
        <f t="shared" ca="1" si="1121"/>
        <v>#REF!</v>
      </c>
      <c r="AJ128" s="405" t="e">
        <f t="shared" ca="1" si="1121"/>
        <v>#REF!</v>
      </c>
      <c r="AK128" s="405" t="e">
        <f t="shared" ca="1" si="1121"/>
        <v>#REF!</v>
      </c>
      <c r="AL128" s="405" t="e">
        <f t="shared" ca="1" si="1121"/>
        <v>#REF!</v>
      </c>
      <c r="AM128" s="405" t="e">
        <f t="shared" ca="1" si="1121"/>
        <v>#REF!</v>
      </c>
      <c r="AN128" s="405" t="e">
        <f t="shared" ca="1" si="1121"/>
        <v>#REF!</v>
      </c>
      <c r="AO128" s="405" t="e">
        <f t="shared" ref="AO128:BT128" ca="1" si="1122">(AO127*AO117)/1000</f>
        <v>#REF!</v>
      </c>
      <c r="AP128" s="405" t="e">
        <f t="shared" ca="1" si="1122"/>
        <v>#REF!</v>
      </c>
      <c r="AQ128" s="405" t="e">
        <f t="shared" ca="1" si="1122"/>
        <v>#REF!</v>
      </c>
      <c r="AR128" s="405" t="e">
        <f t="shared" ca="1" si="1122"/>
        <v>#REF!</v>
      </c>
      <c r="AS128" s="405" t="e">
        <f t="shared" ca="1" si="1122"/>
        <v>#REF!</v>
      </c>
      <c r="AT128" s="405" t="e">
        <f t="shared" ca="1" si="1122"/>
        <v>#REF!</v>
      </c>
      <c r="AU128" s="405" t="e">
        <f t="shared" ca="1" si="1122"/>
        <v>#REF!</v>
      </c>
      <c r="AV128" s="405" t="e">
        <f t="shared" ca="1" si="1122"/>
        <v>#REF!</v>
      </c>
      <c r="AW128" s="405" t="e">
        <f t="shared" ca="1" si="1122"/>
        <v>#REF!</v>
      </c>
      <c r="AX128" s="405" t="e">
        <f t="shared" ca="1" si="1122"/>
        <v>#REF!</v>
      </c>
      <c r="AY128" s="405" t="e">
        <f t="shared" ca="1" si="1122"/>
        <v>#REF!</v>
      </c>
      <c r="AZ128" s="405" t="e">
        <f t="shared" ca="1" si="1122"/>
        <v>#REF!</v>
      </c>
      <c r="BA128" s="405" t="e">
        <f t="shared" ca="1" si="1122"/>
        <v>#REF!</v>
      </c>
      <c r="BB128" s="405" t="e">
        <f t="shared" ca="1" si="1122"/>
        <v>#REF!</v>
      </c>
      <c r="BC128" s="405" t="e">
        <f t="shared" ca="1" si="1122"/>
        <v>#REF!</v>
      </c>
      <c r="BD128" s="405" t="e">
        <f t="shared" ca="1" si="1122"/>
        <v>#REF!</v>
      </c>
      <c r="BE128" s="405" t="e">
        <f t="shared" ca="1" si="1122"/>
        <v>#REF!</v>
      </c>
      <c r="BF128" s="405" t="e">
        <f t="shared" ca="1" si="1122"/>
        <v>#REF!</v>
      </c>
      <c r="BG128" s="405" t="e">
        <f t="shared" ca="1" si="1122"/>
        <v>#REF!</v>
      </c>
      <c r="BH128" s="405" t="e">
        <f t="shared" ca="1" si="1122"/>
        <v>#REF!</v>
      </c>
      <c r="BI128" s="405" t="e">
        <f t="shared" ca="1" si="1122"/>
        <v>#REF!</v>
      </c>
      <c r="BJ128" s="405" t="e">
        <f t="shared" ca="1" si="1122"/>
        <v>#REF!</v>
      </c>
      <c r="BK128" s="405" t="e">
        <f t="shared" ca="1" si="1122"/>
        <v>#REF!</v>
      </c>
      <c r="BL128" s="405" t="e">
        <f t="shared" ca="1" si="1122"/>
        <v>#REF!</v>
      </c>
      <c r="BM128" s="405" t="e">
        <f t="shared" ca="1" si="1122"/>
        <v>#REF!</v>
      </c>
      <c r="BN128" s="405" t="e">
        <f t="shared" ca="1" si="1122"/>
        <v>#REF!</v>
      </c>
      <c r="BO128" s="405" t="e">
        <f t="shared" ca="1" si="1122"/>
        <v>#REF!</v>
      </c>
      <c r="BP128" s="405" t="e">
        <f t="shared" ca="1" si="1122"/>
        <v>#REF!</v>
      </c>
      <c r="BQ128" s="405" t="e">
        <f t="shared" ca="1" si="1122"/>
        <v>#REF!</v>
      </c>
      <c r="BR128" s="405" t="e">
        <f t="shared" ca="1" si="1122"/>
        <v>#REF!</v>
      </c>
      <c r="BS128" s="405" t="e">
        <f t="shared" ca="1" si="1122"/>
        <v>#REF!</v>
      </c>
      <c r="BT128" s="405" t="e">
        <f t="shared" ca="1" si="1122"/>
        <v>#REF!</v>
      </c>
      <c r="BU128" s="405" t="e">
        <f t="shared" ref="BU128:CL128" ca="1" si="1123">(BU127*BU117)/1000</f>
        <v>#REF!</v>
      </c>
      <c r="BV128" s="405" t="e">
        <f t="shared" ca="1" si="1123"/>
        <v>#REF!</v>
      </c>
      <c r="BW128" s="405" t="e">
        <f t="shared" ca="1" si="1123"/>
        <v>#REF!</v>
      </c>
      <c r="BX128" s="405" t="e">
        <f t="shared" ca="1" si="1123"/>
        <v>#REF!</v>
      </c>
      <c r="BY128" s="405" t="e">
        <f t="shared" ca="1" si="1123"/>
        <v>#REF!</v>
      </c>
      <c r="BZ128" s="405" t="e">
        <f t="shared" ca="1" si="1123"/>
        <v>#REF!</v>
      </c>
      <c r="CA128" s="405" t="e">
        <f t="shared" ca="1" si="1123"/>
        <v>#REF!</v>
      </c>
      <c r="CB128" s="405" t="e">
        <f t="shared" ca="1" si="1123"/>
        <v>#REF!</v>
      </c>
      <c r="CC128" s="405" t="e">
        <f t="shared" ca="1" si="1123"/>
        <v>#REF!</v>
      </c>
      <c r="CD128" s="405" t="e">
        <f t="shared" ca="1" si="1123"/>
        <v>#REF!</v>
      </c>
      <c r="CE128" s="405" t="e">
        <f t="shared" ca="1" si="1123"/>
        <v>#REF!</v>
      </c>
      <c r="CF128" s="405" t="e">
        <f t="shared" ca="1" si="1123"/>
        <v>#REF!</v>
      </c>
      <c r="CG128" s="405" t="e">
        <f t="shared" ca="1" si="1123"/>
        <v>#REF!</v>
      </c>
      <c r="CH128" s="405" t="e">
        <f t="shared" ca="1" si="1123"/>
        <v>#REF!</v>
      </c>
      <c r="CI128" s="405" t="e">
        <f t="shared" ca="1" si="1123"/>
        <v>#REF!</v>
      </c>
      <c r="CJ128" s="405" t="e">
        <f t="shared" ca="1" si="1123"/>
        <v>#REF!</v>
      </c>
      <c r="CK128" s="405" t="e">
        <f t="shared" ca="1" si="1123"/>
        <v>#REF!</v>
      </c>
      <c r="CL128" s="405" t="e">
        <f t="shared" ca="1" si="1123"/>
        <v>#REF!</v>
      </c>
      <c r="CN128" s="406"/>
      <c r="CO128" s="406"/>
      <c r="CP128" s="406"/>
    </row>
    <row r="129" spans="1:94" hidden="1" outlineLevel="1">
      <c r="A129" s="403" t="s">
        <v>419</v>
      </c>
      <c r="B129" s="403" t="s">
        <v>423</v>
      </c>
      <c r="C129" s="403" t="s">
        <v>422</v>
      </c>
      <c r="D129" s="403"/>
      <c r="E129" s="405"/>
      <c r="F129" s="405"/>
      <c r="G129" s="405"/>
      <c r="H129" s="405"/>
      <c r="I129" s="405">
        <f ca="1">I127</f>
        <v>0</v>
      </c>
      <c r="J129" s="405" t="e">
        <f t="shared" ref="J129:AO129" ca="1" si="1124">IF(J128&gt;$I128,($I$128/J117)*1000,J127)</f>
        <v>#N/A</v>
      </c>
      <c r="K129" s="405" t="e">
        <f t="shared" ca="1" si="1124"/>
        <v>#N/A</v>
      </c>
      <c r="L129" s="405" t="e">
        <f t="shared" ca="1" si="1124"/>
        <v>#N/A</v>
      </c>
      <c r="M129" s="405" t="e">
        <f t="shared" ca="1" si="1124"/>
        <v>#REF!</v>
      </c>
      <c r="N129" s="405" t="e">
        <f t="shared" ca="1" si="1124"/>
        <v>#REF!</v>
      </c>
      <c r="O129" s="405" t="e">
        <f t="shared" ca="1" si="1124"/>
        <v>#REF!</v>
      </c>
      <c r="P129" s="405" t="e">
        <f t="shared" ca="1" si="1124"/>
        <v>#REF!</v>
      </c>
      <c r="Q129" s="405" t="e">
        <f t="shared" ca="1" si="1124"/>
        <v>#REF!</v>
      </c>
      <c r="R129" s="405" t="e">
        <f t="shared" ca="1" si="1124"/>
        <v>#REF!</v>
      </c>
      <c r="S129" s="418" t="e">
        <f t="shared" ca="1" si="1124"/>
        <v>#REF!</v>
      </c>
      <c r="T129" s="418" t="e">
        <f t="shared" ca="1" si="1124"/>
        <v>#REF!</v>
      </c>
      <c r="U129" s="418" t="e">
        <f t="shared" ca="1" si="1124"/>
        <v>#REF!</v>
      </c>
      <c r="V129" s="405" t="e">
        <f t="shared" ca="1" si="1124"/>
        <v>#REF!</v>
      </c>
      <c r="W129" s="405" t="e">
        <f t="shared" ca="1" si="1124"/>
        <v>#REF!</v>
      </c>
      <c r="X129" s="405" t="e">
        <f t="shared" ca="1" si="1124"/>
        <v>#REF!</v>
      </c>
      <c r="Y129" s="405" t="e">
        <f t="shared" ca="1" si="1124"/>
        <v>#REF!</v>
      </c>
      <c r="Z129" s="405" t="e">
        <f t="shared" ca="1" si="1124"/>
        <v>#REF!</v>
      </c>
      <c r="AA129" s="405" t="e">
        <f t="shared" ca="1" si="1124"/>
        <v>#REF!</v>
      </c>
      <c r="AB129" s="405" t="e">
        <f t="shared" ca="1" si="1124"/>
        <v>#REF!</v>
      </c>
      <c r="AC129" s="405" t="e">
        <f t="shared" ca="1" si="1124"/>
        <v>#REF!</v>
      </c>
      <c r="AD129" s="405" t="e">
        <f t="shared" ca="1" si="1124"/>
        <v>#REF!</v>
      </c>
      <c r="AE129" s="405" t="e">
        <f t="shared" ca="1" si="1124"/>
        <v>#REF!</v>
      </c>
      <c r="AF129" s="405" t="e">
        <f t="shared" ca="1" si="1124"/>
        <v>#REF!</v>
      </c>
      <c r="AG129" s="405" t="e">
        <f t="shared" ca="1" si="1124"/>
        <v>#REF!</v>
      </c>
      <c r="AH129" s="405" t="e">
        <f t="shared" ca="1" si="1124"/>
        <v>#REF!</v>
      </c>
      <c r="AI129" s="405" t="e">
        <f t="shared" ca="1" si="1124"/>
        <v>#REF!</v>
      </c>
      <c r="AJ129" s="405" t="e">
        <f t="shared" ca="1" si="1124"/>
        <v>#REF!</v>
      </c>
      <c r="AK129" s="405" t="e">
        <f t="shared" ca="1" si="1124"/>
        <v>#REF!</v>
      </c>
      <c r="AL129" s="405" t="e">
        <f t="shared" ca="1" si="1124"/>
        <v>#REF!</v>
      </c>
      <c r="AM129" s="405" t="e">
        <f t="shared" ca="1" si="1124"/>
        <v>#REF!</v>
      </c>
      <c r="AN129" s="405" t="e">
        <f t="shared" ca="1" si="1124"/>
        <v>#REF!</v>
      </c>
      <c r="AO129" s="405" t="e">
        <f t="shared" ca="1" si="1124"/>
        <v>#REF!</v>
      </c>
      <c r="AP129" s="405" t="e">
        <f t="shared" ref="AP129:BU129" ca="1" si="1125">IF(AP128&gt;$I128,($I$128/AP117)*1000,AP127)</f>
        <v>#REF!</v>
      </c>
      <c r="AQ129" s="405" t="e">
        <f t="shared" ca="1" si="1125"/>
        <v>#REF!</v>
      </c>
      <c r="AR129" s="405" t="e">
        <f t="shared" ca="1" si="1125"/>
        <v>#REF!</v>
      </c>
      <c r="AS129" s="405" t="e">
        <f t="shared" ca="1" si="1125"/>
        <v>#REF!</v>
      </c>
      <c r="AT129" s="405" t="e">
        <f t="shared" ca="1" si="1125"/>
        <v>#REF!</v>
      </c>
      <c r="AU129" s="405" t="e">
        <f t="shared" ca="1" si="1125"/>
        <v>#REF!</v>
      </c>
      <c r="AV129" s="405" t="e">
        <f t="shared" ca="1" si="1125"/>
        <v>#REF!</v>
      </c>
      <c r="AW129" s="405" t="e">
        <f t="shared" ca="1" si="1125"/>
        <v>#REF!</v>
      </c>
      <c r="AX129" s="405" t="e">
        <f t="shared" ca="1" si="1125"/>
        <v>#REF!</v>
      </c>
      <c r="AY129" s="405" t="e">
        <f t="shared" ca="1" si="1125"/>
        <v>#REF!</v>
      </c>
      <c r="AZ129" s="405" t="e">
        <f t="shared" ca="1" si="1125"/>
        <v>#REF!</v>
      </c>
      <c r="BA129" s="405" t="e">
        <f t="shared" ca="1" si="1125"/>
        <v>#REF!</v>
      </c>
      <c r="BB129" s="405" t="e">
        <f t="shared" ca="1" si="1125"/>
        <v>#REF!</v>
      </c>
      <c r="BC129" s="405" t="e">
        <f t="shared" ca="1" si="1125"/>
        <v>#REF!</v>
      </c>
      <c r="BD129" s="405" t="e">
        <f t="shared" ca="1" si="1125"/>
        <v>#REF!</v>
      </c>
      <c r="BE129" s="405" t="e">
        <f t="shared" ca="1" si="1125"/>
        <v>#REF!</v>
      </c>
      <c r="BF129" s="405" t="e">
        <f t="shared" ca="1" si="1125"/>
        <v>#REF!</v>
      </c>
      <c r="BG129" s="405" t="e">
        <f t="shared" ca="1" si="1125"/>
        <v>#REF!</v>
      </c>
      <c r="BH129" s="405" t="e">
        <f t="shared" ca="1" si="1125"/>
        <v>#REF!</v>
      </c>
      <c r="BI129" s="405" t="e">
        <f t="shared" ca="1" si="1125"/>
        <v>#REF!</v>
      </c>
      <c r="BJ129" s="405" t="e">
        <f t="shared" ca="1" si="1125"/>
        <v>#REF!</v>
      </c>
      <c r="BK129" s="405" t="e">
        <f t="shared" ca="1" si="1125"/>
        <v>#REF!</v>
      </c>
      <c r="BL129" s="405" t="e">
        <f t="shared" ca="1" si="1125"/>
        <v>#REF!</v>
      </c>
      <c r="BM129" s="405" t="e">
        <f t="shared" ca="1" si="1125"/>
        <v>#REF!</v>
      </c>
      <c r="BN129" s="405" t="e">
        <f t="shared" ca="1" si="1125"/>
        <v>#REF!</v>
      </c>
      <c r="BO129" s="405" t="e">
        <f t="shared" ca="1" si="1125"/>
        <v>#REF!</v>
      </c>
      <c r="BP129" s="405" t="e">
        <f t="shared" ca="1" si="1125"/>
        <v>#REF!</v>
      </c>
      <c r="BQ129" s="405" t="e">
        <f t="shared" ca="1" si="1125"/>
        <v>#REF!</v>
      </c>
      <c r="BR129" s="405" t="e">
        <f t="shared" ca="1" si="1125"/>
        <v>#REF!</v>
      </c>
      <c r="BS129" s="405" t="e">
        <f t="shared" ca="1" si="1125"/>
        <v>#REF!</v>
      </c>
      <c r="BT129" s="405" t="e">
        <f t="shared" ca="1" si="1125"/>
        <v>#REF!</v>
      </c>
      <c r="BU129" s="405" t="e">
        <f t="shared" ca="1" si="1125"/>
        <v>#REF!</v>
      </c>
      <c r="BV129" s="405" t="e">
        <f t="shared" ref="BV129:CL129" ca="1" si="1126">IF(BV128&gt;$I128,($I$128/BV117)*1000,BV127)</f>
        <v>#REF!</v>
      </c>
      <c r="BW129" s="405" t="e">
        <f t="shared" ca="1" si="1126"/>
        <v>#REF!</v>
      </c>
      <c r="BX129" s="405" t="e">
        <f t="shared" ca="1" si="1126"/>
        <v>#REF!</v>
      </c>
      <c r="BY129" s="405" t="e">
        <f t="shared" ca="1" si="1126"/>
        <v>#REF!</v>
      </c>
      <c r="BZ129" s="405" t="e">
        <f t="shared" ca="1" si="1126"/>
        <v>#REF!</v>
      </c>
      <c r="CA129" s="405" t="e">
        <f t="shared" ca="1" si="1126"/>
        <v>#REF!</v>
      </c>
      <c r="CB129" s="405" t="e">
        <f t="shared" ca="1" si="1126"/>
        <v>#REF!</v>
      </c>
      <c r="CC129" s="405" t="e">
        <f t="shared" ca="1" si="1126"/>
        <v>#REF!</v>
      </c>
      <c r="CD129" s="405" t="e">
        <f t="shared" ca="1" si="1126"/>
        <v>#REF!</v>
      </c>
      <c r="CE129" s="405" t="e">
        <f t="shared" ca="1" si="1126"/>
        <v>#REF!</v>
      </c>
      <c r="CF129" s="405" t="e">
        <f t="shared" ca="1" si="1126"/>
        <v>#REF!</v>
      </c>
      <c r="CG129" s="405" t="e">
        <f t="shared" ca="1" si="1126"/>
        <v>#REF!</v>
      </c>
      <c r="CH129" s="405" t="e">
        <f t="shared" ca="1" si="1126"/>
        <v>#REF!</v>
      </c>
      <c r="CI129" s="405" t="e">
        <f t="shared" ca="1" si="1126"/>
        <v>#REF!</v>
      </c>
      <c r="CJ129" s="405" t="e">
        <f t="shared" ca="1" si="1126"/>
        <v>#REF!</v>
      </c>
      <c r="CK129" s="405" t="e">
        <f t="shared" ca="1" si="1126"/>
        <v>#REF!</v>
      </c>
      <c r="CL129" s="405" t="e">
        <f t="shared" ca="1" si="1126"/>
        <v>#REF!</v>
      </c>
      <c r="CN129" s="406"/>
      <c r="CO129" s="406"/>
      <c r="CP129" s="406"/>
    </row>
    <row r="130" spans="1:94" hidden="1" outlineLevel="1">
      <c r="A130" s="403" t="s">
        <v>419</v>
      </c>
      <c r="B130" s="403" t="s">
        <v>423</v>
      </c>
      <c r="C130" s="403" t="s">
        <v>2</v>
      </c>
      <c r="D130" s="403"/>
      <c r="E130" s="405"/>
      <c r="F130" s="405"/>
      <c r="G130" s="405"/>
      <c r="H130" s="405"/>
      <c r="I130" s="405" t="e">
        <f t="shared" ref="I130:AN130" ca="1" si="1127">(I129*I117)/1000</f>
        <v>#REF!</v>
      </c>
      <c r="J130" s="405" t="e">
        <f t="shared" ca="1" si="1127"/>
        <v>#N/A</v>
      </c>
      <c r="K130" s="405" t="e">
        <f t="shared" ca="1" si="1127"/>
        <v>#N/A</v>
      </c>
      <c r="L130" s="405" t="e">
        <f t="shared" ca="1" si="1127"/>
        <v>#N/A</v>
      </c>
      <c r="M130" s="405" t="e">
        <f t="shared" ca="1" si="1127"/>
        <v>#REF!</v>
      </c>
      <c r="N130" s="405" t="e">
        <f t="shared" ca="1" si="1127"/>
        <v>#REF!</v>
      </c>
      <c r="O130" s="405" t="e">
        <f t="shared" ca="1" si="1127"/>
        <v>#REF!</v>
      </c>
      <c r="P130" s="405" t="e">
        <f t="shared" ca="1" si="1127"/>
        <v>#REF!</v>
      </c>
      <c r="Q130" s="405" t="e">
        <f t="shared" ca="1" si="1127"/>
        <v>#REF!</v>
      </c>
      <c r="R130" s="405" t="e">
        <f t="shared" ca="1" si="1127"/>
        <v>#REF!</v>
      </c>
      <c r="S130" s="418" t="e">
        <f t="shared" ca="1" si="1127"/>
        <v>#REF!</v>
      </c>
      <c r="T130" s="418" t="e">
        <f t="shared" ca="1" si="1127"/>
        <v>#REF!</v>
      </c>
      <c r="U130" s="418" t="e">
        <f t="shared" ca="1" si="1127"/>
        <v>#REF!</v>
      </c>
      <c r="V130" s="405" t="e">
        <f t="shared" ca="1" si="1127"/>
        <v>#REF!</v>
      </c>
      <c r="W130" s="405" t="e">
        <f t="shared" ca="1" si="1127"/>
        <v>#REF!</v>
      </c>
      <c r="X130" s="405" t="e">
        <f t="shared" ca="1" si="1127"/>
        <v>#REF!</v>
      </c>
      <c r="Y130" s="405" t="e">
        <f t="shared" ca="1" si="1127"/>
        <v>#REF!</v>
      </c>
      <c r="Z130" s="405" t="e">
        <f t="shared" ca="1" si="1127"/>
        <v>#REF!</v>
      </c>
      <c r="AA130" s="405" t="e">
        <f t="shared" ca="1" si="1127"/>
        <v>#REF!</v>
      </c>
      <c r="AB130" s="405" t="e">
        <f t="shared" ca="1" si="1127"/>
        <v>#REF!</v>
      </c>
      <c r="AC130" s="405" t="e">
        <f t="shared" ca="1" si="1127"/>
        <v>#REF!</v>
      </c>
      <c r="AD130" s="405" t="e">
        <f t="shared" ca="1" si="1127"/>
        <v>#REF!</v>
      </c>
      <c r="AE130" s="405" t="e">
        <f t="shared" ca="1" si="1127"/>
        <v>#REF!</v>
      </c>
      <c r="AF130" s="405" t="e">
        <f t="shared" ca="1" si="1127"/>
        <v>#REF!</v>
      </c>
      <c r="AG130" s="405" t="e">
        <f t="shared" ca="1" si="1127"/>
        <v>#REF!</v>
      </c>
      <c r="AH130" s="405" t="e">
        <f t="shared" ca="1" si="1127"/>
        <v>#REF!</v>
      </c>
      <c r="AI130" s="405" t="e">
        <f t="shared" ca="1" si="1127"/>
        <v>#REF!</v>
      </c>
      <c r="AJ130" s="405" t="e">
        <f t="shared" ca="1" si="1127"/>
        <v>#REF!</v>
      </c>
      <c r="AK130" s="405" t="e">
        <f t="shared" ca="1" si="1127"/>
        <v>#REF!</v>
      </c>
      <c r="AL130" s="405" t="e">
        <f t="shared" ca="1" si="1127"/>
        <v>#REF!</v>
      </c>
      <c r="AM130" s="405" t="e">
        <f t="shared" ca="1" si="1127"/>
        <v>#REF!</v>
      </c>
      <c r="AN130" s="405" t="e">
        <f t="shared" ca="1" si="1127"/>
        <v>#REF!</v>
      </c>
      <c r="AO130" s="405" t="e">
        <f t="shared" ref="AO130:BT130" ca="1" si="1128">(AO129*AO117)/1000</f>
        <v>#REF!</v>
      </c>
      <c r="AP130" s="405" t="e">
        <f t="shared" ca="1" si="1128"/>
        <v>#REF!</v>
      </c>
      <c r="AQ130" s="405" t="e">
        <f t="shared" ca="1" si="1128"/>
        <v>#REF!</v>
      </c>
      <c r="AR130" s="405" t="e">
        <f t="shared" ca="1" si="1128"/>
        <v>#REF!</v>
      </c>
      <c r="AS130" s="405" t="e">
        <f t="shared" ca="1" si="1128"/>
        <v>#REF!</v>
      </c>
      <c r="AT130" s="405" t="e">
        <f t="shared" ca="1" si="1128"/>
        <v>#REF!</v>
      </c>
      <c r="AU130" s="405" t="e">
        <f t="shared" ca="1" si="1128"/>
        <v>#REF!</v>
      </c>
      <c r="AV130" s="405" t="e">
        <f t="shared" ca="1" si="1128"/>
        <v>#REF!</v>
      </c>
      <c r="AW130" s="405" t="e">
        <f t="shared" ca="1" si="1128"/>
        <v>#REF!</v>
      </c>
      <c r="AX130" s="405" t="e">
        <f t="shared" ca="1" si="1128"/>
        <v>#REF!</v>
      </c>
      <c r="AY130" s="405" t="e">
        <f t="shared" ca="1" si="1128"/>
        <v>#REF!</v>
      </c>
      <c r="AZ130" s="405" t="e">
        <f t="shared" ca="1" si="1128"/>
        <v>#REF!</v>
      </c>
      <c r="BA130" s="405" t="e">
        <f t="shared" ca="1" si="1128"/>
        <v>#REF!</v>
      </c>
      <c r="BB130" s="405" t="e">
        <f t="shared" ca="1" si="1128"/>
        <v>#REF!</v>
      </c>
      <c r="BC130" s="405" t="e">
        <f t="shared" ca="1" si="1128"/>
        <v>#REF!</v>
      </c>
      <c r="BD130" s="405" t="e">
        <f t="shared" ca="1" si="1128"/>
        <v>#REF!</v>
      </c>
      <c r="BE130" s="405" t="e">
        <f t="shared" ca="1" si="1128"/>
        <v>#REF!</v>
      </c>
      <c r="BF130" s="405" t="e">
        <f t="shared" ca="1" si="1128"/>
        <v>#REF!</v>
      </c>
      <c r="BG130" s="405" t="e">
        <f t="shared" ca="1" si="1128"/>
        <v>#REF!</v>
      </c>
      <c r="BH130" s="405" t="e">
        <f t="shared" ca="1" si="1128"/>
        <v>#REF!</v>
      </c>
      <c r="BI130" s="405" t="e">
        <f t="shared" ca="1" si="1128"/>
        <v>#REF!</v>
      </c>
      <c r="BJ130" s="405" t="e">
        <f t="shared" ca="1" si="1128"/>
        <v>#REF!</v>
      </c>
      <c r="BK130" s="405" t="e">
        <f t="shared" ca="1" si="1128"/>
        <v>#REF!</v>
      </c>
      <c r="BL130" s="405" t="e">
        <f t="shared" ca="1" si="1128"/>
        <v>#REF!</v>
      </c>
      <c r="BM130" s="405" t="e">
        <f t="shared" ca="1" si="1128"/>
        <v>#REF!</v>
      </c>
      <c r="BN130" s="405" t="e">
        <f t="shared" ca="1" si="1128"/>
        <v>#REF!</v>
      </c>
      <c r="BO130" s="405" t="e">
        <f t="shared" ca="1" si="1128"/>
        <v>#REF!</v>
      </c>
      <c r="BP130" s="405" t="e">
        <f t="shared" ca="1" si="1128"/>
        <v>#REF!</v>
      </c>
      <c r="BQ130" s="405" t="e">
        <f t="shared" ca="1" si="1128"/>
        <v>#REF!</v>
      </c>
      <c r="BR130" s="405" t="e">
        <f t="shared" ca="1" si="1128"/>
        <v>#REF!</v>
      </c>
      <c r="BS130" s="405" t="e">
        <f t="shared" ca="1" si="1128"/>
        <v>#REF!</v>
      </c>
      <c r="BT130" s="405" t="e">
        <f t="shared" ca="1" si="1128"/>
        <v>#REF!</v>
      </c>
      <c r="BU130" s="405" t="e">
        <f t="shared" ref="BU130:CL130" ca="1" si="1129">(BU129*BU117)/1000</f>
        <v>#REF!</v>
      </c>
      <c r="BV130" s="405" t="e">
        <f t="shared" ca="1" si="1129"/>
        <v>#REF!</v>
      </c>
      <c r="BW130" s="405" t="e">
        <f t="shared" ca="1" si="1129"/>
        <v>#REF!</v>
      </c>
      <c r="BX130" s="405" t="e">
        <f t="shared" ca="1" si="1129"/>
        <v>#REF!</v>
      </c>
      <c r="BY130" s="405" t="e">
        <f t="shared" ca="1" si="1129"/>
        <v>#REF!</v>
      </c>
      <c r="BZ130" s="405" t="e">
        <f t="shared" ca="1" si="1129"/>
        <v>#REF!</v>
      </c>
      <c r="CA130" s="405" t="e">
        <f t="shared" ca="1" si="1129"/>
        <v>#REF!</v>
      </c>
      <c r="CB130" s="405" t="e">
        <f t="shared" ca="1" si="1129"/>
        <v>#REF!</v>
      </c>
      <c r="CC130" s="405" t="e">
        <f t="shared" ca="1" si="1129"/>
        <v>#REF!</v>
      </c>
      <c r="CD130" s="405" t="e">
        <f t="shared" ca="1" si="1129"/>
        <v>#REF!</v>
      </c>
      <c r="CE130" s="405" t="e">
        <f t="shared" ca="1" si="1129"/>
        <v>#REF!</v>
      </c>
      <c r="CF130" s="405" t="e">
        <f t="shared" ca="1" si="1129"/>
        <v>#REF!</v>
      </c>
      <c r="CG130" s="405" t="e">
        <f t="shared" ca="1" si="1129"/>
        <v>#REF!</v>
      </c>
      <c r="CH130" s="405" t="e">
        <f t="shared" ca="1" si="1129"/>
        <v>#REF!</v>
      </c>
      <c r="CI130" s="405" t="e">
        <f t="shared" ca="1" si="1129"/>
        <v>#REF!</v>
      </c>
      <c r="CJ130" s="405" t="e">
        <f t="shared" ca="1" si="1129"/>
        <v>#REF!</v>
      </c>
      <c r="CK130" s="405" t="e">
        <f t="shared" ca="1" si="1129"/>
        <v>#REF!</v>
      </c>
      <c r="CL130" s="405" t="e">
        <f t="shared" ca="1" si="1129"/>
        <v>#REF!</v>
      </c>
      <c r="CN130" s="406"/>
      <c r="CO130" s="406"/>
      <c r="CP130" s="406"/>
    </row>
    <row r="131" spans="1:94" ht="17.25" hidden="1" collapsed="1" thickTop="1" thickBot="1">
      <c r="A131" s="455" t="s">
        <v>488</v>
      </c>
      <c r="B131" s="455"/>
      <c r="C131" s="455"/>
      <c r="D131" s="455"/>
      <c r="E131" s="456">
        <v>2015</v>
      </c>
      <c r="F131" s="457">
        <f>E131+1</f>
        <v>2016</v>
      </c>
      <c r="G131" s="457">
        <f t="shared" ref="G131" si="1130">F131+1</f>
        <v>2017</v>
      </c>
      <c r="H131" s="457">
        <f t="shared" ref="H131" si="1131">G131+1</f>
        <v>2018</v>
      </c>
      <c r="I131" s="457">
        <f t="shared" ref="I131" si="1132">H131+1</f>
        <v>2019</v>
      </c>
      <c r="J131" s="457">
        <f>E131+5</f>
        <v>2020</v>
      </c>
      <c r="K131" s="457">
        <f>J131+1</f>
        <v>2021</v>
      </c>
      <c r="L131" s="457">
        <f t="shared" ref="L131" si="1133">K131+1</f>
        <v>2022</v>
      </c>
      <c r="M131" s="457">
        <f t="shared" ref="M131" si="1134">L131+1</f>
        <v>2023</v>
      </c>
      <c r="N131" s="457">
        <f t="shared" ref="N131" si="1135">M131+1</f>
        <v>2024</v>
      </c>
      <c r="O131" s="457">
        <f>J131+5</f>
        <v>2025</v>
      </c>
      <c r="P131" s="457">
        <f>O131+1</f>
        <v>2026</v>
      </c>
      <c r="Q131" s="457">
        <f t="shared" ref="Q131" si="1136">P131+1</f>
        <v>2027</v>
      </c>
      <c r="R131" s="457">
        <f t="shared" ref="R131" si="1137">Q131+1</f>
        <v>2028</v>
      </c>
      <c r="S131" s="457">
        <f t="shared" ref="S131" si="1138">R131+1</f>
        <v>2029</v>
      </c>
      <c r="T131" s="457">
        <f>O131+5</f>
        <v>2030</v>
      </c>
      <c r="U131" s="457">
        <f>T131+1</f>
        <v>2031</v>
      </c>
      <c r="V131" s="457">
        <f t="shared" ref="V131" si="1139">U131+1</f>
        <v>2032</v>
      </c>
      <c r="W131" s="457">
        <f t="shared" ref="W131" si="1140">V131+1</f>
        <v>2033</v>
      </c>
      <c r="X131" s="457">
        <f t="shared" ref="X131" si="1141">W131+1</f>
        <v>2034</v>
      </c>
      <c r="Y131" s="457">
        <f>T131+5</f>
        <v>2035</v>
      </c>
      <c r="Z131" s="457">
        <f>Y131+1</f>
        <v>2036</v>
      </c>
      <c r="AA131" s="457">
        <f t="shared" ref="AA131" si="1142">Z131+1</f>
        <v>2037</v>
      </c>
      <c r="AB131" s="457">
        <f t="shared" ref="AB131" si="1143">AA131+1</f>
        <v>2038</v>
      </c>
      <c r="AC131" s="457">
        <f t="shared" ref="AC131" si="1144">AB131+1</f>
        <v>2039</v>
      </c>
      <c r="AD131" s="457">
        <f>Y131+5</f>
        <v>2040</v>
      </c>
      <c r="AE131" s="457">
        <f>AD131+1</f>
        <v>2041</v>
      </c>
      <c r="AF131" s="457">
        <f t="shared" ref="AF131" si="1145">AE131+1</f>
        <v>2042</v>
      </c>
      <c r="AG131" s="457">
        <f t="shared" ref="AG131" si="1146">AF131+1</f>
        <v>2043</v>
      </c>
      <c r="AH131" s="457">
        <f t="shared" ref="AH131" si="1147">AG131+1</f>
        <v>2044</v>
      </c>
      <c r="AI131" s="457">
        <f>AD131+5</f>
        <v>2045</v>
      </c>
      <c r="AJ131" s="457">
        <f>AI131+1</f>
        <v>2046</v>
      </c>
      <c r="AK131" s="457">
        <f t="shared" ref="AK131" si="1148">AJ131+1</f>
        <v>2047</v>
      </c>
      <c r="AL131" s="457">
        <f t="shared" ref="AL131" si="1149">AK131+1</f>
        <v>2048</v>
      </c>
      <c r="AM131" s="457">
        <f t="shared" ref="AM131" si="1150">AL131+1</f>
        <v>2049</v>
      </c>
      <c r="AN131" s="457">
        <f>AI131+5</f>
        <v>2050</v>
      </c>
      <c r="AO131" s="457">
        <f>AN131+1</f>
        <v>2051</v>
      </c>
      <c r="AP131" s="457">
        <f t="shared" ref="AP131" si="1151">AO131+1</f>
        <v>2052</v>
      </c>
      <c r="AQ131" s="457">
        <f t="shared" ref="AQ131" si="1152">AP131+1</f>
        <v>2053</v>
      </c>
      <c r="AR131" s="457">
        <f t="shared" ref="AR131" si="1153">AQ131+1</f>
        <v>2054</v>
      </c>
      <c r="AS131" s="457">
        <f>AN131+5</f>
        <v>2055</v>
      </c>
      <c r="AT131" s="457">
        <f>AS131+1</f>
        <v>2056</v>
      </c>
      <c r="AU131" s="457">
        <f t="shared" ref="AU131" si="1154">AT131+1</f>
        <v>2057</v>
      </c>
      <c r="AV131" s="457">
        <f t="shared" ref="AV131" si="1155">AU131+1</f>
        <v>2058</v>
      </c>
      <c r="AW131" s="457">
        <f t="shared" ref="AW131" si="1156">AV131+1</f>
        <v>2059</v>
      </c>
      <c r="AX131" s="457">
        <f>AS131+5</f>
        <v>2060</v>
      </c>
      <c r="AY131" s="457">
        <f>AX131+1</f>
        <v>2061</v>
      </c>
      <c r="AZ131" s="457">
        <f t="shared" ref="AZ131" si="1157">AY131+1</f>
        <v>2062</v>
      </c>
      <c r="BA131" s="457">
        <f t="shared" ref="BA131" si="1158">AZ131+1</f>
        <v>2063</v>
      </c>
      <c r="BB131" s="457">
        <f t="shared" ref="BB131" si="1159">BA131+1</f>
        <v>2064</v>
      </c>
      <c r="BC131" s="457">
        <f>AX131+5</f>
        <v>2065</v>
      </c>
      <c r="BD131" s="457">
        <f>BC131+1</f>
        <v>2066</v>
      </c>
      <c r="BE131" s="457">
        <f t="shared" ref="BE131" si="1160">BD131+1</f>
        <v>2067</v>
      </c>
      <c r="BF131" s="457">
        <f t="shared" ref="BF131" si="1161">BE131+1</f>
        <v>2068</v>
      </c>
      <c r="BG131" s="457">
        <f t="shared" ref="BG131" si="1162">BF131+1</f>
        <v>2069</v>
      </c>
      <c r="BH131" s="457">
        <f>BC131+5</f>
        <v>2070</v>
      </c>
      <c r="BI131" s="457">
        <f>BH131+1</f>
        <v>2071</v>
      </c>
      <c r="BJ131" s="457">
        <f t="shared" ref="BJ131" si="1163">BI131+1</f>
        <v>2072</v>
      </c>
      <c r="BK131" s="457">
        <f t="shared" ref="BK131" si="1164">BJ131+1</f>
        <v>2073</v>
      </c>
      <c r="BL131" s="457">
        <f t="shared" ref="BL131" si="1165">BK131+1</f>
        <v>2074</v>
      </c>
      <c r="BM131" s="457">
        <f>BH131+5</f>
        <v>2075</v>
      </c>
      <c r="BN131" s="457">
        <f>BM131+1</f>
        <v>2076</v>
      </c>
      <c r="BO131" s="457">
        <f t="shared" ref="BO131" si="1166">BN131+1</f>
        <v>2077</v>
      </c>
      <c r="BP131" s="457">
        <f t="shared" ref="BP131" si="1167">BO131+1</f>
        <v>2078</v>
      </c>
      <c r="BQ131" s="457">
        <f t="shared" ref="BQ131" si="1168">BP131+1</f>
        <v>2079</v>
      </c>
      <c r="BR131" s="457">
        <f>BM131+5</f>
        <v>2080</v>
      </c>
      <c r="BS131" s="457">
        <f>BR131+1</f>
        <v>2081</v>
      </c>
      <c r="BT131" s="457">
        <f t="shared" ref="BT131" si="1169">BS131+1</f>
        <v>2082</v>
      </c>
      <c r="BU131" s="457">
        <f t="shared" ref="BU131" si="1170">BT131+1</f>
        <v>2083</v>
      </c>
      <c r="BV131" s="457">
        <f t="shared" ref="BV131" si="1171">BU131+1</f>
        <v>2084</v>
      </c>
      <c r="BW131" s="457">
        <f>BR131+5</f>
        <v>2085</v>
      </c>
      <c r="BX131" s="457">
        <f>BW131+1</f>
        <v>2086</v>
      </c>
      <c r="BY131" s="457">
        <f t="shared" ref="BY131" si="1172">BX131+1</f>
        <v>2087</v>
      </c>
      <c r="BZ131" s="457">
        <f t="shared" ref="BZ131" si="1173">BY131+1</f>
        <v>2088</v>
      </c>
      <c r="CA131" s="457">
        <f t="shared" ref="CA131" si="1174">BZ131+1</f>
        <v>2089</v>
      </c>
      <c r="CB131" s="457">
        <f>BW131+5</f>
        <v>2090</v>
      </c>
      <c r="CC131" s="457">
        <f>CB131+1</f>
        <v>2091</v>
      </c>
      <c r="CD131" s="457">
        <f t="shared" ref="CD131" si="1175">CC131+1</f>
        <v>2092</v>
      </c>
      <c r="CE131" s="457">
        <f t="shared" ref="CE131" si="1176">CD131+1</f>
        <v>2093</v>
      </c>
      <c r="CF131" s="457">
        <f t="shared" ref="CF131" si="1177">CE131+1</f>
        <v>2094</v>
      </c>
      <c r="CG131" s="457">
        <f>CB131+5</f>
        <v>2095</v>
      </c>
      <c r="CH131" s="457">
        <f>CG131+1</f>
        <v>2096</v>
      </c>
      <c r="CI131" s="457">
        <f t="shared" ref="CI131" si="1178">CH131+1</f>
        <v>2097</v>
      </c>
      <c r="CJ131" s="457">
        <f t="shared" ref="CJ131" si="1179">CI131+1</f>
        <v>2098</v>
      </c>
      <c r="CK131" s="457">
        <f t="shared" ref="CK131" si="1180">CJ131+1</f>
        <v>2099</v>
      </c>
      <c r="CL131" s="457">
        <f>CG131+5</f>
        <v>2100</v>
      </c>
      <c r="CN131" s="458" t="s">
        <v>409</v>
      </c>
      <c r="CO131" s="458" t="s">
        <v>411</v>
      </c>
      <c r="CP131" s="458" t="s">
        <v>410</v>
      </c>
    </row>
    <row r="132" spans="1:94" s="460" customFormat="1" ht="16.5" hidden="1" outlineLevel="1" thickTop="1">
      <c r="A132" s="403" t="s">
        <v>487</v>
      </c>
      <c r="B132" s="403" t="s">
        <v>426</v>
      </c>
      <c r="C132" s="403" t="s">
        <v>32</v>
      </c>
      <c r="D132" s="403"/>
      <c r="E132" s="405"/>
      <c r="F132" s="405"/>
      <c r="G132" s="405"/>
      <c r="H132" s="405"/>
      <c r="I132" s="405" t="e">
        <f t="shared" ref="I132:AN132" ca="1" si="1181">I113/H113</f>
        <v>#DIV/0!</v>
      </c>
      <c r="J132" s="405" t="e">
        <f t="shared" ca="1" si="1181"/>
        <v>#N/A</v>
      </c>
      <c r="K132" s="405" t="e">
        <f t="shared" ca="1" si="1181"/>
        <v>#N/A</v>
      </c>
      <c r="L132" s="405" t="e">
        <f t="shared" ca="1" si="1181"/>
        <v>#N/A</v>
      </c>
      <c r="M132" s="405" t="e">
        <f t="shared" ca="1" si="1181"/>
        <v>#N/A</v>
      </c>
      <c r="N132" s="405" t="e">
        <f t="shared" ca="1" si="1181"/>
        <v>#DIV/0!</v>
      </c>
      <c r="O132" s="405" t="e">
        <f t="shared" ca="1" si="1181"/>
        <v>#DIV/0!</v>
      </c>
      <c r="P132" s="405" t="e">
        <f t="shared" ca="1" si="1181"/>
        <v>#DIV/0!</v>
      </c>
      <c r="Q132" s="405" t="e">
        <f t="shared" ca="1" si="1181"/>
        <v>#DIV/0!</v>
      </c>
      <c r="R132" s="405" t="e">
        <f t="shared" ca="1" si="1181"/>
        <v>#DIV/0!</v>
      </c>
      <c r="S132" s="418" t="e">
        <f t="shared" ca="1" si="1181"/>
        <v>#DIV/0!</v>
      </c>
      <c r="T132" s="418" t="e">
        <f t="shared" ca="1" si="1181"/>
        <v>#DIV/0!</v>
      </c>
      <c r="U132" s="418" t="e">
        <f t="shared" ca="1" si="1181"/>
        <v>#DIV/0!</v>
      </c>
      <c r="V132" s="405" t="e">
        <f t="shared" ca="1" si="1181"/>
        <v>#DIV/0!</v>
      </c>
      <c r="W132" s="405" t="e">
        <f t="shared" ca="1" si="1181"/>
        <v>#DIV/0!</v>
      </c>
      <c r="X132" s="405" t="e">
        <f t="shared" ca="1" si="1181"/>
        <v>#DIV/0!</v>
      </c>
      <c r="Y132" s="405" t="e">
        <f t="shared" ca="1" si="1181"/>
        <v>#DIV/0!</v>
      </c>
      <c r="Z132" s="405" t="e">
        <f t="shared" ca="1" si="1181"/>
        <v>#DIV/0!</v>
      </c>
      <c r="AA132" s="405" t="e">
        <f t="shared" ca="1" si="1181"/>
        <v>#DIV/0!</v>
      </c>
      <c r="AB132" s="405" t="e">
        <f t="shared" ca="1" si="1181"/>
        <v>#DIV/0!</v>
      </c>
      <c r="AC132" s="405" t="e">
        <f t="shared" ca="1" si="1181"/>
        <v>#DIV/0!</v>
      </c>
      <c r="AD132" s="405" t="e">
        <f t="shared" ca="1" si="1181"/>
        <v>#DIV/0!</v>
      </c>
      <c r="AE132" s="405" t="e">
        <f t="shared" ca="1" si="1181"/>
        <v>#DIV/0!</v>
      </c>
      <c r="AF132" s="405" t="e">
        <f t="shared" ca="1" si="1181"/>
        <v>#DIV/0!</v>
      </c>
      <c r="AG132" s="405" t="e">
        <f t="shared" ca="1" si="1181"/>
        <v>#DIV/0!</v>
      </c>
      <c r="AH132" s="405" t="e">
        <f t="shared" ca="1" si="1181"/>
        <v>#DIV/0!</v>
      </c>
      <c r="AI132" s="405" t="e">
        <f t="shared" ca="1" si="1181"/>
        <v>#DIV/0!</v>
      </c>
      <c r="AJ132" s="405" t="e">
        <f t="shared" ca="1" si="1181"/>
        <v>#DIV/0!</v>
      </c>
      <c r="AK132" s="405" t="e">
        <f t="shared" ca="1" si="1181"/>
        <v>#DIV/0!</v>
      </c>
      <c r="AL132" s="405" t="e">
        <f t="shared" ca="1" si="1181"/>
        <v>#DIV/0!</v>
      </c>
      <c r="AM132" s="405" t="e">
        <f t="shared" ca="1" si="1181"/>
        <v>#DIV/0!</v>
      </c>
      <c r="AN132" s="405" t="e">
        <f t="shared" ca="1" si="1181"/>
        <v>#DIV/0!</v>
      </c>
      <c r="AO132" s="405" t="e">
        <f t="shared" ref="AO132:BT132" ca="1" si="1182">AO113/AN113</f>
        <v>#DIV/0!</v>
      </c>
      <c r="AP132" s="405" t="e">
        <f t="shared" ca="1" si="1182"/>
        <v>#DIV/0!</v>
      </c>
      <c r="AQ132" s="405" t="e">
        <f t="shared" ca="1" si="1182"/>
        <v>#DIV/0!</v>
      </c>
      <c r="AR132" s="405" t="e">
        <f t="shared" ca="1" si="1182"/>
        <v>#DIV/0!</v>
      </c>
      <c r="AS132" s="405" t="e">
        <f t="shared" ca="1" si="1182"/>
        <v>#DIV/0!</v>
      </c>
      <c r="AT132" s="405" t="e">
        <f t="shared" ca="1" si="1182"/>
        <v>#DIV/0!</v>
      </c>
      <c r="AU132" s="405" t="e">
        <f t="shared" ca="1" si="1182"/>
        <v>#DIV/0!</v>
      </c>
      <c r="AV132" s="405" t="e">
        <f t="shared" ca="1" si="1182"/>
        <v>#DIV/0!</v>
      </c>
      <c r="AW132" s="405" t="e">
        <f t="shared" ca="1" si="1182"/>
        <v>#DIV/0!</v>
      </c>
      <c r="AX132" s="405" t="e">
        <f t="shared" ca="1" si="1182"/>
        <v>#DIV/0!</v>
      </c>
      <c r="AY132" s="405" t="e">
        <f t="shared" ca="1" si="1182"/>
        <v>#DIV/0!</v>
      </c>
      <c r="AZ132" s="405" t="e">
        <f t="shared" ca="1" si="1182"/>
        <v>#DIV/0!</v>
      </c>
      <c r="BA132" s="405" t="e">
        <f t="shared" ca="1" si="1182"/>
        <v>#DIV/0!</v>
      </c>
      <c r="BB132" s="405" t="e">
        <f t="shared" ca="1" si="1182"/>
        <v>#DIV/0!</v>
      </c>
      <c r="BC132" s="405" t="e">
        <f t="shared" ca="1" si="1182"/>
        <v>#DIV/0!</v>
      </c>
      <c r="BD132" s="405" t="e">
        <f t="shared" ca="1" si="1182"/>
        <v>#DIV/0!</v>
      </c>
      <c r="BE132" s="405" t="e">
        <f t="shared" ca="1" si="1182"/>
        <v>#DIV/0!</v>
      </c>
      <c r="BF132" s="405" t="e">
        <f t="shared" ca="1" si="1182"/>
        <v>#DIV/0!</v>
      </c>
      <c r="BG132" s="405" t="e">
        <f t="shared" ca="1" si="1182"/>
        <v>#DIV/0!</v>
      </c>
      <c r="BH132" s="405" t="e">
        <f t="shared" ca="1" si="1182"/>
        <v>#DIV/0!</v>
      </c>
      <c r="BI132" s="405" t="e">
        <f t="shared" ca="1" si="1182"/>
        <v>#DIV/0!</v>
      </c>
      <c r="BJ132" s="405" t="e">
        <f t="shared" ca="1" si="1182"/>
        <v>#DIV/0!</v>
      </c>
      <c r="BK132" s="405" t="e">
        <f t="shared" ca="1" si="1182"/>
        <v>#DIV/0!</v>
      </c>
      <c r="BL132" s="405" t="e">
        <f t="shared" ca="1" si="1182"/>
        <v>#DIV/0!</v>
      </c>
      <c r="BM132" s="405" t="e">
        <f t="shared" ca="1" si="1182"/>
        <v>#DIV/0!</v>
      </c>
      <c r="BN132" s="405" t="e">
        <f t="shared" ca="1" si="1182"/>
        <v>#DIV/0!</v>
      </c>
      <c r="BO132" s="405" t="e">
        <f t="shared" ca="1" si="1182"/>
        <v>#DIV/0!</v>
      </c>
      <c r="BP132" s="405" t="e">
        <f t="shared" ca="1" si="1182"/>
        <v>#DIV/0!</v>
      </c>
      <c r="BQ132" s="405" t="e">
        <f t="shared" ca="1" si="1182"/>
        <v>#DIV/0!</v>
      </c>
      <c r="BR132" s="405" t="e">
        <f t="shared" ca="1" si="1182"/>
        <v>#DIV/0!</v>
      </c>
      <c r="BS132" s="405" t="e">
        <f t="shared" ca="1" si="1182"/>
        <v>#DIV/0!</v>
      </c>
      <c r="BT132" s="405" t="e">
        <f t="shared" ca="1" si="1182"/>
        <v>#DIV/0!</v>
      </c>
      <c r="BU132" s="405" t="e">
        <f t="shared" ref="BU132:CL132" ca="1" si="1183">BU113/BT113</f>
        <v>#DIV/0!</v>
      </c>
      <c r="BV132" s="405" t="e">
        <f t="shared" ca="1" si="1183"/>
        <v>#DIV/0!</v>
      </c>
      <c r="BW132" s="405" t="e">
        <f t="shared" ca="1" si="1183"/>
        <v>#DIV/0!</v>
      </c>
      <c r="BX132" s="405" t="e">
        <f t="shared" ca="1" si="1183"/>
        <v>#DIV/0!</v>
      </c>
      <c r="BY132" s="405" t="e">
        <f t="shared" ca="1" si="1183"/>
        <v>#DIV/0!</v>
      </c>
      <c r="BZ132" s="405" t="e">
        <f t="shared" ca="1" si="1183"/>
        <v>#DIV/0!</v>
      </c>
      <c r="CA132" s="405" t="e">
        <f t="shared" ca="1" si="1183"/>
        <v>#DIV/0!</v>
      </c>
      <c r="CB132" s="405" t="e">
        <f t="shared" ca="1" si="1183"/>
        <v>#DIV/0!</v>
      </c>
      <c r="CC132" s="405" t="e">
        <f t="shared" ca="1" si="1183"/>
        <v>#DIV/0!</v>
      </c>
      <c r="CD132" s="405" t="e">
        <f t="shared" ca="1" si="1183"/>
        <v>#DIV/0!</v>
      </c>
      <c r="CE132" s="405" t="e">
        <f t="shared" ca="1" si="1183"/>
        <v>#DIV/0!</v>
      </c>
      <c r="CF132" s="405" t="e">
        <f t="shared" ca="1" si="1183"/>
        <v>#DIV/0!</v>
      </c>
      <c r="CG132" s="405" t="e">
        <f t="shared" ca="1" si="1183"/>
        <v>#DIV/0!</v>
      </c>
      <c r="CH132" s="405" t="e">
        <f t="shared" ca="1" si="1183"/>
        <v>#DIV/0!</v>
      </c>
      <c r="CI132" s="405" t="e">
        <f t="shared" ca="1" si="1183"/>
        <v>#DIV/0!</v>
      </c>
      <c r="CJ132" s="405" t="e">
        <f t="shared" ca="1" si="1183"/>
        <v>#DIV/0!</v>
      </c>
      <c r="CK132" s="405" t="e">
        <f t="shared" ca="1" si="1183"/>
        <v>#DIV/0!</v>
      </c>
      <c r="CL132" s="405" t="e">
        <f t="shared" ca="1" si="1183"/>
        <v>#DIV/0!</v>
      </c>
      <c r="CM132" s="41"/>
      <c r="CN132" s="406"/>
      <c r="CO132" s="406"/>
      <c r="CP132" s="406"/>
    </row>
    <row r="133" spans="1:94" hidden="1" outlineLevel="1">
      <c r="A133" s="403" t="s">
        <v>487</v>
      </c>
      <c r="B133" s="403" t="s">
        <v>424</v>
      </c>
      <c r="C133" s="403" t="s">
        <v>422</v>
      </c>
      <c r="D133" s="403"/>
      <c r="E133" s="405"/>
      <c r="F133" s="405"/>
      <c r="G133" s="405"/>
      <c r="H133" s="405"/>
      <c r="I133" s="405" t="str">
        <f>I118</f>
        <v/>
      </c>
      <c r="J133" s="405" t="e">
        <f t="shared" ref="J133:AO133" ca="1" si="1184">J132*I133</f>
        <v>#N/A</v>
      </c>
      <c r="K133" s="405" t="e">
        <f t="shared" ca="1" si="1184"/>
        <v>#N/A</v>
      </c>
      <c r="L133" s="405" t="e">
        <f t="shared" ca="1" si="1184"/>
        <v>#N/A</v>
      </c>
      <c r="M133" s="405" t="e">
        <f t="shared" ca="1" si="1184"/>
        <v>#N/A</v>
      </c>
      <c r="N133" s="405" t="e">
        <f t="shared" ca="1" si="1184"/>
        <v>#DIV/0!</v>
      </c>
      <c r="O133" s="405" t="e">
        <f t="shared" ca="1" si="1184"/>
        <v>#DIV/0!</v>
      </c>
      <c r="P133" s="405" t="e">
        <f t="shared" ca="1" si="1184"/>
        <v>#DIV/0!</v>
      </c>
      <c r="Q133" s="405" t="e">
        <f t="shared" ca="1" si="1184"/>
        <v>#DIV/0!</v>
      </c>
      <c r="R133" s="405" t="e">
        <f t="shared" ca="1" si="1184"/>
        <v>#DIV/0!</v>
      </c>
      <c r="S133" s="418" t="e">
        <f t="shared" ca="1" si="1184"/>
        <v>#DIV/0!</v>
      </c>
      <c r="T133" s="418" t="e">
        <f t="shared" ca="1" si="1184"/>
        <v>#DIV/0!</v>
      </c>
      <c r="U133" s="418" t="e">
        <f t="shared" ca="1" si="1184"/>
        <v>#DIV/0!</v>
      </c>
      <c r="V133" s="405" t="e">
        <f t="shared" ca="1" si="1184"/>
        <v>#DIV/0!</v>
      </c>
      <c r="W133" s="405" t="e">
        <f t="shared" ca="1" si="1184"/>
        <v>#DIV/0!</v>
      </c>
      <c r="X133" s="405" t="e">
        <f t="shared" ca="1" si="1184"/>
        <v>#DIV/0!</v>
      </c>
      <c r="Y133" s="405" t="e">
        <f t="shared" ca="1" si="1184"/>
        <v>#DIV/0!</v>
      </c>
      <c r="Z133" s="405" t="e">
        <f t="shared" ca="1" si="1184"/>
        <v>#DIV/0!</v>
      </c>
      <c r="AA133" s="405" t="e">
        <f t="shared" ca="1" si="1184"/>
        <v>#DIV/0!</v>
      </c>
      <c r="AB133" s="405" t="e">
        <f t="shared" ca="1" si="1184"/>
        <v>#DIV/0!</v>
      </c>
      <c r="AC133" s="405" t="e">
        <f t="shared" ca="1" si="1184"/>
        <v>#DIV/0!</v>
      </c>
      <c r="AD133" s="405" t="e">
        <f t="shared" ca="1" si="1184"/>
        <v>#DIV/0!</v>
      </c>
      <c r="AE133" s="405" t="e">
        <f t="shared" ca="1" si="1184"/>
        <v>#DIV/0!</v>
      </c>
      <c r="AF133" s="405" t="e">
        <f t="shared" ca="1" si="1184"/>
        <v>#DIV/0!</v>
      </c>
      <c r="AG133" s="405" t="e">
        <f t="shared" ca="1" si="1184"/>
        <v>#DIV/0!</v>
      </c>
      <c r="AH133" s="405" t="e">
        <f t="shared" ca="1" si="1184"/>
        <v>#DIV/0!</v>
      </c>
      <c r="AI133" s="405" t="e">
        <f t="shared" ca="1" si="1184"/>
        <v>#DIV/0!</v>
      </c>
      <c r="AJ133" s="405" t="e">
        <f t="shared" ca="1" si="1184"/>
        <v>#DIV/0!</v>
      </c>
      <c r="AK133" s="405" t="e">
        <f t="shared" ca="1" si="1184"/>
        <v>#DIV/0!</v>
      </c>
      <c r="AL133" s="405" t="e">
        <f t="shared" ca="1" si="1184"/>
        <v>#DIV/0!</v>
      </c>
      <c r="AM133" s="405" t="e">
        <f t="shared" ca="1" si="1184"/>
        <v>#DIV/0!</v>
      </c>
      <c r="AN133" s="405" t="e">
        <f t="shared" ca="1" si="1184"/>
        <v>#DIV/0!</v>
      </c>
      <c r="AO133" s="405" t="e">
        <f t="shared" ca="1" si="1184"/>
        <v>#DIV/0!</v>
      </c>
      <c r="AP133" s="405" t="e">
        <f t="shared" ref="AP133:BU133" ca="1" si="1185">AP132*AO133</f>
        <v>#DIV/0!</v>
      </c>
      <c r="AQ133" s="405" t="e">
        <f t="shared" ca="1" si="1185"/>
        <v>#DIV/0!</v>
      </c>
      <c r="AR133" s="405" t="e">
        <f t="shared" ca="1" si="1185"/>
        <v>#DIV/0!</v>
      </c>
      <c r="AS133" s="405" t="e">
        <f t="shared" ca="1" si="1185"/>
        <v>#DIV/0!</v>
      </c>
      <c r="AT133" s="405" t="e">
        <f t="shared" ca="1" si="1185"/>
        <v>#DIV/0!</v>
      </c>
      <c r="AU133" s="405" t="e">
        <f t="shared" ca="1" si="1185"/>
        <v>#DIV/0!</v>
      </c>
      <c r="AV133" s="405" t="e">
        <f t="shared" ca="1" si="1185"/>
        <v>#DIV/0!</v>
      </c>
      <c r="AW133" s="405" t="e">
        <f t="shared" ca="1" si="1185"/>
        <v>#DIV/0!</v>
      </c>
      <c r="AX133" s="405" t="e">
        <f t="shared" ca="1" si="1185"/>
        <v>#DIV/0!</v>
      </c>
      <c r="AY133" s="405" t="e">
        <f t="shared" ca="1" si="1185"/>
        <v>#DIV/0!</v>
      </c>
      <c r="AZ133" s="405" t="e">
        <f t="shared" ca="1" si="1185"/>
        <v>#DIV/0!</v>
      </c>
      <c r="BA133" s="405" t="e">
        <f t="shared" ca="1" si="1185"/>
        <v>#DIV/0!</v>
      </c>
      <c r="BB133" s="405" t="e">
        <f t="shared" ca="1" si="1185"/>
        <v>#DIV/0!</v>
      </c>
      <c r="BC133" s="405" t="e">
        <f t="shared" ca="1" si="1185"/>
        <v>#DIV/0!</v>
      </c>
      <c r="BD133" s="405" t="e">
        <f t="shared" ca="1" si="1185"/>
        <v>#DIV/0!</v>
      </c>
      <c r="BE133" s="405" t="e">
        <f t="shared" ca="1" si="1185"/>
        <v>#DIV/0!</v>
      </c>
      <c r="BF133" s="405" t="e">
        <f t="shared" ca="1" si="1185"/>
        <v>#DIV/0!</v>
      </c>
      <c r="BG133" s="405" t="e">
        <f t="shared" ca="1" si="1185"/>
        <v>#DIV/0!</v>
      </c>
      <c r="BH133" s="405" t="e">
        <f t="shared" ca="1" si="1185"/>
        <v>#DIV/0!</v>
      </c>
      <c r="BI133" s="405" t="e">
        <f t="shared" ca="1" si="1185"/>
        <v>#DIV/0!</v>
      </c>
      <c r="BJ133" s="405" t="e">
        <f t="shared" ca="1" si="1185"/>
        <v>#DIV/0!</v>
      </c>
      <c r="BK133" s="405" t="e">
        <f t="shared" ca="1" si="1185"/>
        <v>#DIV/0!</v>
      </c>
      <c r="BL133" s="405" t="e">
        <f t="shared" ca="1" si="1185"/>
        <v>#DIV/0!</v>
      </c>
      <c r="BM133" s="405" t="e">
        <f t="shared" ca="1" si="1185"/>
        <v>#DIV/0!</v>
      </c>
      <c r="BN133" s="405" t="e">
        <f t="shared" ca="1" si="1185"/>
        <v>#DIV/0!</v>
      </c>
      <c r="BO133" s="405" t="e">
        <f t="shared" ca="1" si="1185"/>
        <v>#DIV/0!</v>
      </c>
      <c r="BP133" s="405" t="e">
        <f t="shared" ca="1" si="1185"/>
        <v>#DIV/0!</v>
      </c>
      <c r="BQ133" s="405" t="e">
        <f t="shared" ca="1" si="1185"/>
        <v>#DIV/0!</v>
      </c>
      <c r="BR133" s="405" t="e">
        <f t="shared" ca="1" si="1185"/>
        <v>#DIV/0!</v>
      </c>
      <c r="BS133" s="405" t="e">
        <f t="shared" ca="1" si="1185"/>
        <v>#DIV/0!</v>
      </c>
      <c r="BT133" s="405" t="e">
        <f t="shared" ca="1" si="1185"/>
        <v>#DIV/0!</v>
      </c>
      <c r="BU133" s="405" t="e">
        <f t="shared" ca="1" si="1185"/>
        <v>#DIV/0!</v>
      </c>
      <c r="BV133" s="405" t="e">
        <f t="shared" ref="BV133:CL133" ca="1" si="1186">BV132*BU133</f>
        <v>#DIV/0!</v>
      </c>
      <c r="BW133" s="405" t="e">
        <f t="shared" ca="1" si="1186"/>
        <v>#DIV/0!</v>
      </c>
      <c r="BX133" s="405" t="e">
        <f t="shared" ca="1" si="1186"/>
        <v>#DIV/0!</v>
      </c>
      <c r="BY133" s="405" t="e">
        <f t="shared" ca="1" si="1186"/>
        <v>#DIV/0!</v>
      </c>
      <c r="BZ133" s="405" t="e">
        <f t="shared" ca="1" si="1186"/>
        <v>#DIV/0!</v>
      </c>
      <c r="CA133" s="405" t="e">
        <f t="shared" ca="1" si="1186"/>
        <v>#DIV/0!</v>
      </c>
      <c r="CB133" s="405" t="e">
        <f t="shared" ca="1" si="1186"/>
        <v>#DIV/0!</v>
      </c>
      <c r="CC133" s="405" t="e">
        <f t="shared" ca="1" si="1186"/>
        <v>#DIV/0!</v>
      </c>
      <c r="CD133" s="405" t="e">
        <f t="shared" ca="1" si="1186"/>
        <v>#DIV/0!</v>
      </c>
      <c r="CE133" s="405" t="e">
        <f t="shared" ca="1" si="1186"/>
        <v>#DIV/0!</v>
      </c>
      <c r="CF133" s="405" t="e">
        <f t="shared" ca="1" si="1186"/>
        <v>#DIV/0!</v>
      </c>
      <c r="CG133" s="405" t="e">
        <f t="shared" ca="1" si="1186"/>
        <v>#DIV/0!</v>
      </c>
      <c r="CH133" s="405" t="e">
        <f t="shared" ca="1" si="1186"/>
        <v>#DIV/0!</v>
      </c>
      <c r="CI133" s="405" t="e">
        <f t="shared" ca="1" si="1186"/>
        <v>#DIV/0!</v>
      </c>
      <c r="CJ133" s="405" t="e">
        <f t="shared" ca="1" si="1186"/>
        <v>#DIV/0!</v>
      </c>
      <c r="CK133" s="405" t="e">
        <f t="shared" ca="1" si="1186"/>
        <v>#DIV/0!</v>
      </c>
      <c r="CL133" s="405" t="e">
        <f t="shared" ca="1" si="1186"/>
        <v>#DIV/0!</v>
      </c>
      <c r="CN133" s="406"/>
      <c r="CO133" s="406"/>
      <c r="CP133" s="406"/>
    </row>
    <row r="134" spans="1:94" hidden="1" outlineLevel="1">
      <c r="A134" s="403" t="s">
        <v>487</v>
      </c>
      <c r="B134" s="403" t="s">
        <v>424</v>
      </c>
      <c r="C134" s="403" t="s">
        <v>2</v>
      </c>
      <c r="D134" s="403"/>
      <c r="E134" s="405"/>
      <c r="F134" s="405"/>
      <c r="G134" s="405"/>
      <c r="H134" s="405"/>
      <c r="I134" s="405" t="e">
        <f t="shared" ref="I134:AN134" si="1187">(I133*I117)/1000</f>
        <v>#VALUE!</v>
      </c>
      <c r="J134" s="405" t="e">
        <f t="shared" ca="1" si="1187"/>
        <v>#N/A</v>
      </c>
      <c r="K134" s="405" t="e">
        <f t="shared" ca="1" si="1187"/>
        <v>#N/A</v>
      </c>
      <c r="L134" s="405" t="e">
        <f t="shared" ca="1" si="1187"/>
        <v>#N/A</v>
      </c>
      <c r="M134" s="405" t="e">
        <f t="shared" ca="1" si="1187"/>
        <v>#N/A</v>
      </c>
      <c r="N134" s="405" t="e">
        <f t="shared" ca="1" si="1187"/>
        <v>#DIV/0!</v>
      </c>
      <c r="O134" s="405" t="e">
        <f t="shared" ca="1" si="1187"/>
        <v>#DIV/0!</v>
      </c>
      <c r="P134" s="405" t="e">
        <f t="shared" ca="1" si="1187"/>
        <v>#DIV/0!</v>
      </c>
      <c r="Q134" s="405" t="e">
        <f t="shared" ca="1" si="1187"/>
        <v>#DIV/0!</v>
      </c>
      <c r="R134" s="405" t="e">
        <f t="shared" ca="1" si="1187"/>
        <v>#DIV/0!</v>
      </c>
      <c r="S134" s="418" t="e">
        <f t="shared" ca="1" si="1187"/>
        <v>#DIV/0!</v>
      </c>
      <c r="T134" s="418" t="e">
        <f t="shared" ca="1" si="1187"/>
        <v>#DIV/0!</v>
      </c>
      <c r="U134" s="418" t="e">
        <f t="shared" ca="1" si="1187"/>
        <v>#DIV/0!</v>
      </c>
      <c r="V134" s="405" t="e">
        <f t="shared" ca="1" si="1187"/>
        <v>#DIV/0!</v>
      </c>
      <c r="W134" s="405" t="e">
        <f t="shared" ca="1" si="1187"/>
        <v>#DIV/0!</v>
      </c>
      <c r="X134" s="405" t="e">
        <f t="shared" ca="1" si="1187"/>
        <v>#DIV/0!</v>
      </c>
      <c r="Y134" s="405" t="e">
        <f t="shared" ca="1" si="1187"/>
        <v>#DIV/0!</v>
      </c>
      <c r="Z134" s="405" t="e">
        <f t="shared" ca="1" si="1187"/>
        <v>#DIV/0!</v>
      </c>
      <c r="AA134" s="405" t="e">
        <f t="shared" ca="1" si="1187"/>
        <v>#DIV/0!</v>
      </c>
      <c r="AB134" s="405" t="e">
        <f t="shared" ca="1" si="1187"/>
        <v>#DIV/0!</v>
      </c>
      <c r="AC134" s="405" t="e">
        <f t="shared" ca="1" si="1187"/>
        <v>#DIV/0!</v>
      </c>
      <c r="AD134" s="405" t="e">
        <f t="shared" ca="1" si="1187"/>
        <v>#DIV/0!</v>
      </c>
      <c r="AE134" s="405" t="e">
        <f t="shared" ca="1" si="1187"/>
        <v>#DIV/0!</v>
      </c>
      <c r="AF134" s="405" t="e">
        <f t="shared" ca="1" si="1187"/>
        <v>#DIV/0!</v>
      </c>
      <c r="AG134" s="405" t="e">
        <f t="shared" ca="1" si="1187"/>
        <v>#DIV/0!</v>
      </c>
      <c r="AH134" s="405" t="e">
        <f t="shared" ca="1" si="1187"/>
        <v>#DIV/0!</v>
      </c>
      <c r="AI134" s="405" t="e">
        <f t="shared" ca="1" si="1187"/>
        <v>#DIV/0!</v>
      </c>
      <c r="AJ134" s="405" t="e">
        <f t="shared" ca="1" si="1187"/>
        <v>#DIV/0!</v>
      </c>
      <c r="AK134" s="405" t="e">
        <f t="shared" ca="1" si="1187"/>
        <v>#DIV/0!</v>
      </c>
      <c r="AL134" s="405" t="e">
        <f t="shared" ca="1" si="1187"/>
        <v>#DIV/0!</v>
      </c>
      <c r="AM134" s="405" t="e">
        <f t="shared" ca="1" si="1187"/>
        <v>#DIV/0!</v>
      </c>
      <c r="AN134" s="405" t="e">
        <f t="shared" ca="1" si="1187"/>
        <v>#DIV/0!</v>
      </c>
      <c r="AO134" s="405" t="e">
        <f t="shared" ref="AO134:BT134" ca="1" si="1188">(AO133*AO117)/1000</f>
        <v>#DIV/0!</v>
      </c>
      <c r="AP134" s="405" t="e">
        <f t="shared" ca="1" si="1188"/>
        <v>#DIV/0!</v>
      </c>
      <c r="AQ134" s="405" t="e">
        <f t="shared" ca="1" si="1188"/>
        <v>#DIV/0!</v>
      </c>
      <c r="AR134" s="405" t="e">
        <f t="shared" ca="1" si="1188"/>
        <v>#DIV/0!</v>
      </c>
      <c r="AS134" s="405" t="e">
        <f t="shared" ca="1" si="1188"/>
        <v>#DIV/0!</v>
      </c>
      <c r="AT134" s="405" t="e">
        <f t="shared" ca="1" si="1188"/>
        <v>#DIV/0!</v>
      </c>
      <c r="AU134" s="405" t="e">
        <f t="shared" ca="1" si="1188"/>
        <v>#DIV/0!</v>
      </c>
      <c r="AV134" s="405" t="e">
        <f t="shared" ca="1" si="1188"/>
        <v>#DIV/0!</v>
      </c>
      <c r="AW134" s="405" t="e">
        <f t="shared" ca="1" si="1188"/>
        <v>#DIV/0!</v>
      </c>
      <c r="AX134" s="405" t="e">
        <f t="shared" ca="1" si="1188"/>
        <v>#DIV/0!</v>
      </c>
      <c r="AY134" s="405" t="e">
        <f t="shared" ca="1" si="1188"/>
        <v>#DIV/0!</v>
      </c>
      <c r="AZ134" s="405" t="e">
        <f t="shared" ca="1" si="1188"/>
        <v>#DIV/0!</v>
      </c>
      <c r="BA134" s="405" t="e">
        <f t="shared" ca="1" si="1188"/>
        <v>#DIV/0!</v>
      </c>
      <c r="BB134" s="405" t="e">
        <f t="shared" ca="1" si="1188"/>
        <v>#DIV/0!</v>
      </c>
      <c r="BC134" s="405" t="e">
        <f t="shared" ca="1" si="1188"/>
        <v>#DIV/0!</v>
      </c>
      <c r="BD134" s="405" t="e">
        <f t="shared" ca="1" si="1188"/>
        <v>#DIV/0!</v>
      </c>
      <c r="BE134" s="405" t="e">
        <f t="shared" ca="1" si="1188"/>
        <v>#DIV/0!</v>
      </c>
      <c r="BF134" s="405" t="e">
        <f t="shared" ca="1" si="1188"/>
        <v>#DIV/0!</v>
      </c>
      <c r="BG134" s="405" t="e">
        <f t="shared" ca="1" si="1188"/>
        <v>#DIV/0!</v>
      </c>
      <c r="BH134" s="405" t="e">
        <f t="shared" ca="1" si="1188"/>
        <v>#DIV/0!</v>
      </c>
      <c r="BI134" s="405" t="e">
        <f t="shared" ca="1" si="1188"/>
        <v>#DIV/0!</v>
      </c>
      <c r="BJ134" s="405" t="e">
        <f t="shared" ca="1" si="1188"/>
        <v>#DIV/0!</v>
      </c>
      <c r="BK134" s="405" t="e">
        <f t="shared" ca="1" si="1188"/>
        <v>#DIV/0!</v>
      </c>
      <c r="BL134" s="405" t="e">
        <f t="shared" ca="1" si="1188"/>
        <v>#DIV/0!</v>
      </c>
      <c r="BM134" s="405" t="e">
        <f t="shared" ca="1" si="1188"/>
        <v>#DIV/0!</v>
      </c>
      <c r="BN134" s="405" t="e">
        <f t="shared" ca="1" si="1188"/>
        <v>#DIV/0!</v>
      </c>
      <c r="BO134" s="405" t="e">
        <f t="shared" ca="1" si="1188"/>
        <v>#DIV/0!</v>
      </c>
      <c r="BP134" s="405" t="e">
        <f t="shared" ca="1" si="1188"/>
        <v>#DIV/0!</v>
      </c>
      <c r="BQ134" s="405" t="e">
        <f t="shared" ca="1" si="1188"/>
        <v>#DIV/0!</v>
      </c>
      <c r="BR134" s="405" t="e">
        <f t="shared" ca="1" si="1188"/>
        <v>#DIV/0!</v>
      </c>
      <c r="BS134" s="405" t="e">
        <f t="shared" ca="1" si="1188"/>
        <v>#DIV/0!</v>
      </c>
      <c r="BT134" s="405" t="e">
        <f t="shared" ca="1" si="1188"/>
        <v>#DIV/0!</v>
      </c>
      <c r="BU134" s="405" t="e">
        <f t="shared" ref="BU134:CL134" ca="1" si="1189">(BU133*BU117)/1000</f>
        <v>#DIV/0!</v>
      </c>
      <c r="BV134" s="405" t="e">
        <f t="shared" ca="1" si="1189"/>
        <v>#DIV/0!</v>
      </c>
      <c r="BW134" s="405" t="e">
        <f t="shared" ca="1" si="1189"/>
        <v>#DIV/0!</v>
      </c>
      <c r="BX134" s="405" t="e">
        <f t="shared" ca="1" si="1189"/>
        <v>#DIV/0!</v>
      </c>
      <c r="BY134" s="405" t="e">
        <f t="shared" ca="1" si="1189"/>
        <v>#DIV/0!</v>
      </c>
      <c r="BZ134" s="405" t="e">
        <f t="shared" ca="1" si="1189"/>
        <v>#DIV/0!</v>
      </c>
      <c r="CA134" s="405" t="e">
        <f t="shared" ca="1" si="1189"/>
        <v>#DIV/0!</v>
      </c>
      <c r="CB134" s="405" t="e">
        <f t="shared" ca="1" si="1189"/>
        <v>#DIV/0!</v>
      </c>
      <c r="CC134" s="405" t="e">
        <f t="shared" ca="1" si="1189"/>
        <v>#DIV/0!</v>
      </c>
      <c r="CD134" s="405" t="e">
        <f t="shared" ca="1" si="1189"/>
        <v>#DIV/0!</v>
      </c>
      <c r="CE134" s="405" t="e">
        <f t="shared" ca="1" si="1189"/>
        <v>#DIV/0!</v>
      </c>
      <c r="CF134" s="405" t="e">
        <f t="shared" ca="1" si="1189"/>
        <v>#DIV/0!</v>
      </c>
      <c r="CG134" s="405" t="e">
        <f t="shared" ca="1" si="1189"/>
        <v>#DIV/0!</v>
      </c>
      <c r="CH134" s="405" t="e">
        <f t="shared" ca="1" si="1189"/>
        <v>#DIV/0!</v>
      </c>
      <c r="CI134" s="405" t="e">
        <f t="shared" ca="1" si="1189"/>
        <v>#DIV/0!</v>
      </c>
      <c r="CJ134" s="405" t="e">
        <f t="shared" ca="1" si="1189"/>
        <v>#DIV/0!</v>
      </c>
      <c r="CK134" s="405" t="e">
        <f t="shared" ca="1" si="1189"/>
        <v>#DIV/0!</v>
      </c>
      <c r="CL134" s="405" t="e">
        <f t="shared" ca="1" si="1189"/>
        <v>#DIV/0!</v>
      </c>
      <c r="CN134" s="406"/>
      <c r="CO134" s="406"/>
      <c r="CP134" s="406"/>
    </row>
    <row r="135" spans="1:94" hidden="1" outlineLevel="1">
      <c r="A135" s="403" t="s">
        <v>487</v>
      </c>
      <c r="B135" s="403" t="s">
        <v>425</v>
      </c>
      <c r="C135" s="403" t="s">
        <v>422</v>
      </c>
      <c r="D135" s="403"/>
      <c r="E135" s="405"/>
      <c r="F135" s="405"/>
      <c r="G135" s="405"/>
      <c r="H135" s="405"/>
      <c r="I135" s="405" t="e">
        <f t="shared" ref="I135:AN135" si="1190">IF(I134&gt;$I134,($I134/I117)*1000,I133)</f>
        <v>#VALUE!</v>
      </c>
      <c r="J135" s="405" t="e">
        <f t="shared" ca="1" si="1190"/>
        <v>#N/A</v>
      </c>
      <c r="K135" s="405" t="e">
        <f t="shared" ca="1" si="1190"/>
        <v>#N/A</v>
      </c>
      <c r="L135" s="405" t="e">
        <f t="shared" ca="1" si="1190"/>
        <v>#N/A</v>
      </c>
      <c r="M135" s="405" t="e">
        <f t="shared" ca="1" si="1190"/>
        <v>#N/A</v>
      </c>
      <c r="N135" s="405" t="e">
        <f t="shared" ca="1" si="1190"/>
        <v>#DIV/0!</v>
      </c>
      <c r="O135" s="405" t="e">
        <f t="shared" ca="1" si="1190"/>
        <v>#DIV/0!</v>
      </c>
      <c r="P135" s="405" t="e">
        <f t="shared" ca="1" si="1190"/>
        <v>#DIV/0!</v>
      </c>
      <c r="Q135" s="405" t="e">
        <f t="shared" ca="1" si="1190"/>
        <v>#DIV/0!</v>
      </c>
      <c r="R135" s="405" t="e">
        <f t="shared" ca="1" si="1190"/>
        <v>#DIV/0!</v>
      </c>
      <c r="S135" s="418" t="e">
        <f t="shared" ca="1" si="1190"/>
        <v>#DIV/0!</v>
      </c>
      <c r="T135" s="418" t="e">
        <f t="shared" ca="1" si="1190"/>
        <v>#DIV/0!</v>
      </c>
      <c r="U135" s="418" t="e">
        <f t="shared" ca="1" si="1190"/>
        <v>#DIV/0!</v>
      </c>
      <c r="V135" s="405" t="e">
        <f t="shared" ca="1" si="1190"/>
        <v>#DIV/0!</v>
      </c>
      <c r="W135" s="405" t="e">
        <f t="shared" ca="1" si="1190"/>
        <v>#DIV/0!</v>
      </c>
      <c r="X135" s="405" t="e">
        <f t="shared" ca="1" si="1190"/>
        <v>#DIV/0!</v>
      </c>
      <c r="Y135" s="405" t="e">
        <f t="shared" ca="1" si="1190"/>
        <v>#DIV/0!</v>
      </c>
      <c r="Z135" s="405" t="e">
        <f t="shared" ca="1" si="1190"/>
        <v>#DIV/0!</v>
      </c>
      <c r="AA135" s="405" t="e">
        <f t="shared" ca="1" si="1190"/>
        <v>#DIV/0!</v>
      </c>
      <c r="AB135" s="405" t="e">
        <f t="shared" ca="1" si="1190"/>
        <v>#DIV/0!</v>
      </c>
      <c r="AC135" s="405" t="e">
        <f t="shared" ca="1" si="1190"/>
        <v>#DIV/0!</v>
      </c>
      <c r="AD135" s="405" t="e">
        <f t="shared" ca="1" si="1190"/>
        <v>#DIV/0!</v>
      </c>
      <c r="AE135" s="405" t="e">
        <f t="shared" ca="1" si="1190"/>
        <v>#DIV/0!</v>
      </c>
      <c r="AF135" s="405" t="e">
        <f t="shared" ca="1" si="1190"/>
        <v>#DIV/0!</v>
      </c>
      <c r="AG135" s="405" t="e">
        <f t="shared" ca="1" si="1190"/>
        <v>#DIV/0!</v>
      </c>
      <c r="AH135" s="405" t="e">
        <f t="shared" ca="1" si="1190"/>
        <v>#DIV/0!</v>
      </c>
      <c r="AI135" s="405" t="e">
        <f t="shared" ca="1" si="1190"/>
        <v>#DIV/0!</v>
      </c>
      <c r="AJ135" s="405" t="e">
        <f t="shared" ca="1" si="1190"/>
        <v>#DIV/0!</v>
      </c>
      <c r="AK135" s="405" t="e">
        <f t="shared" ca="1" si="1190"/>
        <v>#DIV/0!</v>
      </c>
      <c r="AL135" s="405" t="e">
        <f t="shared" ca="1" si="1190"/>
        <v>#DIV/0!</v>
      </c>
      <c r="AM135" s="405" t="e">
        <f t="shared" ca="1" si="1190"/>
        <v>#DIV/0!</v>
      </c>
      <c r="AN135" s="405" t="e">
        <f t="shared" ca="1" si="1190"/>
        <v>#DIV/0!</v>
      </c>
      <c r="AO135" s="405" t="e">
        <f t="shared" ref="AO135:BT135" ca="1" si="1191">IF(AO134&gt;$I134,($I134/AO117)*1000,AO133)</f>
        <v>#DIV/0!</v>
      </c>
      <c r="AP135" s="405" t="e">
        <f t="shared" ca="1" si="1191"/>
        <v>#DIV/0!</v>
      </c>
      <c r="AQ135" s="405" t="e">
        <f t="shared" ca="1" si="1191"/>
        <v>#DIV/0!</v>
      </c>
      <c r="AR135" s="405" t="e">
        <f t="shared" ca="1" si="1191"/>
        <v>#DIV/0!</v>
      </c>
      <c r="AS135" s="405" t="e">
        <f t="shared" ca="1" si="1191"/>
        <v>#DIV/0!</v>
      </c>
      <c r="AT135" s="405" t="e">
        <f t="shared" ca="1" si="1191"/>
        <v>#DIV/0!</v>
      </c>
      <c r="AU135" s="405" t="e">
        <f t="shared" ca="1" si="1191"/>
        <v>#DIV/0!</v>
      </c>
      <c r="AV135" s="405" t="e">
        <f t="shared" ca="1" si="1191"/>
        <v>#DIV/0!</v>
      </c>
      <c r="AW135" s="405" t="e">
        <f t="shared" ca="1" si="1191"/>
        <v>#DIV/0!</v>
      </c>
      <c r="AX135" s="405" t="e">
        <f t="shared" ca="1" si="1191"/>
        <v>#DIV/0!</v>
      </c>
      <c r="AY135" s="405" t="e">
        <f t="shared" ca="1" si="1191"/>
        <v>#DIV/0!</v>
      </c>
      <c r="AZ135" s="405" t="e">
        <f t="shared" ca="1" si="1191"/>
        <v>#DIV/0!</v>
      </c>
      <c r="BA135" s="405" t="e">
        <f t="shared" ca="1" si="1191"/>
        <v>#DIV/0!</v>
      </c>
      <c r="BB135" s="405" t="e">
        <f t="shared" ca="1" si="1191"/>
        <v>#DIV/0!</v>
      </c>
      <c r="BC135" s="405" t="e">
        <f t="shared" ca="1" si="1191"/>
        <v>#DIV/0!</v>
      </c>
      <c r="BD135" s="405" t="e">
        <f t="shared" ca="1" si="1191"/>
        <v>#DIV/0!</v>
      </c>
      <c r="BE135" s="405" t="e">
        <f t="shared" ca="1" si="1191"/>
        <v>#DIV/0!</v>
      </c>
      <c r="BF135" s="405" t="e">
        <f t="shared" ca="1" si="1191"/>
        <v>#DIV/0!</v>
      </c>
      <c r="BG135" s="405" t="e">
        <f t="shared" ca="1" si="1191"/>
        <v>#DIV/0!</v>
      </c>
      <c r="BH135" s="405" t="e">
        <f t="shared" ca="1" si="1191"/>
        <v>#DIV/0!</v>
      </c>
      <c r="BI135" s="405" t="e">
        <f t="shared" ca="1" si="1191"/>
        <v>#DIV/0!</v>
      </c>
      <c r="BJ135" s="405" t="e">
        <f t="shared" ca="1" si="1191"/>
        <v>#DIV/0!</v>
      </c>
      <c r="BK135" s="405" t="e">
        <f t="shared" ca="1" si="1191"/>
        <v>#DIV/0!</v>
      </c>
      <c r="BL135" s="405" t="e">
        <f t="shared" ca="1" si="1191"/>
        <v>#DIV/0!</v>
      </c>
      <c r="BM135" s="405" t="e">
        <f t="shared" ca="1" si="1191"/>
        <v>#DIV/0!</v>
      </c>
      <c r="BN135" s="405" t="e">
        <f t="shared" ca="1" si="1191"/>
        <v>#DIV/0!</v>
      </c>
      <c r="BO135" s="405" t="e">
        <f t="shared" ca="1" si="1191"/>
        <v>#DIV/0!</v>
      </c>
      <c r="BP135" s="405" t="e">
        <f t="shared" ca="1" si="1191"/>
        <v>#DIV/0!</v>
      </c>
      <c r="BQ135" s="405" t="e">
        <f t="shared" ca="1" si="1191"/>
        <v>#DIV/0!</v>
      </c>
      <c r="BR135" s="405" t="e">
        <f t="shared" ca="1" si="1191"/>
        <v>#DIV/0!</v>
      </c>
      <c r="BS135" s="405" t="e">
        <f t="shared" ca="1" si="1191"/>
        <v>#DIV/0!</v>
      </c>
      <c r="BT135" s="405" t="e">
        <f t="shared" ca="1" si="1191"/>
        <v>#DIV/0!</v>
      </c>
      <c r="BU135" s="405" t="e">
        <f t="shared" ref="BU135:CL135" ca="1" si="1192">IF(BU134&gt;$I134,($I134/BU117)*1000,BU133)</f>
        <v>#DIV/0!</v>
      </c>
      <c r="BV135" s="405" t="e">
        <f t="shared" ca="1" si="1192"/>
        <v>#DIV/0!</v>
      </c>
      <c r="BW135" s="405" t="e">
        <f t="shared" ca="1" si="1192"/>
        <v>#DIV/0!</v>
      </c>
      <c r="BX135" s="405" t="e">
        <f t="shared" ca="1" si="1192"/>
        <v>#DIV/0!</v>
      </c>
      <c r="BY135" s="405" t="e">
        <f t="shared" ca="1" si="1192"/>
        <v>#DIV/0!</v>
      </c>
      <c r="BZ135" s="405" t="e">
        <f t="shared" ca="1" si="1192"/>
        <v>#DIV/0!</v>
      </c>
      <c r="CA135" s="405" t="e">
        <f t="shared" ca="1" si="1192"/>
        <v>#DIV/0!</v>
      </c>
      <c r="CB135" s="405" t="e">
        <f t="shared" ca="1" si="1192"/>
        <v>#DIV/0!</v>
      </c>
      <c r="CC135" s="405" t="e">
        <f t="shared" ca="1" si="1192"/>
        <v>#DIV/0!</v>
      </c>
      <c r="CD135" s="405" t="e">
        <f t="shared" ca="1" si="1192"/>
        <v>#DIV/0!</v>
      </c>
      <c r="CE135" s="405" t="e">
        <f t="shared" ca="1" si="1192"/>
        <v>#DIV/0!</v>
      </c>
      <c r="CF135" s="405" t="e">
        <f t="shared" ca="1" si="1192"/>
        <v>#DIV/0!</v>
      </c>
      <c r="CG135" s="405" t="e">
        <f t="shared" ca="1" si="1192"/>
        <v>#DIV/0!</v>
      </c>
      <c r="CH135" s="405" t="e">
        <f t="shared" ca="1" si="1192"/>
        <v>#DIV/0!</v>
      </c>
      <c r="CI135" s="405" t="e">
        <f t="shared" ca="1" si="1192"/>
        <v>#DIV/0!</v>
      </c>
      <c r="CJ135" s="405" t="e">
        <f t="shared" ca="1" si="1192"/>
        <v>#DIV/0!</v>
      </c>
      <c r="CK135" s="405" t="e">
        <f t="shared" ca="1" si="1192"/>
        <v>#DIV/0!</v>
      </c>
      <c r="CL135" s="405" t="e">
        <f t="shared" ca="1" si="1192"/>
        <v>#DIV/0!</v>
      </c>
      <c r="CN135" s="406"/>
      <c r="CO135" s="406"/>
      <c r="CP135" s="406"/>
    </row>
    <row r="136" spans="1:94" hidden="1" outlineLevel="1">
      <c r="A136" s="403" t="s">
        <v>487</v>
      </c>
      <c r="B136" s="403" t="s">
        <v>425</v>
      </c>
      <c r="C136" s="403" t="s">
        <v>2</v>
      </c>
      <c r="D136" s="403"/>
      <c r="E136" s="405"/>
      <c r="F136" s="405"/>
      <c r="G136" s="405"/>
      <c r="H136" s="405"/>
      <c r="I136" s="405" t="e">
        <f t="shared" ref="I136:AN136" si="1193">(I135*I117)/1000</f>
        <v>#VALUE!</v>
      </c>
      <c r="J136" s="405" t="e">
        <f t="shared" ca="1" si="1193"/>
        <v>#N/A</v>
      </c>
      <c r="K136" s="405" t="e">
        <f t="shared" ca="1" si="1193"/>
        <v>#N/A</v>
      </c>
      <c r="L136" s="405" t="e">
        <f t="shared" ca="1" si="1193"/>
        <v>#N/A</v>
      </c>
      <c r="M136" s="405" t="e">
        <f t="shared" ca="1" si="1193"/>
        <v>#N/A</v>
      </c>
      <c r="N136" s="405" t="e">
        <f t="shared" ca="1" si="1193"/>
        <v>#DIV/0!</v>
      </c>
      <c r="O136" s="405" t="e">
        <f t="shared" ca="1" si="1193"/>
        <v>#DIV/0!</v>
      </c>
      <c r="P136" s="405" t="e">
        <f t="shared" ca="1" si="1193"/>
        <v>#DIV/0!</v>
      </c>
      <c r="Q136" s="405" t="e">
        <f t="shared" ca="1" si="1193"/>
        <v>#DIV/0!</v>
      </c>
      <c r="R136" s="405" t="e">
        <f t="shared" ca="1" si="1193"/>
        <v>#DIV/0!</v>
      </c>
      <c r="S136" s="418" t="e">
        <f t="shared" ca="1" si="1193"/>
        <v>#DIV/0!</v>
      </c>
      <c r="T136" s="418" t="e">
        <f t="shared" ca="1" si="1193"/>
        <v>#DIV/0!</v>
      </c>
      <c r="U136" s="418" t="e">
        <f t="shared" ca="1" si="1193"/>
        <v>#DIV/0!</v>
      </c>
      <c r="V136" s="405" t="e">
        <f t="shared" ca="1" si="1193"/>
        <v>#DIV/0!</v>
      </c>
      <c r="W136" s="405" t="e">
        <f t="shared" ca="1" si="1193"/>
        <v>#DIV/0!</v>
      </c>
      <c r="X136" s="405" t="e">
        <f t="shared" ca="1" si="1193"/>
        <v>#DIV/0!</v>
      </c>
      <c r="Y136" s="405" t="e">
        <f t="shared" ca="1" si="1193"/>
        <v>#DIV/0!</v>
      </c>
      <c r="Z136" s="405" t="e">
        <f t="shared" ca="1" si="1193"/>
        <v>#DIV/0!</v>
      </c>
      <c r="AA136" s="405" t="e">
        <f t="shared" ca="1" si="1193"/>
        <v>#DIV/0!</v>
      </c>
      <c r="AB136" s="405" t="e">
        <f t="shared" ca="1" si="1193"/>
        <v>#DIV/0!</v>
      </c>
      <c r="AC136" s="405" t="e">
        <f t="shared" ca="1" si="1193"/>
        <v>#DIV/0!</v>
      </c>
      <c r="AD136" s="405" t="e">
        <f t="shared" ca="1" si="1193"/>
        <v>#DIV/0!</v>
      </c>
      <c r="AE136" s="405" t="e">
        <f t="shared" ca="1" si="1193"/>
        <v>#DIV/0!</v>
      </c>
      <c r="AF136" s="405" t="e">
        <f t="shared" ca="1" si="1193"/>
        <v>#DIV/0!</v>
      </c>
      <c r="AG136" s="405" t="e">
        <f t="shared" ca="1" si="1193"/>
        <v>#DIV/0!</v>
      </c>
      <c r="AH136" s="405" t="e">
        <f t="shared" ca="1" si="1193"/>
        <v>#DIV/0!</v>
      </c>
      <c r="AI136" s="405" t="e">
        <f t="shared" ca="1" si="1193"/>
        <v>#DIV/0!</v>
      </c>
      <c r="AJ136" s="405" t="e">
        <f t="shared" ca="1" si="1193"/>
        <v>#DIV/0!</v>
      </c>
      <c r="AK136" s="405" t="e">
        <f t="shared" ca="1" si="1193"/>
        <v>#DIV/0!</v>
      </c>
      <c r="AL136" s="405" t="e">
        <f t="shared" ca="1" si="1193"/>
        <v>#DIV/0!</v>
      </c>
      <c r="AM136" s="405" t="e">
        <f t="shared" ca="1" si="1193"/>
        <v>#DIV/0!</v>
      </c>
      <c r="AN136" s="405" t="e">
        <f t="shared" ca="1" si="1193"/>
        <v>#DIV/0!</v>
      </c>
      <c r="AO136" s="405" t="e">
        <f t="shared" ref="AO136:BT136" ca="1" si="1194">(AO135*AO117)/1000</f>
        <v>#DIV/0!</v>
      </c>
      <c r="AP136" s="405" t="e">
        <f t="shared" ca="1" si="1194"/>
        <v>#DIV/0!</v>
      </c>
      <c r="AQ136" s="405" t="e">
        <f t="shared" ca="1" si="1194"/>
        <v>#DIV/0!</v>
      </c>
      <c r="AR136" s="405" t="e">
        <f t="shared" ca="1" si="1194"/>
        <v>#DIV/0!</v>
      </c>
      <c r="AS136" s="405" t="e">
        <f t="shared" ca="1" si="1194"/>
        <v>#DIV/0!</v>
      </c>
      <c r="AT136" s="405" t="e">
        <f t="shared" ca="1" si="1194"/>
        <v>#DIV/0!</v>
      </c>
      <c r="AU136" s="405" t="e">
        <f t="shared" ca="1" si="1194"/>
        <v>#DIV/0!</v>
      </c>
      <c r="AV136" s="405" t="e">
        <f t="shared" ca="1" si="1194"/>
        <v>#DIV/0!</v>
      </c>
      <c r="AW136" s="405" t="e">
        <f t="shared" ca="1" si="1194"/>
        <v>#DIV/0!</v>
      </c>
      <c r="AX136" s="405" t="e">
        <f t="shared" ca="1" si="1194"/>
        <v>#DIV/0!</v>
      </c>
      <c r="AY136" s="405" t="e">
        <f t="shared" ca="1" si="1194"/>
        <v>#DIV/0!</v>
      </c>
      <c r="AZ136" s="405" t="e">
        <f t="shared" ca="1" si="1194"/>
        <v>#DIV/0!</v>
      </c>
      <c r="BA136" s="405" t="e">
        <f t="shared" ca="1" si="1194"/>
        <v>#DIV/0!</v>
      </c>
      <c r="BB136" s="405" t="e">
        <f t="shared" ca="1" si="1194"/>
        <v>#DIV/0!</v>
      </c>
      <c r="BC136" s="405" t="e">
        <f t="shared" ca="1" si="1194"/>
        <v>#DIV/0!</v>
      </c>
      <c r="BD136" s="405" t="e">
        <f t="shared" ca="1" si="1194"/>
        <v>#DIV/0!</v>
      </c>
      <c r="BE136" s="405" t="e">
        <f t="shared" ca="1" si="1194"/>
        <v>#DIV/0!</v>
      </c>
      <c r="BF136" s="405" t="e">
        <f t="shared" ca="1" si="1194"/>
        <v>#DIV/0!</v>
      </c>
      <c r="BG136" s="405" t="e">
        <f t="shared" ca="1" si="1194"/>
        <v>#DIV/0!</v>
      </c>
      <c r="BH136" s="405" t="e">
        <f t="shared" ca="1" si="1194"/>
        <v>#DIV/0!</v>
      </c>
      <c r="BI136" s="405" t="e">
        <f t="shared" ca="1" si="1194"/>
        <v>#DIV/0!</v>
      </c>
      <c r="BJ136" s="405" t="e">
        <f t="shared" ca="1" si="1194"/>
        <v>#DIV/0!</v>
      </c>
      <c r="BK136" s="405" t="e">
        <f t="shared" ca="1" si="1194"/>
        <v>#DIV/0!</v>
      </c>
      <c r="BL136" s="405" t="e">
        <f t="shared" ca="1" si="1194"/>
        <v>#DIV/0!</v>
      </c>
      <c r="BM136" s="405" t="e">
        <f t="shared" ca="1" si="1194"/>
        <v>#DIV/0!</v>
      </c>
      <c r="BN136" s="405" t="e">
        <f t="shared" ca="1" si="1194"/>
        <v>#DIV/0!</v>
      </c>
      <c r="BO136" s="405" t="e">
        <f t="shared" ca="1" si="1194"/>
        <v>#DIV/0!</v>
      </c>
      <c r="BP136" s="405" t="e">
        <f t="shared" ca="1" si="1194"/>
        <v>#DIV/0!</v>
      </c>
      <c r="BQ136" s="405" t="e">
        <f t="shared" ca="1" si="1194"/>
        <v>#DIV/0!</v>
      </c>
      <c r="BR136" s="405" t="e">
        <f t="shared" ca="1" si="1194"/>
        <v>#DIV/0!</v>
      </c>
      <c r="BS136" s="405" t="e">
        <f t="shared" ca="1" si="1194"/>
        <v>#DIV/0!</v>
      </c>
      <c r="BT136" s="405" t="e">
        <f t="shared" ca="1" si="1194"/>
        <v>#DIV/0!</v>
      </c>
      <c r="BU136" s="405" t="e">
        <f t="shared" ref="BU136:CL136" ca="1" si="1195">(BU135*BU117)/1000</f>
        <v>#DIV/0!</v>
      </c>
      <c r="BV136" s="405" t="e">
        <f t="shared" ca="1" si="1195"/>
        <v>#DIV/0!</v>
      </c>
      <c r="BW136" s="405" t="e">
        <f t="shared" ca="1" si="1195"/>
        <v>#DIV/0!</v>
      </c>
      <c r="BX136" s="405" t="e">
        <f t="shared" ca="1" si="1195"/>
        <v>#DIV/0!</v>
      </c>
      <c r="BY136" s="405" t="e">
        <f t="shared" ca="1" si="1195"/>
        <v>#DIV/0!</v>
      </c>
      <c r="BZ136" s="405" t="e">
        <f t="shared" ca="1" si="1195"/>
        <v>#DIV/0!</v>
      </c>
      <c r="CA136" s="405" t="e">
        <f t="shared" ca="1" si="1195"/>
        <v>#DIV/0!</v>
      </c>
      <c r="CB136" s="405" t="e">
        <f t="shared" ca="1" si="1195"/>
        <v>#DIV/0!</v>
      </c>
      <c r="CC136" s="405" t="e">
        <f t="shared" ca="1" si="1195"/>
        <v>#DIV/0!</v>
      </c>
      <c r="CD136" s="405" t="e">
        <f t="shared" ca="1" si="1195"/>
        <v>#DIV/0!</v>
      </c>
      <c r="CE136" s="405" t="e">
        <f t="shared" ca="1" si="1195"/>
        <v>#DIV/0!</v>
      </c>
      <c r="CF136" s="405" t="e">
        <f t="shared" ca="1" si="1195"/>
        <v>#DIV/0!</v>
      </c>
      <c r="CG136" s="405" t="e">
        <f t="shared" ca="1" si="1195"/>
        <v>#DIV/0!</v>
      </c>
      <c r="CH136" s="405" t="e">
        <f t="shared" ca="1" si="1195"/>
        <v>#DIV/0!</v>
      </c>
      <c r="CI136" s="405" t="e">
        <f t="shared" ca="1" si="1195"/>
        <v>#DIV/0!</v>
      </c>
      <c r="CJ136" s="405" t="e">
        <f t="shared" ca="1" si="1195"/>
        <v>#DIV/0!</v>
      </c>
      <c r="CK136" s="405" t="e">
        <f t="shared" ca="1" si="1195"/>
        <v>#DIV/0!</v>
      </c>
      <c r="CL136" s="405" t="e">
        <f t="shared" ca="1" si="1195"/>
        <v>#DIV/0!</v>
      </c>
      <c r="CN136" s="406"/>
      <c r="CO136" s="406"/>
      <c r="CP136" s="406"/>
    </row>
    <row r="137" spans="1:94" ht="17.25" collapsed="1" thickTop="1" thickBot="1">
      <c r="A137" s="455" t="s">
        <v>490</v>
      </c>
      <c r="B137" s="455"/>
      <c r="C137" s="455"/>
      <c r="D137" s="455"/>
      <c r="E137" s="456">
        <v>2015</v>
      </c>
      <c r="F137" s="457">
        <f>E137+1</f>
        <v>2016</v>
      </c>
      <c r="G137" s="457">
        <f t="shared" ref="G137" si="1196">F137+1</f>
        <v>2017</v>
      </c>
      <c r="H137" s="457">
        <f t="shared" ref="H137" si="1197">G137+1</f>
        <v>2018</v>
      </c>
      <c r="I137" s="457">
        <f t="shared" ref="I137" si="1198">H137+1</f>
        <v>2019</v>
      </c>
      <c r="J137" s="457">
        <f>E137+5</f>
        <v>2020</v>
      </c>
      <c r="K137" s="457">
        <f>J137+1</f>
        <v>2021</v>
      </c>
      <c r="L137" s="457">
        <f t="shared" ref="L137" si="1199">K137+1</f>
        <v>2022</v>
      </c>
      <c r="M137" s="457">
        <f t="shared" ref="M137" si="1200">L137+1</f>
        <v>2023</v>
      </c>
      <c r="N137" s="457">
        <f t="shared" ref="N137" si="1201">M137+1</f>
        <v>2024</v>
      </c>
      <c r="O137" s="457">
        <f>J137+5</f>
        <v>2025</v>
      </c>
      <c r="P137" s="457">
        <f>O137+1</f>
        <v>2026</v>
      </c>
      <c r="Q137" s="457">
        <f t="shared" ref="Q137" si="1202">P137+1</f>
        <v>2027</v>
      </c>
      <c r="R137" s="457">
        <f t="shared" ref="R137" si="1203">Q137+1</f>
        <v>2028</v>
      </c>
      <c r="S137" s="457">
        <f t="shared" ref="S137" si="1204">R137+1</f>
        <v>2029</v>
      </c>
      <c r="T137" s="457">
        <f>O137+5</f>
        <v>2030</v>
      </c>
      <c r="U137" s="457">
        <f>T137+1</f>
        <v>2031</v>
      </c>
      <c r="V137" s="457">
        <f t="shared" ref="V137" si="1205">U137+1</f>
        <v>2032</v>
      </c>
      <c r="W137" s="457">
        <f t="shared" ref="W137" si="1206">V137+1</f>
        <v>2033</v>
      </c>
      <c r="X137" s="457">
        <f t="shared" ref="X137" si="1207">W137+1</f>
        <v>2034</v>
      </c>
      <c r="Y137" s="457">
        <f>T137+5</f>
        <v>2035</v>
      </c>
      <c r="Z137" s="457">
        <f>Y137+1</f>
        <v>2036</v>
      </c>
      <c r="AA137" s="457">
        <f t="shared" ref="AA137" si="1208">Z137+1</f>
        <v>2037</v>
      </c>
      <c r="AB137" s="457">
        <f t="shared" ref="AB137" si="1209">AA137+1</f>
        <v>2038</v>
      </c>
      <c r="AC137" s="457">
        <f t="shared" ref="AC137" si="1210">AB137+1</f>
        <v>2039</v>
      </c>
      <c r="AD137" s="457">
        <f>Y137+5</f>
        <v>2040</v>
      </c>
      <c r="AE137" s="457">
        <f>AD137+1</f>
        <v>2041</v>
      </c>
      <c r="AF137" s="457">
        <f t="shared" ref="AF137" si="1211">AE137+1</f>
        <v>2042</v>
      </c>
      <c r="AG137" s="457">
        <f t="shared" ref="AG137" si="1212">AF137+1</f>
        <v>2043</v>
      </c>
      <c r="AH137" s="457">
        <f t="shared" ref="AH137" si="1213">AG137+1</f>
        <v>2044</v>
      </c>
      <c r="AI137" s="457">
        <f>AD137+5</f>
        <v>2045</v>
      </c>
      <c r="AJ137" s="457">
        <f>AI137+1</f>
        <v>2046</v>
      </c>
      <c r="AK137" s="457">
        <f t="shared" ref="AK137" si="1214">AJ137+1</f>
        <v>2047</v>
      </c>
      <c r="AL137" s="457">
        <f t="shared" ref="AL137" si="1215">AK137+1</f>
        <v>2048</v>
      </c>
      <c r="AM137" s="457">
        <f t="shared" ref="AM137" si="1216">AL137+1</f>
        <v>2049</v>
      </c>
      <c r="AN137" s="457">
        <f>AI137+5</f>
        <v>2050</v>
      </c>
      <c r="AO137" s="457">
        <f>AN137+1</f>
        <v>2051</v>
      </c>
      <c r="AP137" s="457">
        <f t="shared" ref="AP137" si="1217">AO137+1</f>
        <v>2052</v>
      </c>
      <c r="AQ137" s="457">
        <f t="shared" ref="AQ137" si="1218">AP137+1</f>
        <v>2053</v>
      </c>
      <c r="AR137" s="457">
        <f t="shared" ref="AR137" si="1219">AQ137+1</f>
        <v>2054</v>
      </c>
      <c r="AS137" s="457">
        <f>AN137+5</f>
        <v>2055</v>
      </c>
      <c r="AT137" s="457">
        <f>AS137+1</f>
        <v>2056</v>
      </c>
      <c r="AU137" s="457">
        <f t="shared" ref="AU137" si="1220">AT137+1</f>
        <v>2057</v>
      </c>
      <c r="AV137" s="457">
        <f t="shared" ref="AV137" si="1221">AU137+1</f>
        <v>2058</v>
      </c>
      <c r="AW137" s="457">
        <f t="shared" ref="AW137" si="1222">AV137+1</f>
        <v>2059</v>
      </c>
      <c r="AX137" s="457">
        <f>AS137+5</f>
        <v>2060</v>
      </c>
      <c r="AY137" s="457">
        <f>AX137+1</f>
        <v>2061</v>
      </c>
      <c r="AZ137" s="457">
        <f t="shared" ref="AZ137" si="1223">AY137+1</f>
        <v>2062</v>
      </c>
      <c r="BA137" s="457">
        <f t="shared" ref="BA137" si="1224">AZ137+1</f>
        <v>2063</v>
      </c>
      <c r="BB137" s="457">
        <f t="shared" ref="BB137" si="1225">BA137+1</f>
        <v>2064</v>
      </c>
      <c r="BC137" s="457">
        <f>AX137+5</f>
        <v>2065</v>
      </c>
      <c r="BD137" s="457">
        <f>BC137+1</f>
        <v>2066</v>
      </c>
      <c r="BE137" s="457">
        <f t="shared" ref="BE137" si="1226">BD137+1</f>
        <v>2067</v>
      </c>
      <c r="BF137" s="457">
        <f t="shared" ref="BF137" si="1227">BE137+1</f>
        <v>2068</v>
      </c>
      <c r="BG137" s="457">
        <f t="shared" ref="BG137" si="1228">BF137+1</f>
        <v>2069</v>
      </c>
      <c r="BH137" s="457">
        <f>BC137+5</f>
        <v>2070</v>
      </c>
      <c r="BI137" s="457">
        <f>BH137+1</f>
        <v>2071</v>
      </c>
      <c r="BJ137" s="457">
        <f t="shared" ref="BJ137" si="1229">BI137+1</f>
        <v>2072</v>
      </c>
      <c r="BK137" s="457">
        <f t="shared" ref="BK137" si="1230">BJ137+1</f>
        <v>2073</v>
      </c>
      <c r="BL137" s="457">
        <f t="shared" ref="BL137" si="1231">BK137+1</f>
        <v>2074</v>
      </c>
      <c r="BM137" s="457">
        <f>BH137+5</f>
        <v>2075</v>
      </c>
      <c r="BN137" s="457">
        <f>BM137+1</f>
        <v>2076</v>
      </c>
      <c r="BO137" s="457">
        <f t="shared" ref="BO137" si="1232">BN137+1</f>
        <v>2077</v>
      </c>
      <c r="BP137" s="457">
        <f t="shared" ref="BP137" si="1233">BO137+1</f>
        <v>2078</v>
      </c>
      <c r="BQ137" s="457">
        <f t="shared" ref="BQ137" si="1234">BP137+1</f>
        <v>2079</v>
      </c>
      <c r="BR137" s="457">
        <f>BM137+5</f>
        <v>2080</v>
      </c>
      <c r="BS137" s="457">
        <f>BR137+1</f>
        <v>2081</v>
      </c>
      <c r="BT137" s="457">
        <f t="shared" ref="BT137" si="1235">BS137+1</f>
        <v>2082</v>
      </c>
      <c r="BU137" s="457">
        <f t="shared" ref="BU137" si="1236">BT137+1</f>
        <v>2083</v>
      </c>
      <c r="BV137" s="457">
        <f t="shared" ref="BV137" si="1237">BU137+1</f>
        <v>2084</v>
      </c>
      <c r="BW137" s="457">
        <f>BR137+5</f>
        <v>2085</v>
      </c>
      <c r="BX137" s="457">
        <f>BW137+1</f>
        <v>2086</v>
      </c>
      <c r="BY137" s="457">
        <f t="shared" ref="BY137" si="1238">BX137+1</f>
        <v>2087</v>
      </c>
      <c r="BZ137" s="457">
        <f t="shared" ref="BZ137" si="1239">BY137+1</f>
        <v>2088</v>
      </c>
      <c r="CA137" s="457">
        <f t="shared" ref="CA137" si="1240">BZ137+1</f>
        <v>2089</v>
      </c>
      <c r="CB137" s="457">
        <f>BW137+5</f>
        <v>2090</v>
      </c>
      <c r="CC137" s="457">
        <f>CB137+1</f>
        <v>2091</v>
      </c>
      <c r="CD137" s="457">
        <f t="shared" ref="CD137" si="1241">CC137+1</f>
        <v>2092</v>
      </c>
      <c r="CE137" s="457">
        <f t="shared" ref="CE137" si="1242">CD137+1</f>
        <v>2093</v>
      </c>
      <c r="CF137" s="457">
        <f t="shared" ref="CF137" si="1243">CE137+1</f>
        <v>2094</v>
      </c>
      <c r="CG137" s="457">
        <f>CB137+5</f>
        <v>2095</v>
      </c>
      <c r="CH137" s="457">
        <f>CG137+1</f>
        <v>2096</v>
      </c>
      <c r="CI137" s="457">
        <f t="shared" ref="CI137" si="1244">CH137+1</f>
        <v>2097</v>
      </c>
      <c r="CJ137" s="457">
        <f t="shared" ref="CJ137" si="1245">CI137+1</f>
        <v>2098</v>
      </c>
      <c r="CK137" s="457">
        <f t="shared" ref="CK137" si="1246">CJ137+1</f>
        <v>2099</v>
      </c>
      <c r="CL137" s="457">
        <f>CG137+5</f>
        <v>2100</v>
      </c>
      <c r="CN137" s="458" t="s">
        <v>409</v>
      </c>
      <c r="CO137" s="458" t="s">
        <v>411</v>
      </c>
      <c r="CP137" s="458" t="s">
        <v>410</v>
      </c>
    </row>
    <row r="138" spans="1:94" ht="16.5" hidden="1" outlineLevel="1" thickTop="1">
      <c r="A138" s="403" t="s">
        <v>429</v>
      </c>
      <c r="B138" s="403"/>
      <c r="C138" s="403"/>
      <c r="D138" s="403"/>
      <c r="E138" s="405"/>
      <c r="F138" s="405"/>
      <c r="G138" s="405"/>
      <c r="H138" s="405"/>
      <c r="I138" s="461">
        <f t="shared" ref="I138:AN138" ca="1" si="1247">I104/H104</f>
        <v>1.0184754154480273</v>
      </c>
      <c r="J138" s="461" t="e">
        <f t="shared" ca="1" si="1247"/>
        <v>#N/A</v>
      </c>
      <c r="K138" s="461" t="e">
        <f t="shared" ca="1" si="1247"/>
        <v>#N/A</v>
      </c>
      <c r="L138" s="461" t="e">
        <f t="shared" ca="1" si="1247"/>
        <v>#N/A</v>
      </c>
      <c r="M138" s="461" t="e">
        <f t="shared" ca="1" si="1247"/>
        <v>#N/A</v>
      </c>
      <c r="N138" s="461">
        <f t="shared" ca="1" si="1247"/>
        <v>0.99595168171391568</v>
      </c>
      <c r="O138" s="461">
        <f t="shared" ca="1" si="1247"/>
        <v>0.99593522621587605</v>
      </c>
      <c r="P138" s="461">
        <f t="shared" ca="1" si="1247"/>
        <v>0.99591863639609579</v>
      </c>
      <c r="Q138" s="461">
        <f t="shared" ca="1" si="1247"/>
        <v>0.99590191060318567</v>
      </c>
      <c r="R138" s="461">
        <f t="shared" ca="1" si="1247"/>
        <v>0.99588504715857762</v>
      </c>
      <c r="S138" s="461">
        <f t="shared" ca="1" si="1247"/>
        <v>0.99586804435596021</v>
      </c>
      <c r="T138" s="461">
        <f t="shared" ca="1" si="1247"/>
        <v>0.99585090046069991</v>
      </c>
      <c r="U138" s="461">
        <f t="shared" ca="1" si="1247"/>
        <v>0.98949235134468339</v>
      </c>
      <c r="V138" s="461">
        <f t="shared" ca="1" si="1247"/>
        <v>0.95571418281872444</v>
      </c>
      <c r="W138" s="461">
        <f t="shared" ca="1" si="1247"/>
        <v>0.95760359906225678</v>
      </c>
      <c r="X138" s="461">
        <f t="shared" ca="1" si="1247"/>
        <v>0.95503623872101351</v>
      </c>
      <c r="Y138" s="461">
        <f t="shared" ca="1" si="1247"/>
        <v>0.93291315202073011</v>
      </c>
      <c r="Z138" s="461">
        <f t="shared" ca="1" si="1247"/>
        <v>0.92612724407285674</v>
      </c>
      <c r="AA138" s="461">
        <f t="shared" ca="1" si="1247"/>
        <v>0.91979995494571365</v>
      </c>
      <c r="AB138" s="461">
        <f t="shared" ca="1" si="1247"/>
        <v>0.91271750325240031</v>
      </c>
      <c r="AC138" s="461">
        <f t="shared" ca="1" si="1247"/>
        <v>0.90468549423179989</v>
      </c>
      <c r="AD138" s="461">
        <f t="shared" ca="1" si="1247"/>
        <v>0.89531055109937696</v>
      </c>
      <c r="AE138" s="461">
        <f t="shared" ca="1" si="1247"/>
        <v>0.89685493822933338</v>
      </c>
      <c r="AF138" s="461">
        <f t="shared" ca="1" si="1247"/>
        <v>0.88609123857704963</v>
      </c>
      <c r="AG138" s="461">
        <f t="shared" ca="1" si="1247"/>
        <v>0.87237006788455385</v>
      </c>
      <c r="AH138" s="461">
        <f t="shared" ca="1" si="1247"/>
        <v>0.85419862155065163</v>
      </c>
      <c r="AI138" s="461">
        <f t="shared" ca="1" si="1247"/>
        <v>0.82911306953719943</v>
      </c>
      <c r="AJ138" s="461">
        <f t="shared" ca="1" si="1247"/>
        <v>0.79044063212490345</v>
      </c>
      <c r="AK138" s="461">
        <f t="shared" ca="1" si="1247"/>
        <v>0.732078050641645</v>
      </c>
      <c r="AL138" s="461">
        <f t="shared" ca="1" si="1247"/>
        <v>0.62870383695841603</v>
      </c>
      <c r="AM138" s="461">
        <f t="shared" ca="1" si="1247"/>
        <v>0.80345423333941801</v>
      </c>
      <c r="AN138" s="461">
        <f t="shared" ca="1" si="1247"/>
        <v>0.8949881469713532</v>
      </c>
      <c r="AO138" s="405">
        <f t="shared" ref="AO138:BT138" ca="1" si="1248">AO104/AN104</f>
        <v>0</v>
      </c>
      <c r="AP138" s="405" t="e">
        <f t="shared" ca="1" si="1248"/>
        <v>#DIV/0!</v>
      </c>
      <c r="AQ138" s="405" t="e">
        <f t="shared" ca="1" si="1248"/>
        <v>#DIV/0!</v>
      </c>
      <c r="AR138" s="405" t="e">
        <f t="shared" ca="1" si="1248"/>
        <v>#DIV/0!</v>
      </c>
      <c r="AS138" s="405" t="e">
        <f t="shared" ca="1" si="1248"/>
        <v>#DIV/0!</v>
      </c>
      <c r="AT138" s="405" t="e">
        <f t="shared" ca="1" si="1248"/>
        <v>#DIV/0!</v>
      </c>
      <c r="AU138" s="405" t="e">
        <f t="shared" ca="1" si="1248"/>
        <v>#DIV/0!</v>
      </c>
      <c r="AV138" s="405" t="e">
        <f t="shared" ca="1" si="1248"/>
        <v>#DIV/0!</v>
      </c>
      <c r="AW138" s="405" t="e">
        <f t="shared" ca="1" si="1248"/>
        <v>#DIV/0!</v>
      </c>
      <c r="AX138" s="405" t="e">
        <f t="shared" ca="1" si="1248"/>
        <v>#DIV/0!</v>
      </c>
      <c r="AY138" s="405" t="e">
        <f t="shared" ca="1" si="1248"/>
        <v>#DIV/0!</v>
      </c>
      <c r="AZ138" s="405" t="e">
        <f t="shared" ca="1" si="1248"/>
        <v>#DIV/0!</v>
      </c>
      <c r="BA138" s="405" t="e">
        <f t="shared" ca="1" si="1248"/>
        <v>#DIV/0!</v>
      </c>
      <c r="BB138" s="405" t="e">
        <f t="shared" ca="1" si="1248"/>
        <v>#DIV/0!</v>
      </c>
      <c r="BC138" s="405" t="e">
        <f t="shared" ca="1" si="1248"/>
        <v>#DIV/0!</v>
      </c>
      <c r="BD138" s="405" t="e">
        <f t="shared" ca="1" si="1248"/>
        <v>#DIV/0!</v>
      </c>
      <c r="BE138" s="405" t="e">
        <f t="shared" ca="1" si="1248"/>
        <v>#DIV/0!</v>
      </c>
      <c r="BF138" s="405" t="e">
        <f t="shared" ca="1" si="1248"/>
        <v>#DIV/0!</v>
      </c>
      <c r="BG138" s="405" t="e">
        <f t="shared" ca="1" si="1248"/>
        <v>#DIV/0!</v>
      </c>
      <c r="BH138" s="405" t="e">
        <f t="shared" ca="1" si="1248"/>
        <v>#DIV/0!</v>
      </c>
      <c r="BI138" s="405" t="e">
        <f t="shared" ca="1" si="1248"/>
        <v>#DIV/0!</v>
      </c>
      <c r="BJ138" s="405" t="e">
        <f t="shared" ca="1" si="1248"/>
        <v>#DIV/0!</v>
      </c>
      <c r="BK138" s="405" t="e">
        <f t="shared" ca="1" si="1248"/>
        <v>#DIV/0!</v>
      </c>
      <c r="BL138" s="405" t="e">
        <f t="shared" ca="1" si="1248"/>
        <v>#DIV/0!</v>
      </c>
      <c r="BM138" s="405" t="e">
        <f t="shared" ca="1" si="1248"/>
        <v>#DIV/0!</v>
      </c>
      <c r="BN138" s="405" t="e">
        <f t="shared" ca="1" si="1248"/>
        <v>#DIV/0!</v>
      </c>
      <c r="BO138" s="405" t="e">
        <f t="shared" ca="1" si="1248"/>
        <v>#DIV/0!</v>
      </c>
      <c r="BP138" s="405" t="e">
        <f t="shared" ca="1" si="1248"/>
        <v>#DIV/0!</v>
      </c>
      <c r="BQ138" s="405" t="e">
        <f t="shared" ca="1" si="1248"/>
        <v>#DIV/0!</v>
      </c>
      <c r="BR138" s="405" t="e">
        <f t="shared" ca="1" si="1248"/>
        <v>#DIV/0!</v>
      </c>
      <c r="BS138" s="405" t="e">
        <f t="shared" ca="1" si="1248"/>
        <v>#DIV/0!</v>
      </c>
      <c r="BT138" s="405" t="e">
        <f t="shared" ca="1" si="1248"/>
        <v>#DIV/0!</v>
      </c>
      <c r="BU138" s="405" t="e">
        <f t="shared" ref="BU138:CL138" ca="1" si="1249">BU104/BT104</f>
        <v>#DIV/0!</v>
      </c>
      <c r="BV138" s="405" t="e">
        <f t="shared" ca="1" si="1249"/>
        <v>#DIV/0!</v>
      </c>
      <c r="BW138" s="405" t="e">
        <f t="shared" ca="1" si="1249"/>
        <v>#DIV/0!</v>
      </c>
      <c r="BX138" s="405" t="e">
        <f t="shared" ca="1" si="1249"/>
        <v>#DIV/0!</v>
      </c>
      <c r="BY138" s="405" t="e">
        <f t="shared" ca="1" si="1249"/>
        <v>#DIV/0!</v>
      </c>
      <c r="BZ138" s="405" t="e">
        <f t="shared" ca="1" si="1249"/>
        <v>#DIV/0!</v>
      </c>
      <c r="CA138" s="405" t="e">
        <f t="shared" ca="1" si="1249"/>
        <v>#DIV/0!</v>
      </c>
      <c r="CB138" s="405" t="e">
        <f t="shared" ca="1" si="1249"/>
        <v>#DIV/0!</v>
      </c>
      <c r="CC138" s="405" t="e">
        <f t="shared" ca="1" si="1249"/>
        <v>#DIV/0!</v>
      </c>
      <c r="CD138" s="405" t="e">
        <f t="shared" ca="1" si="1249"/>
        <v>#DIV/0!</v>
      </c>
      <c r="CE138" s="405" t="e">
        <f t="shared" ca="1" si="1249"/>
        <v>#DIV/0!</v>
      </c>
      <c r="CF138" s="405" t="e">
        <f t="shared" ca="1" si="1249"/>
        <v>#DIV/0!</v>
      </c>
      <c r="CG138" s="405" t="e">
        <f t="shared" ca="1" si="1249"/>
        <v>#DIV/0!</v>
      </c>
      <c r="CH138" s="405" t="e">
        <f t="shared" ca="1" si="1249"/>
        <v>#DIV/0!</v>
      </c>
      <c r="CI138" s="405" t="e">
        <f t="shared" ca="1" si="1249"/>
        <v>#DIV/0!</v>
      </c>
      <c r="CJ138" s="405" t="e">
        <f t="shared" ca="1" si="1249"/>
        <v>#DIV/0!</v>
      </c>
      <c r="CK138" s="405" t="e">
        <f t="shared" ca="1" si="1249"/>
        <v>#DIV/0!</v>
      </c>
      <c r="CL138" s="405" t="e">
        <f t="shared" ca="1" si="1249"/>
        <v>#DIV/0!</v>
      </c>
      <c r="CN138" s="406"/>
      <c r="CO138" s="406"/>
      <c r="CP138" s="406"/>
    </row>
    <row r="139" spans="1:94" hidden="1" outlineLevel="1">
      <c r="A139" s="403" t="s">
        <v>429</v>
      </c>
      <c r="B139" s="403"/>
      <c r="C139" s="403" t="s">
        <v>2</v>
      </c>
      <c r="D139" s="403"/>
      <c r="E139" s="405"/>
      <c r="F139" s="405"/>
      <c r="G139" s="405"/>
      <c r="H139" s="405"/>
      <c r="I139" s="405">
        <f ca="1">I123</f>
        <v>0</v>
      </c>
      <c r="J139" s="405" t="e">
        <f ca="1">I139*J138</f>
        <v>#N/A</v>
      </c>
      <c r="K139" s="405" t="e">
        <f t="shared" ref="K139:BV139" ca="1" si="1250">J139*K138</f>
        <v>#N/A</v>
      </c>
      <c r="L139" s="405" t="e">
        <f t="shared" ca="1" si="1250"/>
        <v>#N/A</v>
      </c>
      <c r="M139" s="405" t="e">
        <f t="shared" ca="1" si="1250"/>
        <v>#N/A</v>
      </c>
      <c r="N139" s="405" t="e">
        <f t="shared" ca="1" si="1250"/>
        <v>#N/A</v>
      </c>
      <c r="O139" s="405" t="e">
        <f t="shared" ca="1" si="1250"/>
        <v>#N/A</v>
      </c>
      <c r="P139" s="405" t="e">
        <f t="shared" ca="1" si="1250"/>
        <v>#N/A</v>
      </c>
      <c r="Q139" s="405" t="e">
        <f t="shared" ca="1" si="1250"/>
        <v>#N/A</v>
      </c>
      <c r="R139" s="405" t="e">
        <f t="shared" ca="1" si="1250"/>
        <v>#N/A</v>
      </c>
      <c r="S139" s="418" t="e">
        <f t="shared" ca="1" si="1250"/>
        <v>#N/A</v>
      </c>
      <c r="T139" s="418" t="e">
        <f t="shared" ca="1" si="1250"/>
        <v>#N/A</v>
      </c>
      <c r="U139" s="418" t="e">
        <f t="shared" ca="1" si="1250"/>
        <v>#N/A</v>
      </c>
      <c r="V139" s="405" t="e">
        <f t="shared" ca="1" si="1250"/>
        <v>#N/A</v>
      </c>
      <c r="W139" s="405" t="e">
        <f t="shared" ca="1" si="1250"/>
        <v>#N/A</v>
      </c>
      <c r="X139" s="405" t="e">
        <f t="shared" ca="1" si="1250"/>
        <v>#N/A</v>
      </c>
      <c r="Y139" s="405" t="e">
        <f t="shared" ca="1" si="1250"/>
        <v>#N/A</v>
      </c>
      <c r="Z139" s="405" t="e">
        <f t="shared" ca="1" si="1250"/>
        <v>#N/A</v>
      </c>
      <c r="AA139" s="405" t="e">
        <f t="shared" ca="1" si="1250"/>
        <v>#N/A</v>
      </c>
      <c r="AB139" s="405" t="e">
        <f t="shared" ca="1" si="1250"/>
        <v>#N/A</v>
      </c>
      <c r="AC139" s="405" t="e">
        <f t="shared" ca="1" si="1250"/>
        <v>#N/A</v>
      </c>
      <c r="AD139" s="405" t="e">
        <f t="shared" ca="1" si="1250"/>
        <v>#N/A</v>
      </c>
      <c r="AE139" s="405" t="e">
        <f t="shared" ca="1" si="1250"/>
        <v>#N/A</v>
      </c>
      <c r="AF139" s="405" t="e">
        <f t="shared" ca="1" si="1250"/>
        <v>#N/A</v>
      </c>
      <c r="AG139" s="405" t="e">
        <f t="shared" ca="1" si="1250"/>
        <v>#N/A</v>
      </c>
      <c r="AH139" s="405" t="e">
        <f t="shared" ca="1" si="1250"/>
        <v>#N/A</v>
      </c>
      <c r="AI139" s="405" t="e">
        <f t="shared" ca="1" si="1250"/>
        <v>#N/A</v>
      </c>
      <c r="AJ139" s="405" t="e">
        <f t="shared" ca="1" si="1250"/>
        <v>#N/A</v>
      </c>
      <c r="AK139" s="405" t="e">
        <f t="shared" ca="1" si="1250"/>
        <v>#N/A</v>
      </c>
      <c r="AL139" s="405" t="e">
        <f t="shared" ca="1" si="1250"/>
        <v>#N/A</v>
      </c>
      <c r="AM139" s="405" t="e">
        <f t="shared" ca="1" si="1250"/>
        <v>#N/A</v>
      </c>
      <c r="AN139" s="405" t="e">
        <f t="shared" ca="1" si="1250"/>
        <v>#N/A</v>
      </c>
      <c r="AO139" s="405" t="e">
        <f t="shared" ca="1" si="1250"/>
        <v>#N/A</v>
      </c>
      <c r="AP139" s="405" t="e">
        <f t="shared" ca="1" si="1250"/>
        <v>#N/A</v>
      </c>
      <c r="AQ139" s="405" t="e">
        <f t="shared" ca="1" si="1250"/>
        <v>#N/A</v>
      </c>
      <c r="AR139" s="405" t="e">
        <f t="shared" ca="1" si="1250"/>
        <v>#N/A</v>
      </c>
      <c r="AS139" s="405" t="e">
        <f t="shared" ca="1" si="1250"/>
        <v>#N/A</v>
      </c>
      <c r="AT139" s="405" t="e">
        <f t="shared" ca="1" si="1250"/>
        <v>#N/A</v>
      </c>
      <c r="AU139" s="405" t="e">
        <f t="shared" ca="1" si="1250"/>
        <v>#N/A</v>
      </c>
      <c r="AV139" s="405" t="e">
        <f t="shared" ca="1" si="1250"/>
        <v>#N/A</v>
      </c>
      <c r="AW139" s="405" t="e">
        <f t="shared" ca="1" si="1250"/>
        <v>#N/A</v>
      </c>
      <c r="AX139" s="405" t="e">
        <f t="shared" ca="1" si="1250"/>
        <v>#N/A</v>
      </c>
      <c r="AY139" s="405" t="e">
        <f t="shared" ca="1" si="1250"/>
        <v>#N/A</v>
      </c>
      <c r="AZ139" s="405" t="e">
        <f t="shared" ca="1" si="1250"/>
        <v>#N/A</v>
      </c>
      <c r="BA139" s="405" t="e">
        <f t="shared" ca="1" si="1250"/>
        <v>#N/A</v>
      </c>
      <c r="BB139" s="405" t="e">
        <f t="shared" ca="1" si="1250"/>
        <v>#N/A</v>
      </c>
      <c r="BC139" s="405" t="e">
        <f t="shared" ca="1" si="1250"/>
        <v>#N/A</v>
      </c>
      <c r="BD139" s="405" t="e">
        <f t="shared" ca="1" si="1250"/>
        <v>#N/A</v>
      </c>
      <c r="BE139" s="405" t="e">
        <f t="shared" ca="1" si="1250"/>
        <v>#N/A</v>
      </c>
      <c r="BF139" s="405" t="e">
        <f t="shared" ca="1" si="1250"/>
        <v>#N/A</v>
      </c>
      <c r="BG139" s="405" t="e">
        <f t="shared" ca="1" si="1250"/>
        <v>#N/A</v>
      </c>
      <c r="BH139" s="405" t="e">
        <f t="shared" ca="1" si="1250"/>
        <v>#N/A</v>
      </c>
      <c r="BI139" s="405" t="e">
        <f t="shared" ca="1" si="1250"/>
        <v>#N/A</v>
      </c>
      <c r="BJ139" s="405" t="e">
        <f t="shared" ca="1" si="1250"/>
        <v>#N/A</v>
      </c>
      <c r="BK139" s="405" t="e">
        <f t="shared" ca="1" si="1250"/>
        <v>#N/A</v>
      </c>
      <c r="BL139" s="405" t="e">
        <f t="shared" ca="1" si="1250"/>
        <v>#N/A</v>
      </c>
      <c r="BM139" s="405" t="e">
        <f t="shared" ca="1" si="1250"/>
        <v>#N/A</v>
      </c>
      <c r="BN139" s="405" t="e">
        <f t="shared" ca="1" si="1250"/>
        <v>#N/A</v>
      </c>
      <c r="BO139" s="405" t="e">
        <f t="shared" ca="1" si="1250"/>
        <v>#N/A</v>
      </c>
      <c r="BP139" s="405" t="e">
        <f t="shared" ca="1" si="1250"/>
        <v>#N/A</v>
      </c>
      <c r="BQ139" s="405" t="e">
        <f t="shared" ca="1" si="1250"/>
        <v>#N/A</v>
      </c>
      <c r="BR139" s="405" t="e">
        <f t="shared" ca="1" si="1250"/>
        <v>#N/A</v>
      </c>
      <c r="BS139" s="405" t="e">
        <f t="shared" ca="1" si="1250"/>
        <v>#N/A</v>
      </c>
      <c r="BT139" s="405" t="e">
        <f t="shared" ca="1" si="1250"/>
        <v>#N/A</v>
      </c>
      <c r="BU139" s="405" t="e">
        <f t="shared" ca="1" si="1250"/>
        <v>#N/A</v>
      </c>
      <c r="BV139" s="405" t="e">
        <f t="shared" ca="1" si="1250"/>
        <v>#N/A</v>
      </c>
      <c r="BW139" s="405" t="e">
        <f t="shared" ref="BW139:CL139" ca="1" si="1251">BV139*BW138</f>
        <v>#N/A</v>
      </c>
      <c r="BX139" s="405" t="e">
        <f t="shared" ca="1" si="1251"/>
        <v>#N/A</v>
      </c>
      <c r="BY139" s="405" t="e">
        <f t="shared" ca="1" si="1251"/>
        <v>#N/A</v>
      </c>
      <c r="BZ139" s="405" t="e">
        <f t="shared" ca="1" si="1251"/>
        <v>#N/A</v>
      </c>
      <c r="CA139" s="405" t="e">
        <f t="shared" ca="1" si="1251"/>
        <v>#N/A</v>
      </c>
      <c r="CB139" s="405" t="e">
        <f t="shared" ca="1" si="1251"/>
        <v>#N/A</v>
      </c>
      <c r="CC139" s="405" t="e">
        <f t="shared" ca="1" si="1251"/>
        <v>#N/A</v>
      </c>
      <c r="CD139" s="405" t="e">
        <f t="shared" ca="1" si="1251"/>
        <v>#N/A</v>
      </c>
      <c r="CE139" s="405" t="e">
        <f t="shared" ca="1" si="1251"/>
        <v>#N/A</v>
      </c>
      <c r="CF139" s="405" t="e">
        <f t="shared" ca="1" si="1251"/>
        <v>#N/A</v>
      </c>
      <c r="CG139" s="405" t="e">
        <f t="shared" ca="1" si="1251"/>
        <v>#N/A</v>
      </c>
      <c r="CH139" s="405" t="e">
        <f t="shared" ca="1" si="1251"/>
        <v>#N/A</v>
      </c>
      <c r="CI139" s="405" t="e">
        <f t="shared" ca="1" si="1251"/>
        <v>#N/A</v>
      </c>
      <c r="CJ139" s="405" t="e">
        <f t="shared" ca="1" si="1251"/>
        <v>#N/A</v>
      </c>
      <c r="CK139" s="405" t="e">
        <f t="shared" ca="1" si="1251"/>
        <v>#N/A</v>
      </c>
      <c r="CL139" s="405" t="e">
        <f t="shared" ca="1" si="1251"/>
        <v>#N/A</v>
      </c>
      <c r="CN139" s="406"/>
      <c r="CO139" s="406"/>
      <c r="CP139" s="406"/>
    </row>
    <row r="140" spans="1:94" hidden="1" outlineLevel="1">
      <c r="A140" s="403" t="s">
        <v>429</v>
      </c>
      <c r="B140" s="403"/>
      <c r="C140" s="403" t="s">
        <v>422</v>
      </c>
      <c r="D140" s="403"/>
      <c r="E140" s="405"/>
      <c r="F140" s="405"/>
      <c r="G140" s="405"/>
      <c r="H140" s="405"/>
      <c r="I140" s="405" t="e">
        <f t="shared" ref="I140:AN140" ca="1" si="1252">(I139/I117)*1000</f>
        <v>#REF!</v>
      </c>
      <c r="J140" s="405" t="e">
        <f t="shared" ca="1" si="1252"/>
        <v>#N/A</v>
      </c>
      <c r="K140" s="405" t="e">
        <f t="shared" ca="1" si="1252"/>
        <v>#N/A</v>
      </c>
      <c r="L140" s="405" t="e">
        <f t="shared" ca="1" si="1252"/>
        <v>#N/A</v>
      </c>
      <c r="M140" s="405" t="e">
        <f t="shared" ca="1" si="1252"/>
        <v>#N/A</v>
      </c>
      <c r="N140" s="405" t="e">
        <f t="shared" ca="1" si="1252"/>
        <v>#N/A</v>
      </c>
      <c r="O140" s="405" t="e">
        <f t="shared" ca="1" si="1252"/>
        <v>#N/A</v>
      </c>
      <c r="P140" s="405" t="e">
        <f t="shared" ca="1" si="1252"/>
        <v>#N/A</v>
      </c>
      <c r="Q140" s="405" t="e">
        <f t="shared" ca="1" si="1252"/>
        <v>#N/A</v>
      </c>
      <c r="R140" s="405" t="e">
        <f t="shared" ca="1" si="1252"/>
        <v>#N/A</v>
      </c>
      <c r="S140" s="418" t="e">
        <f t="shared" ca="1" si="1252"/>
        <v>#N/A</v>
      </c>
      <c r="T140" s="418" t="e">
        <f t="shared" ca="1" si="1252"/>
        <v>#N/A</v>
      </c>
      <c r="U140" s="418" t="e">
        <f t="shared" ca="1" si="1252"/>
        <v>#N/A</v>
      </c>
      <c r="V140" s="405" t="e">
        <f t="shared" ca="1" si="1252"/>
        <v>#N/A</v>
      </c>
      <c r="W140" s="405" t="e">
        <f t="shared" ca="1" si="1252"/>
        <v>#N/A</v>
      </c>
      <c r="X140" s="405" t="e">
        <f t="shared" ca="1" si="1252"/>
        <v>#N/A</v>
      </c>
      <c r="Y140" s="405" t="e">
        <f t="shared" ca="1" si="1252"/>
        <v>#N/A</v>
      </c>
      <c r="Z140" s="405" t="e">
        <f t="shared" ca="1" si="1252"/>
        <v>#N/A</v>
      </c>
      <c r="AA140" s="405" t="e">
        <f t="shared" ca="1" si="1252"/>
        <v>#N/A</v>
      </c>
      <c r="AB140" s="405" t="e">
        <f t="shared" ca="1" si="1252"/>
        <v>#N/A</v>
      </c>
      <c r="AC140" s="405" t="e">
        <f t="shared" ca="1" si="1252"/>
        <v>#N/A</v>
      </c>
      <c r="AD140" s="405" t="e">
        <f t="shared" ca="1" si="1252"/>
        <v>#N/A</v>
      </c>
      <c r="AE140" s="405" t="e">
        <f t="shared" ca="1" si="1252"/>
        <v>#N/A</v>
      </c>
      <c r="AF140" s="405" t="e">
        <f t="shared" ca="1" si="1252"/>
        <v>#N/A</v>
      </c>
      <c r="AG140" s="405" t="e">
        <f t="shared" ca="1" si="1252"/>
        <v>#N/A</v>
      </c>
      <c r="AH140" s="405" t="e">
        <f t="shared" ca="1" si="1252"/>
        <v>#N/A</v>
      </c>
      <c r="AI140" s="405" t="e">
        <f t="shared" ca="1" si="1252"/>
        <v>#N/A</v>
      </c>
      <c r="AJ140" s="405" t="e">
        <f t="shared" ca="1" si="1252"/>
        <v>#N/A</v>
      </c>
      <c r="AK140" s="405" t="e">
        <f t="shared" ca="1" si="1252"/>
        <v>#N/A</v>
      </c>
      <c r="AL140" s="405" t="e">
        <f t="shared" ca="1" si="1252"/>
        <v>#N/A</v>
      </c>
      <c r="AM140" s="405" t="e">
        <f t="shared" ca="1" si="1252"/>
        <v>#N/A</v>
      </c>
      <c r="AN140" s="405" t="e">
        <f t="shared" ca="1" si="1252"/>
        <v>#N/A</v>
      </c>
      <c r="AO140" s="405" t="e">
        <f t="shared" ref="AO140:BT140" ca="1" si="1253">(AO139/AO117)*1000</f>
        <v>#N/A</v>
      </c>
      <c r="AP140" s="405" t="e">
        <f t="shared" ca="1" si="1253"/>
        <v>#N/A</v>
      </c>
      <c r="AQ140" s="405" t="e">
        <f t="shared" ca="1" si="1253"/>
        <v>#N/A</v>
      </c>
      <c r="AR140" s="405" t="e">
        <f t="shared" ca="1" si="1253"/>
        <v>#N/A</v>
      </c>
      <c r="AS140" s="405" t="e">
        <f t="shared" ca="1" si="1253"/>
        <v>#N/A</v>
      </c>
      <c r="AT140" s="405" t="e">
        <f t="shared" ca="1" si="1253"/>
        <v>#N/A</v>
      </c>
      <c r="AU140" s="405" t="e">
        <f t="shared" ca="1" si="1253"/>
        <v>#N/A</v>
      </c>
      <c r="AV140" s="405" t="e">
        <f t="shared" ca="1" si="1253"/>
        <v>#N/A</v>
      </c>
      <c r="AW140" s="405" t="e">
        <f t="shared" ca="1" si="1253"/>
        <v>#N/A</v>
      </c>
      <c r="AX140" s="405" t="e">
        <f t="shared" ca="1" si="1253"/>
        <v>#N/A</v>
      </c>
      <c r="AY140" s="405" t="e">
        <f t="shared" ca="1" si="1253"/>
        <v>#N/A</v>
      </c>
      <c r="AZ140" s="405" t="e">
        <f t="shared" ca="1" si="1253"/>
        <v>#N/A</v>
      </c>
      <c r="BA140" s="405" t="e">
        <f t="shared" ca="1" si="1253"/>
        <v>#N/A</v>
      </c>
      <c r="BB140" s="405" t="e">
        <f t="shared" ca="1" si="1253"/>
        <v>#N/A</v>
      </c>
      <c r="BC140" s="405" t="e">
        <f t="shared" ca="1" si="1253"/>
        <v>#N/A</v>
      </c>
      <c r="BD140" s="405" t="e">
        <f t="shared" ca="1" si="1253"/>
        <v>#N/A</v>
      </c>
      <c r="BE140" s="405" t="e">
        <f t="shared" ca="1" si="1253"/>
        <v>#N/A</v>
      </c>
      <c r="BF140" s="405" t="e">
        <f t="shared" ca="1" si="1253"/>
        <v>#N/A</v>
      </c>
      <c r="BG140" s="405" t="e">
        <f t="shared" ca="1" si="1253"/>
        <v>#N/A</v>
      </c>
      <c r="BH140" s="405" t="e">
        <f t="shared" ca="1" si="1253"/>
        <v>#N/A</v>
      </c>
      <c r="BI140" s="405" t="e">
        <f t="shared" ca="1" si="1253"/>
        <v>#N/A</v>
      </c>
      <c r="BJ140" s="405" t="e">
        <f t="shared" ca="1" si="1253"/>
        <v>#N/A</v>
      </c>
      <c r="BK140" s="405" t="e">
        <f t="shared" ca="1" si="1253"/>
        <v>#N/A</v>
      </c>
      <c r="BL140" s="405" t="e">
        <f t="shared" ca="1" si="1253"/>
        <v>#N/A</v>
      </c>
      <c r="BM140" s="405" t="e">
        <f t="shared" ca="1" si="1253"/>
        <v>#N/A</v>
      </c>
      <c r="BN140" s="405" t="e">
        <f t="shared" ca="1" si="1253"/>
        <v>#N/A</v>
      </c>
      <c r="BO140" s="405" t="e">
        <f t="shared" ca="1" si="1253"/>
        <v>#N/A</v>
      </c>
      <c r="BP140" s="405" t="e">
        <f t="shared" ca="1" si="1253"/>
        <v>#N/A</v>
      </c>
      <c r="BQ140" s="405" t="e">
        <f t="shared" ca="1" si="1253"/>
        <v>#N/A</v>
      </c>
      <c r="BR140" s="405" t="e">
        <f t="shared" ca="1" si="1253"/>
        <v>#N/A</v>
      </c>
      <c r="BS140" s="405" t="e">
        <f t="shared" ca="1" si="1253"/>
        <v>#N/A</v>
      </c>
      <c r="BT140" s="405" t="e">
        <f t="shared" ca="1" si="1253"/>
        <v>#N/A</v>
      </c>
      <c r="BU140" s="405" t="e">
        <f t="shared" ref="BU140:CL140" ca="1" si="1254">(BU139/BU117)*1000</f>
        <v>#N/A</v>
      </c>
      <c r="BV140" s="405" t="e">
        <f t="shared" ca="1" si="1254"/>
        <v>#N/A</v>
      </c>
      <c r="BW140" s="405" t="e">
        <f t="shared" ca="1" si="1254"/>
        <v>#N/A</v>
      </c>
      <c r="BX140" s="405" t="e">
        <f t="shared" ca="1" si="1254"/>
        <v>#N/A</v>
      </c>
      <c r="BY140" s="405" t="e">
        <f t="shared" ca="1" si="1254"/>
        <v>#N/A</v>
      </c>
      <c r="BZ140" s="405" t="e">
        <f t="shared" ca="1" si="1254"/>
        <v>#N/A</v>
      </c>
      <c r="CA140" s="405" t="e">
        <f t="shared" ca="1" si="1254"/>
        <v>#N/A</v>
      </c>
      <c r="CB140" s="405" t="e">
        <f t="shared" ca="1" si="1254"/>
        <v>#N/A</v>
      </c>
      <c r="CC140" s="405" t="e">
        <f t="shared" ca="1" si="1254"/>
        <v>#N/A</v>
      </c>
      <c r="CD140" s="405" t="e">
        <f t="shared" ca="1" si="1254"/>
        <v>#N/A</v>
      </c>
      <c r="CE140" s="405" t="e">
        <f t="shared" ca="1" si="1254"/>
        <v>#N/A</v>
      </c>
      <c r="CF140" s="405" t="e">
        <f t="shared" ca="1" si="1254"/>
        <v>#N/A</v>
      </c>
      <c r="CG140" s="405" t="e">
        <f t="shared" ca="1" si="1254"/>
        <v>#N/A</v>
      </c>
      <c r="CH140" s="405" t="e">
        <f t="shared" ca="1" si="1254"/>
        <v>#N/A</v>
      </c>
      <c r="CI140" s="405" t="e">
        <f t="shared" ca="1" si="1254"/>
        <v>#N/A</v>
      </c>
      <c r="CJ140" s="405" t="e">
        <f t="shared" ca="1" si="1254"/>
        <v>#N/A</v>
      </c>
      <c r="CK140" s="405" t="e">
        <f t="shared" ca="1" si="1254"/>
        <v>#N/A</v>
      </c>
      <c r="CL140" s="405" t="e">
        <f t="shared" ca="1" si="1254"/>
        <v>#N/A</v>
      </c>
      <c r="CN140" s="406"/>
      <c r="CO140" s="406"/>
      <c r="CP140" s="406"/>
    </row>
    <row r="141" spans="1:94" ht="17.25" collapsed="1" thickTop="1" thickBot="1">
      <c r="A141" s="455" t="s">
        <v>498</v>
      </c>
      <c r="B141" s="455"/>
      <c r="C141" s="455"/>
      <c r="D141" s="455"/>
      <c r="E141" s="456">
        <v>2015</v>
      </c>
      <c r="F141" s="457">
        <f>E141+1</f>
        <v>2016</v>
      </c>
      <c r="G141" s="457">
        <f t="shared" ref="G141" si="1255">F141+1</f>
        <v>2017</v>
      </c>
      <c r="H141" s="457">
        <f t="shared" ref="H141" si="1256">G141+1</f>
        <v>2018</v>
      </c>
      <c r="I141" s="457">
        <f t="shared" ref="I141" si="1257">H141+1</f>
        <v>2019</v>
      </c>
      <c r="J141" s="457">
        <f>E141+5</f>
        <v>2020</v>
      </c>
      <c r="K141" s="457">
        <f>J141+1</f>
        <v>2021</v>
      </c>
      <c r="L141" s="457">
        <f t="shared" ref="L141" si="1258">K141+1</f>
        <v>2022</v>
      </c>
      <c r="M141" s="457">
        <f t="shared" ref="M141" si="1259">L141+1</f>
        <v>2023</v>
      </c>
      <c r="N141" s="457">
        <f t="shared" ref="N141" si="1260">M141+1</f>
        <v>2024</v>
      </c>
      <c r="O141" s="457">
        <f>J141+5</f>
        <v>2025</v>
      </c>
      <c r="P141" s="457">
        <f>O141+1</f>
        <v>2026</v>
      </c>
      <c r="Q141" s="457">
        <f t="shared" ref="Q141" si="1261">P141+1</f>
        <v>2027</v>
      </c>
      <c r="R141" s="457">
        <f t="shared" ref="R141" si="1262">Q141+1</f>
        <v>2028</v>
      </c>
      <c r="S141" s="457">
        <f t="shared" ref="S141" si="1263">R141+1</f>
        <v>2029</v>
      </c>
      <c r="T141" s="457">
        <f>O141+5</f>
        <v>2030</v>
      </c>
      <c r="U141" s="457">
        <f>T141+1</f>
        <v>2031</v>
      </c>
      <c r="V141" s="457">
        <f t="shared" ref="V141" si="1264">U141+1</f>
        <v>2032</v>
      </c>
      <c r="W141" s="457">
        <f t="shared" ref="W141" si="1265">V141+1</f>
        <v>2033</v>
      </c>
      <c r="X141" s="457">
        <f t="shared" ref="X141" si="1266">W141+1</f>
        <v>2034</v>
      </c>
      <c r="Y141" s="457">
        <f>T141+5</f>
        <v>2035</v>
      </c>
      <c r="Z141" s="457">
        <f>Y141+1</f>
        <v>2036</v>
      </c>
      <c r="AA141" s="457">
        <f t="shared" ref="AA141" si="1267">Z141+1</f>
        <v>2037</v>
      </c>
      <c r="AB141" s="457">
        <f t="shared" ref="AB141" si="1268">AA141+1</f>
        <v>2038</v>
      </c>
      <c r="AC141" s="457">
        <f t="shared" ref="AC141" si="1269">AB141+1</f>
        <v>2039</v>
      </c>
      <c r="AD141" s="457">
        <f>Y141+5</f>
        <v>2040</v>
      </c>
      <c r="AE141" s="457">
        <f>AD141+1</f>
        <v>2041</v>
      </c>
      <c r="AF141" s="457">
        <f t="shared" ref="AF141" si="1270">AE141+1</f>
        <v>2042</v>
      </c>
      <c r="AG141" s="457">
        <f t="shared" ref="AG141" si="1271">AF141+1</f>
        <v>2043</v>
      </c>
      <c r="AH141" s="457">
        <f t="shared" ref="AH141" si="1272">AG141+1</f>
        <v>2044</v>
      </c>
      <c r="AI141" s="457">
        <f>AD141+5</f>
        <v>2045</v>
      </c>
      <c r="AJ141" s="457">
        <f>AI141+1</f>
        <v>2046</v>
      </c>
      <c r="AK141" s="457">
        <f t="shared" ref="AK141" si="1273">AJ141+1</f>
        <v>2047</v>
      </c>
      <c r="AL141" s="457">
        <f t="shared" ref="AL141" si="1274">AK141+1</f>
        <v>2048</v>
      </c>
      <c r="AM141" s="457">
        <f t="shared" ref="AM141" si="1275">AL141+1</f>
        <v>2049</v>
      </c>
      <c r="AN141" s="457">
        <f>AI141+5</f>
        <v>2050</v>
      </c>
      <c r="AO141" s="457">
        <f>AN141+1</f>
        <v>2051</v>
      </c>
      <c r="AP141" s="457">
        <f t="shared" ref="AP141" si="1276">AO141+1</f>
        <v>2052</v>
      </c>
      <c r="AQ141" s="457">
        <f t="shared" ref="AQ141" si="1277">AP141+1</f>
        <v>2053</v>
      </c>
      <c r="AR141" s="457">
        <f t="shared" ref="AR141" si="1278">AQ141+1</f>
        <v>2054</v>
      </c>
      <c r="AS141" s="457">
        <f>AN141+5</f>
        <v>2055</v>
      </c>
      <c r="AT141" s="457">
        <f>AS141+1</f>
        <v>2056</v>
      </c>
      <c r="AU141" s="457">
        <f t="shared" ref="AU141" si="1279">AT141+1</f>
        <v>2057</v>
      </c>
      <c r="AV141" s="457">
        <f t="shared" ref="AV141" si="1280">AU141+1</f>
        <v>2058</v>
      </c>
      <c r="AW141" s="457">
        <f t="shared" ref="AW141" si="1281">AV141+1</f>
        <v>2059</v>
      </c>
      <c r="AX141" s="457">
        <f>AS141+5</f>
        <v>2060</v>
      </c>
      <c r="AY141" s="457">
        <f>AX141+1</f>
        <v>2061</v>
      </c>
      <c r="AZ141" s="457">
        <f t="shared" ref="AZ141" si="1282">AY141+1</f>
        <v>2062</v>
      </c>
      <c r="BA141" s="457">
        <f t="shared" ref="BA141" si="1283">AZ141+1</f>
        <v>2063</v>
      </c>
      <c r="BB141" s="457">
        <f t="shared" ref="BB141" si="1284">BA141+1</f>
        <v>2064</v>
      </c>
      <c r="BC141" s="457">
        <f>AX141+5</f>
        <v>2065</v>
      </c>
      <c r="BD141" s="457">
        <f>BC141+1</f>
        <v>2066</v>
      </c>
      <c r="BE141" s="457">
        <f t="shared" ref="BE141" si="1285">BD141+1</f>
        <v>2067</v>
      </c>
      <c r="BF141" s="457">
        <f t="shared" ref="BF141" si="1286">BE141+1</f>
        <v>2068</v>
      </c>
      <c r="BG141" s="457">
        <f t="shared" ref="BG141" si="1287">BF141+1</f>
        <v>2069</v>
      </c>
      <c r="BH141" s="457">
        <f>BC141+5</f>
        <v>2070</v>
      </c>
      <c r="BI141" s="457">
        <f>BH141+1</f>
        <v>2071</v>
      </c>
      <c r="BJ141" s="457">
        <f t="shared" ref="BJ141" si="1288">BI141+1</f>
        <v>2072</v>
      </c>
      <c r="BK141" s="457">
        <f t="shared" ref="BK141" si="1289">BJ141+1</f>
        <v>2073</v>
      </c>
      <c r="BL141" s="457">
        <f t="shared" ref="BL141" si="1290">BK141+1</f>
        <v>2074</v>
      </c>
      <c r="BM141" s="457">
        <f>BH141+5</f>
        <v>2075</v>
      </c>
      <c r="BN141" s="457">
        <f>BM141+1</f>
        <v>2076</v>
      </c>
      <c r="BO141" s="457">
        <f t="shared" ref="BO141" si="1291">BN141+1</f>
        <v>2077</v>
      </c>
      <c r="BP141" s="457">
        <f t="shared" ref="BP141" si="1292">BO141+1</f>
        <v>2078</v>
      </c>
      <c r="BQ141" s="457">
        <f t="shared" ref="BQ141" si="1293">BP141+1</f>
        <v>2079</v>
      </c>
      <c r="BR141" s="457">
        <f>BM141+5</f>
        <v>2080</v>
      </c>
      <c r="BS141" s="457">
        <f>BR141+1</f>
        <v>2081</v>
      </c>
      <c r="BT141" s="457">
        <f t="shared" ref="BT141" si="1294">BS141+1</f>
        <v>2082</v>
      </c>
      <c r="BU141" s="457">
        <f t="shared" ref="BU141" si="1295">BT141+1</f>
        <v>2083</v>
      </c>
      <c r="BV141" s="457">
        <f t="shared" ref="BV141" si="1296">BU141+1</f>
        <v>2084</v>
      </c>
      <c r="BW141" s="457">
        <f>BR141+5</f>
        <v>2085</v>
      </c>
      <c r="BX141" s="457">
        <f>BW141+1</f>
        <v>2086</v>
      </c>
      <c r="BY141" s="457">
        <f t="shared" ref="BY141" si="1297">BX141+1</f>
        <v>2087</v>
      </c>
      <c r="BZ141" s="457">
        <f t="shared" ref="BZ141" si="1298">BY141+1</f>
        <v>2088</v>
      </c>
      <c r="CA141" s="457">
        <f t="shared" ref="CA141" si="1299">BZ141+1</f>
        <v>2089</v>
      </c>
      <c r="CB141" s="457">
        <f>BW141+5</f>
        <v>2090</v>
      </c>
      <c r="CC141" s="457">
        <f>CB141+1</f>
        <v>2091</v>
      </c>
      <c r="CD141" s="457">
        <f t="shared" ref="CD141" si="1300">CC141+1</f>
        <v>2092</v>
      </c>
      <c r="CE141" s="457">
        <f t="shared" ref="CE141" si="1301">CD141+1</f>
        <v>2093</v>
      </c>
      <c r="CF141" s="457">
        <f t="shared" ref="CF141" si="1302">CE141+1</f>
        <v>2094</v>
      </c>
      <c r="CG141" s="457">
        <f>CB141+5</f>
        <v>2095</v>
      </c>
      <c r="CH141" s="457">
        <f>CG141+1</f>
        <v>2096</v>
      </c>
      <c r="CI141" s="457">
        <f t="shared" ref="CI141" si="1303">CH141+1</f>
        <v>2097</v>
      </c>
      <c r="CJ141" s="457">
        <f t="shared" ref="CJ141" si="1304">CI141+1</f>
        <v>2098</v>
      </c>
      <c r="CK141" s="457">
        <f t="shared" ref="CK141" si="1305">CJ141+1</f>
        <v>2099</v>
      </c>
      <c r="CL141" s="457">
        <f>CG141+5</f>
        <v>2100</v>
      </c>
      <c r="CN141" s="458" t="s">
        <v>409</v>
      </c>
      <c r="CO141" s="458" t="s">
        <v>411</v>
      </c>
      <c r="CP141" s="458" t="s">
        <v>410</v>
      </c>
    </row>
    <row r="142" spans="1:94" ht="16.5" hidden="1" outlineLevel="1" thickTop="1">
      <c r="A142" s="403" t="s">
        <v>499</v>
      </c>
      <c r="B142" s="403"/>
      <c r="C142" s="403"/>
      <c r="D142" s="403"/>
      <c r="E142" s="484"/>
      <c r="F142" s="484"/>
      <c r="G142" s="484"/>
      <c r="H142" s="484" t="str">
        <f t="shared" ref="H142:AJ142" si="1306">IF(H141=S3_base,S3_Emissions,"")</f>
        <v/>
      </c>
      <c r="I142" s="462" t="str">
        <f t="shared" si="1306"/>
        <v/>
      </c>
      <c r="J142" s="462" t="str">
        <f t="shared" si="1306"/>
        <v/>
      </c>
      <c r="K142" s="462" t="str">
        <f t="shared" si="1306"/>
        <v/>
      </c>
      <c r="L142" s="462" t="str">
        <f t="shared" si="1306"/>
        <v/>
      </c>
      <c r="M142" s="462" t="str">
        <f t="shared" si="1306"/>
        <v/>
      </c>
      <c r="N142" s="462" t="str">
        <f t="shared" si="1306"/>
        <v/>
      </c>
      <c r="O142" s="462" t="str">
        <f t="shared" si="1306"/>
        <v/>
      </c>
      <c r="P142" s="462" t="str">
        <f t="shared" si="1306"/>
        <v/>
      </c>
      <c r="Q142" s="462" t="str">
        <f t="shared" si="1306"/>
        <v/>
      </c>
      <c r="R142" s="462" t="str">
        <f t="shared" si="1306"/>
        <v/>
      </c>
      <c r="S142" s="462" t="str">
        <f t="shared" si="1306"/>
        <v/>
      </c>
      <c r="T142" s="462" t="str">
        <f t="shared" si="1306"/>
        <v/>
      </c>
      <c r="U142" s="462" t="str">
        <f t="shared" si="1306"/>
        <v/>
      </c>
      <c r="V142" s="462" t="str">
        <f t="shared" si="1306"/>
        <v/>
      </c>
      <c r="W142" s="462" t="str">
        <f t="shared" si="1306"/>
        <v/>
      </c>
      <c r="X142" s="462" t="str">
        <f t="shared" si="1306"/>
        <v/>
      </c>
      <c r="Y142" s="462" t="str">
        <f t="shared" si="1306"/>
        <v/>
      </c>
      <c r="Z142" s="462" t="str">
        <f t="shared" si="1306"/>
        <v/>
      </c>
      <c r="AA142" s="462" t="str">
        <f t="shared" si="1306"/>
        <v/>
      </c>
      <c r="AB142" s="462" t="str">
        <f t="shared" si="1306"/>
        <v/>
      </c>
      <c r="AC142" s="462" t="str">
        <f t="shared" si="1306"/>
        <v/>
      </c>
      <c r="AD142" s="462" t="str">
        <f t="shared" si="1306"/>
        <v/>
      </c>
      <c r="AE142" s="462" t="str">
        <f t="shared" si="1306"/>
        <v/>
      </c>
      <c r="AF142" s="462" t="str">
        <f t="shared" si="1306"/>
        <v/>
      </c>
      <c r="AG142" s="462" t="str">
        <f t="shared" si="1306"/>
        <v/>
      </c>
      <c r="AH142" s="462" t="str">
        <f t="shared" si="1306"/>
        <v/>
      </c>
      <c r="AI142" s="462" t="str">
        <f t="shared" si="1306"/>
        <v/>
      </c>
      <c r="AJ142" s="462" t="str">
        <f t="shared" si="1306"/>
        <v/>
      </c>
      <c r="AK142" s="462" t="str">
        <f t="shared" ref="AK142:BP142" si="1307">IF(AK141=S3_base,S3_Emissions,"")</f>
        <v/>
      </c>
      <c r="AL142" s="462" t="str">
        <f t="shared" si="1307"/>
        <v/>
      </c>
      <c r="AM142" s="462" t="str">
        <f t="shared" si="1307"/>
        <v/>
      </c>
      <c r="AN142" s="462" t="str">
        <f t="shared" si="1307"/>
        <v/>
      </c>
      <c r="AO142" s="405" t="str">
        <f t="shared" si="1307"/>
        <v/>
      </c>
      <c r="AP142" s="405" t="str">
        <f t="shared" si="1307"/>
        <v/>
      </c>
      <c r="AQ142" s="405" t="str">
        <f t="shared" si="1307"/>
        <v/>
      </c>
      <c r="AR142" s="405" t="str">
        <f t="shared" si="1307"/>
        <v/>
      </c>
      <c r="AS142" s="405" t="str">
        <f t="shared" si="1307"/>
        <v/>
      </c>
      <c r="AT142" s="405" t="str">
        <f t="shared" si="1307"/>
        <v/>
      </c>
      <c r="AU142" s="405" t="str">
        <f t="shared" si="1307"/>
        <v/>
      </c>
      <c r="AV142" s="405" t="str">
        <f t="shared" si="1307"/>
        <v/>
      </c>
      <c r="AW142" s="405" t="str">
        <f t="shared" si="1307"/>
        <v/>
      </c>
      <c r="AX142" s="405" t="str">
        <f t="shared" si="1307"/>
        <v/>
      </c>
      <c r="AY142" s="405" t="str">
        <f t="shared" si="1307"/>
        <v/>
      </c>
      <c r="AZ142" s="405" t="str">
        <f t="shared" si="1307"/>
        <v/>
      </c>
      <c r="BA142" s="405" t="str">
        <f t="shared" si="1307"/>
        <v/>
      </c>
      <c r="BB142" s="405" t="str">
        <f t="shared" si="1307"/>
        <v/>
      </c>
      <c r="BC142" s="405" t="str">
        <f t="shared" si="1307"/>
        <v/>
      </c>
      <c r="BD142" s="405" t="str">
        <f t="shared" si="1307"/>
        <v/>
      </c>
      <c r="BE142" s="405" t="str">
        <f t="shared" si="1307"/>
        <v/>
      </c>
      <c r="BF142" s="405" t="str">
        <f t="shared" si="1307"/>
        <v/>
      </c>
      <c r="BG142" s="405" t="str">
        <f t="shared" si="1307"/>
        <v/>
      </c>
      <c r="BH142" s="405" t="str">
        <f t="shared" si="1307"/>
        <v/>
      </c>
      <c r="BI142" s="405" t="str">
        <f t="shared" si="1307"/>
        <v/>
      </c>
      <c r="BJ142" s="405" t="str">
        <f t="shared" si="1307"/>
        <v/>
      </c>
      <c r="BK142" s="405" t="str">
        <f t="shared" si="1307"/>
        <v/>
      </c>
      <c r="BL142" s="405" t="str">
        <f t="shared" si="1307"/>
        <v/>
      </c>
      <c r="BM142" s="405" t="str">
        <f t="shared" si="1307"/>
        <v/>
      </c>
      <c r="BN142" s="405" t="str">
        <f t="shared" si="1307"/>
        <v/>
      </c>
      <c r="BO142" s="405" t="str">
        <f t="shared" si="1307"/>
        <v/>
      </c>
      <c r="BP142" s="405" t="str">
        <f t="shared" si="1307"/>
        <v/>
      </c>
      <c r="BQ142" s="405" t="str">
        <f t="shared" ref="BQ142:CL142" si="1308">IF(BQ141=S3_base,S3_Emissions,"")</f>
        <v/>
      </c>
      <c r="BR142" s="405" t="str">
        <f t="shared" si="1308"/>
        <v/>
      </c>
      <c r="BS142" s="405" t="str">
        <f t="shared" si="1308"/>
        <v/>
      </c>
      <c r="BT142" s="405" t="str">
        <f t="shared" si="1308"/>
        <v/>
      </c>
      <c r="BU142" s="405" t="str">
        <f t="shared" si="1308"/>
        <v/>
      </c>
      <c r="BV142" s="405" t="str">
        <f t="shared" si="1308"/>
        <v/>
      </c>
      <c r="BW142" s="405" t="str">
        <f t="shared" si="1308"/>
        <v/>
      </c>
      <c r="BX142" s="405" t="str">
        <f t="shared" si="1308"/>
        <v/>
      </c>
      <c r="BY142" s="405" t="str">
        <f t="shared" si="1308"/>
        <v/>
      </c>
      <c r="BZ142" s="405" t="str">
        <f t="shared" si="1308"/>
        <v/>
      </c>
      <c r="CA142" s="405" t="str">
        <f t="shared" si="1308"/>
        <v/>
      </c>
      <c r="CB142" s="405" t="str">
        <f t="shared" si="1308"/>
        <v/>
      </c>
      <c r="CC142" s="405" t="str">
        <f t="shared" si="1308"/>
        <v/>
      </c>
      <c r="CD142" s="405" t="str">
        <f t="shared" si="1308"/>
        <v/>
      </c>
      <c r="CE142" s="405" t="str">
        <f t="shared" si="1308"/>
        <v/>
      </c>
      <c r="CF142" s="405" t="str">
        <f t="shared" si="1308"/>
        <v/>
      </c>
      <c r="CG142" s="405" t="str">
        <f t="shared" si="1308"/>
        <v/>
      </c>
      <c r="CH142" s="405" t="str">
        <f t="shared" si="1308"/>
        <v/>
      </c>
      <c r="CI142" s="405" t="str">
        <f t="shared" si="1308"/>
        <v/>
      </c>
      <c r="CJ142" s="405" t="str">
        <f t="shared" si="1308"/>
        <v/>
      </c>
      <c r="CK142" s="405" t="str">
        <f t="shared" si="1308"/>
        <v/>
      </c>
      <c r="CL142" s="405" t="str">
        <f t="shared" si="1308"/>
        <v/>
      </c>
      <c r="CN142" s="406"/>
      <c r="CO142" s="406"/>
      <c r="CP142" s="406"/>
    </row>
    <row r="143" spans="1:94" hidden="1" outlineLevel="1">
      <c r="A143" s="403" t="s">
        <v>618</v>
      </c>
      <c r="B143" s="403"/>
      <c r="C143" s="403"/>
      <c r="D143" s="403"/>
      <c r="E143" s="406"/>
      <c r="F143" s="406"/>
      <c r="G143" s="406"/>
      <c r="H143" s="406">
        <f t="shared" ref="H143:AM143" si="1309">IF(S3_base&lt;2020,IF(H141=S3_base,0,2.5%+G143),IF(H141=2020,0,2.5%+G143))</f>
        <v>2.5000000000000001E-2</v>
      </c>
      <c r="I143" s="406">
        <f t="shared" si="1309"/>
        <v>0.05</v>
      </c>
      <c r="J143" s="406">
        <f t="shared" si="1309"/>
        <v>7.5000000000000011E-2</v>
      </c>
      <c r="K143" s="406">
        <f t="shared" si="1309"/>
        <v>0.1</v>
      </c>
      <c r="L143" s="406">
        <f t="shared" si="1309"/>
        <v>0.125</v>
      </c>
      <c r="M143" s="406">
        <f t="shared" si="1309"/>
        <v>0.15</v>
      </c>
      <c r="N143" s="406">
        <f t="shared" si="1309"/>
        <v>0.17499999999999999</v>
      </c>
      <c r="O143" s="406">
        <f t="shared" si="1309"/>
        <v>0.19999999999999998</v>
      </c>
      <c r="P143" s="406">
        <f t="shared" si="1309"/>
        <v>0.22499999999999998</v>
      </c>
      <c r="Q143" s="406">
        <f t="shared" si="1309"/>
        <v>0.24999999999999997</v>
      </c>
      <c r="R143" s="406">
        <f t="shared" si="1309"/>
        <v>0.27499999999999997</v>
      </c>
      <c r="S143" s="406">
        <f t="shared" si="1309"/>
        <v>0.3</v>
      </c>
      <c r="T143" s="406">
        <f t="shared" si="1309"/>
        <v>0.32500000000000001</v>
      </c>
      <c r="U143" s="406">
        <f t="shared" si="1309"/>
        <v>0.35000000000000003</v>
      </c>
      <c r="V143" s="406">
        <f t="shared" si="1309"/>
        <v>0.37500000000000006</v>
      </c>
      <c r="W143" s="406">
        <f t="shared" si="1309"/>
        <v>0.40000000000000008</v>
      </c>
      <c r="X143" s="406">
        <f t="shared" si="1309"/>
        <v>0.4250000000000001</v>
      </c>
      <c r="Y143" s="406">
        <f t="shared" si="1309"/>
        <v>0.45000000000000012</v>
      </c>
      <c r="Z143" s="406">
        <f t="shared" si="1309"/>
        <v>0.47500000000000014</v>
      </c>
      <c r="AA143" s="406">
        <f t="shared" si="1309"/>
        <v>0.50000000000000011</v>
      </c>
      <c r="AB143" s="406">
        <f t="shared" si="1309"/>
        <v>0.52500000000000013</v>
      </c>
      <c r="AC143" s="406">
        <f t="shared" si="1309"/>
        <v>0.55000000000000016</v>
      </c>
      <c r="AD143" s="406">
        <f t="shared" si="1309"/>
        <v>0.57500000000000018</v>
      </c>
      <c r="AE143" s="406">
        <f t="shared" si="1309"/>
        <v>0.6000000000000002</v>
      </c>
      <c r="AF143" s="406">
        <f t="shared" si="1309"/>
        <v>0.62500000000000022</v>
      </c>
      <c r="AG143" s="406">
        <f t="shared" si="1309"/>
        <v>0.65000000000000024</v>
      </c>
      <c r="AH143" s="406">
        <f t="shared" si="1309"/>
        <v>0.67500000000000027</v>
      </c>
      <c r="AI143" s="406">
        <f t="shared" si="1309"/>
        <v>0.70000000000000029</v>
      </c>
      <c r="AJ143" s="406">
        <f t="shared" si="1309"/>
        <v>0.72500000000000031</v>
      </c>
      <c r="AK143" s="406">
        <f t="shared" si="1309"/>
        <v>0.75000000000000033</v>
      </c>
      <c r="AL143" s="406">
        <f t="shared" si="1309"/>
        <v>0.77500000000000036</v>
      </c>
      <c r="AM143" s="406">
        <f t="shared" si="1309"/>
        <v>0.80000000000000038</v>
      </c>
      <c r="AN143" s="406">
        <f t="shared" ref="AN143:BS143" si="1310">IF(S3_base&lt;2020,IF(AN141=S3_base,0,2.5%+AM143),IF(AN141=2020,0,2.5%+AM143))</f>
        <v>0.8250000000000004</v>
      </c>
      <c r="AO143" s="406">
        <f t="shared" si="1310"/>
        <v>0.85000000000000042</v>
      </c>
      <c r="AP143" s="406">
        <f t="shared" si="1310"/>
        <v>0.87500000000000044</v>
      </c>
      <c r="AQ143" s="406">
        <f t="shared" si="1310"/>
        <v>0.90000000000000047</v>
      </c>
      <c r="AR143" s="406">
        <f t="shared" si="1310"/>
        <v>0.92500000000000049</v>
      </c>
      <c r="AS143" s="406">
        <f t="shared" si="1310"/>
        <v>0.95000000000000051</v>
      </c>
      <c r="AT143" s="406">
        <f t="shared" si="1310"/>
        <v>0.97500000000000053</v>
      </c>
      <c r="AU143" s="406">
        <f t="shared" si="1310"/>
        <v>1.0000000000000004</v>
      </c>
      <c r="AV143" s="406">
        <f t="shared" si="1310"/>
        <v>1.0250000000000004</v>
      </c>
      <c r="AW143" s="406">
        <f t="shared" si="1310"/>
        <v>1.0500000000000003</v>
      </c>
      <c r="AX143" s="406">
        <f t="shared" si="1310"/>
        <v>1.0750000000000002</v>
      </c>
      <c r="AY143" s="406">
        <f t="shared" si="1310"/>
        <v>1.1000000000000001</v>
      </c>
      <c r="AZ143" s="406">
        <f t="shared" si="1310"/>
        <v>1.125</v>
      </c>
      <c r="BA143" s="406">
        <f t="shared" si="1310"/>
        <v>1.1499999999999999</v>
      </c>
      <c r="BB143" s="406">
        <f t="shared" si="1310"/>
        <v>1.1749999999999998</v>
      </c>
      <c r="BC143" s="406">
        <f t="shared" si="1310"/>
        <v>1.1999999999999997</v>
      </c>
      <c r="BD143" s="406">
        <f t="shared" si="1310"/>
        <v>1.2249999999999996</v>
      </c>
      <c r="BE143" s="406">
        <f t="shared" si="1310"/>
        <v>1.2499999999999996</v>
      </c>
      <c r="BF143" s="406">
        <f t="shared" si="1310"/>
        <v>1.2749999999999995</v>
      </c>
      <c r="BG143" s="406">
        <f t="shared" si="1310"/>
        <v>1.2999999999999994</v>
      </c>
      <c r="BH143" s="406">
        <f t="shared" si="1310"/>
        <v>1.3249999999999993</v>
      </c>
      <c r="BI143" s="406">
        <f t="shared" si="1310"/>
        <v>1.3499999999999992</v>
      </c>
      <c r="BJ143" s="406">
        <f t="shared" si="1310"/>
        <v>1.3749999999999991</v>
      </c>
      <c r="BK143" s="406">
        <f t="shared" si="1310"/>
        <v>1.399999999999999</v>
      </c>
      <c r="BL143" s="406">
        <f t="shared" si="1310"/>
        <v>1.4249999999999989</v>
      </c>
      <c r="BM143" s="406">
        <f t="shared" si="1310"/>
        <v>1.4499999999999988</v>
      </c>
      <c r="BN143" s="406">
        <f t="shared" si="1310"/>
        <v>1.4749999999999988</v>
      </c>
      <c r="BO143" s="406">
        <f t="shared" si="1310"/>
        <v>1.4999999999999987</v>
      </c>
      <c r="BP143" s="406">
        <f t="shared" si="1310"/>
        <v>1.5249999999999986</v>
      </c>
      <c r="BQ143" s="406">
        <f t="shared" si="1310"/>
        <v>1.5499999999999985</v>
      </c>
      <c r="BR143" s="406">
        <f t="shared" si="1310"/>
        <v>1.5749999999999984</v>
      </c>
      <c r="BS143" s="406">
        <f t="shared" si="1310"/>
        <v>1.5999999999999983</v>
      </c>
      <c r="BT143" s="406">
        <f t="shared" ref="BT143:CL143" si="1311">IF(S3_base&lt;2020,IF(BT141=S3_base,0,2.5%+BS143),IF(BT141=2020,0,2.5%+BS143))</f>
        <v>1.6249999999999982</v>
      </c>
      <c r="BU143" s="406">
        <f t="shared" si="1311"/>
        <v>1.6499999999999981</v>
      </c>
      <c r="BV143" s="406">
        <f t="shared" si="1311"/>
        <v>1.674999999999998</v>
      </c>
      <c r="BW143" s="406">
        <f t="shared" si="1311"/>
        <v>1.699999999999998</v>
      </c>
      <c r="BX143" s="406">
        <f t="shared" si="1311"/>
        <v>1.7249999999999979</v>
      </c>
      <c r="BY143" s="406">
        <f t="shared" si="1311"/>
        <v>1.7499999999999978</v>
      </c>
      <c r="BZ143" s="406">
        <f t="shared" si="1311"/>
        <v>1.7749999999999977</v>
      </c>
      <c r="CA143" s="406">
        <f t="shared" si="1311"/>
        <v>1.7999999999999976</v>
      </c>
      <c r="CB143" s="406">
        <f t="shared" si="1311"/>
        <v>1.8249999999999975</v>
      </c>
      <c r="CC143" s="406">
        <f t="shared" si="1311"/>
        <v>1.8499999999999974</v>
      </c>
      <c r="CD143" s="406">
        <f t="shared" si="1311"/>
        <v>1.8749999999999973</v>
      </c>
      <c r="CE143" s="406">
        <f t="shared" si="1311"/>
        <v>1.8999999999999972</v>
      </c>
      <c r="CF143" s="406">
        <f t="shared" si="1311"/>
        <v>1.9249999999999972</v>
      </c>
      <c r="CG143" s="406">
        <f t="shared" si="1311"/>
        <v>1.9499999999999971</v>
      </c>
      <c r="CH143" s="406">
        <f t="shared" si="1311"/>
        <v>1.974999999999997</v>
      </c>
      <c r="CI143" s="406">
        <f t="shared" si="1311"/>
        <v>1.9999999999999969</v>
      </c>
      <c r="CJ143" s="406">
        <f t="shared" si="1311"/>
        <v>2.0249999999999968</v>
      </c>
      <c r="CK143" s="406">
        <f t="shared" si="1311"/>
        <v>2.0499999999999967</v>
      </c>
      <c r="CL143" s="406">
        <f t="shared" si="1311"/>
        <v>2.0749999999999966</v>
      </c>
      <c r="CM143" s="406">
        <f>IF(CM141=S3_base,0,IF(AND(CM141&gt;S3_base,CM141&lt;2020),2.5%+CL143,IF(CM141&gt;2020,2.5%+CL143,"")))</f>
        <v>0</v>
      </c>
      <c r="CN143" s="406"/>
      <c r="CO143" s="406"/>
      <c r="CP143" s="406"/>
    </row>
    <row r="144" spans="1:94" hidden="1" outlineLevel="1">
      <c r="A144" s="403" t="s">
        <v>500</v>
      </c>
      <c r="B144" s="403"/>
      <c r="C144" s="403"/>
      <c r="D144" s="403"/>
      <c r="E144" s="405" t="e">
        <f t="shared" ref="E144:G144" si="1312">INDEX($E$141:$CL$142,2,MATCH(S3_base,$E$141:$CL$141,0))*(1-IF(E143&lt;0,0,E143))</f>
        <v>#N/A</v>
      </c>
      <c r="F144" s="405" t="e">
        <f t="shared" si="1312"/>
        <v>#N/A</v>
      </c>
      <c r="G144" s="405" t="e">
        <f t="shared" si="1312"/>
        <v>#N/A</v>
      </c>
      <c r="H144" s="405" t="e">
        <f t="shared" ref="H144:AM144" si="1313">IF(H141&lt;S3_base,NA(),INDEX($E$141:$CL$142,2,MATCH(S3_base,$E$141:$CL$141,0))*(1-IF(H143&lt;0,0,H143)))</f>
        <v>#N/A</v>
      </c>
      <c r="I144" s="405" t="e">
        <f t="shared" si="1313"/>
        <v>#N/A</v>
      </c>
      <c r="J144" s="405" t="e">
        <f t="shared" si="1313"/>
        <v>#N/A</v>
      </c>
      <c r="K144" s="405" t="e">
        <f t="shared" si="1313"/>
        <v>#N/A</v>
      </c>
      <c r="L144" s="405" t="e">
        <f t="shared" si="1313"/>
        <v>#N/A</v>
      </c>
      <c r="M144" s="405" t="e">
        <f t="shared" si="1313"/>
        <v>#N/A</v>
      </c>
      <c r="N144" s="405" t="e">
        <f t="shared" si="1313"/>
        <v>#N/A</v>
      </c>
      <c r="O144" s="405" t="e">
        <f t="shared" si="1313"/>
        <v>#N/A</v>
      </c>
      <c r="P144" s="405" t="e">
        <f t="shared" si="1313"/>
        <v>#N/A</v>
      </c>
      <c r="Q144" s="405" t="e">
        <f t="shared" si="1313"/>
        <v>#N/A</v>
      </c>
      <c r="R144" s="405" t="e">
        <f t="shared" si="1313"/>
        <v>#N/A</v>
      </c>
      <c r="S144" s="405" t="e">
        <f t="shared" si="1313"/>
        <v>#N/A</v>
      </c>
      <c r="T144" s="405" t="e">
        <f t="shared" si="1313"/>
        <v>#N/A</v>
      </c>
      <c r="U144" s="405" t="e">
        <f t="shared" si="1313"/>
        <v>#N/A</v>
      </c>
      <c r="V144" s="405" t="e">
        <f t="shared" si="1313"/>
        <v>#N/A</v>
      </c>
      <c r="W144" s="405" t="e">
        <f t="shared" si="1313"/>
        <v>#N/A</v>
      </c>
      <c r="X144" s="405" t="e">
        <f t="shared" si="1313"/>
        <v>#N/A</v>
      </c>
      <c r="Y144" s="405" t="e">
        <f t="shared" si="1313"/>
        <v>#N/A</v>
      </c>
      <c r="Z144" s="405" t="e">
        <f t="shared" si="1313"/>
        <v>#N/A</v>
      </c>
      <c r="AA144" s="405" t="e">
        <f t="shared" si="1313"/>
        <v>#N/A</v>
      </c>
      <c r="AB144" s="405" t="e">
        <f t="shared" si="1313"/>
        <v>#N/A</v>
      </c>
      <c r="AC144" s="405" t="e">
        <f t="shared" si="1313"/>
        <v>#N/A</v>
      </c>
      <c r="AD144" s="405" t="e">
        <f t="shared" si="1313"/>
        <v>#N/A</v>
      </c>
      <c r="AE144" s="405" t="e">
        <f t="shared" si="1313"/>
        <v>#N/A</v>
      </c>
      <c r="AF144" s="405" t="e">
        <f t="shared" si="1313"/>
        <v>#N/A</v>
      </c>
      <c r="AG144" s="405" t="e">
        <f t="shared" si="1313"/>
        <v>#N/A</v>
      </c>
      <c r="AH144" s="405" t="e">
        <f t="shared" si="1313"/>
        <v>#N/A</v>
      </c>
      <c r="AI144" s="405" t="e">
        <f t="shared" si="1313"/>
        <v>#N/A</v>
      </c>
      <c r="AJ144" s="405" t="e">
        <f t="shared" si="1313"/>
        <v>#N/A</v>
      </c>
      <c r="AK144" s="405" t="e">
        <f t="shared" si="1313"/>
        <v>#N/A</v>
      </c>
      <c r="AL144" s="405" t="e">
        <f t="shared" si="1313"/>
        <v>#N/A</v>
      </c>
      <c r="AM144" s="405" t="e">
        <f t="shared" si="1313"/>
        <v>#N/A</v>
      </c>
      <c r="AN144" s="405" t="e">
        <f t="shared" ref="AN144:BS144" si="1314">IF(AN141&lt;S3_base,NA(),INDEX($E$141:$CL$142,2,MATCH(S3_base,$E$141:$CL$141,0))*(1-IF(AN143&lt;0,0,AN143)))</f>
        <v>#N/A</v>
      </c>
      <c r="AO144" s="405" t="e">
        <f t="shared" si="1314"/>
        <v>#N/A</v>
      </c>
      <c r="AP144" s="405" t="e">
        <f t="shared" si="1314"/>
        <v>#N/A</v>
      </c>
      <c r="AQ144" s="405" t="e">
        <f t="shared" si="1314"/>
        <v>#N/A</v>
      </c>
      <c r="AR144" s="405" t="e">
        <f t="shared" si="1314"/>
        <v>#N/A</v>
      </c>
      <c r="AS144" s="405" t="e">
        <f t="shared" si="1314"/>
        <v>#N/A</v>
      </c>
      <c r="AT144" s="405" t="e">
        <f t="shared" si="1314"/>
        <v>#N/A</v>
      </c>
      <c r="AU144" s="405" t="e">
        <f t="shared" si="1314"/>
        <v>#N/A</v>
      </c>
      <c r="AV144" s="405" t="e">
        <f t="shared" si="1314"/>
        <v>#N/A</v>
      </c>
      <c r="AW144" s="405" t="e">
        <f t="shared" si="1314"/>
        <v>#N/A</v>
      </c>
      <c r="AX144" s="405" t="e">
        <f t="shared" si="1314"/>
        <v>#N/A</v>
      </c>
      <c r="AY144" s="405" t="e">
        <f t="shared" si="1314"/>
        <v>#N/A</v>
      </c>
      <c r="AZ144" s="405" t="e">
        <f t="shared" si="1314"/>
        <v>#N/A</v>
      </c>
      <c r="BA144" s="405" t="e">
        <f t="shared" si="1314"/>
        <v>#N/A</v>
      </c>
      <c r="BB144" s="405" t="e">
        <f t="shared" si="1314"/>
        <v>#N/A</v>
      </c>
      <c r="BC144" s="405" t="e">
        <f t="shared" si="1314"/>
        <v>#N/A</v>
      </c>
      <c r="BD144" s="405" t="e">
        <f t="shared" si="1314"/>
        <v>#N/A</v>
      </c>
      <c r="BE144" s="405" t="e">
        <f t="shared" si="1314"/>
        <v>#N/A</v>
      </c>
      <c r="BF144" s="405" t="e">
        <f t="shared" si="1314"/>
        <v>#N/A</v>
      </c>
      <c r="BG144" s="405" t="e">
        <f t="shared" si="1314"/>
        <v>#N/A</v>
      </c>
      <c r="BH144" s="405" t="e">
        <f t="shared" si="1314"/>
        <v>#N/A</v>
      </c>
      <c r="BI144" s="405" t="e">
        <f t="shared" si="1314"/>
        <v>#N/A</v>
      </c>
      <c r="BJ144" s="405" t="e">
        <f t="shared" si="1314"/>
        <v>#N/A</v>
      </c>
      <c r="BK144" s="405" t="e">
        <f t="shared" si="1314"/>
        <v>#N/A</v>
      </c>
      <c r="BL144" s="405" t="e">
        <f t="shared" si="1314"/>
        <v>#N/A</v>
      </c>
      <c r="BM144" s="405" t="e">
        <f t="shared" si="1314"/>
        <v>#N/A</v>
      </c>
      <c r="BN144" s="405" t="e">
        <f t="shared" si="1314"/>
        <v>#N/A</v>
      </c>
      <c r="BO144" s="405" t="e">
        <f t="shared" si="1314"/>
        <v>#N/A</v>
      </c>
      <c r="BP144" s="405" t="e">
        <f t="shared" si="1314"/>
        <v>#N/A</v>
      </c>
      <c r="BQ144" s="405" t="e">
        <f t="shared" si="1314"/>
        <v>#N/A</v>
      </c>
      <c r="BR144" s="405" t="e">
        <f t="shared" si="1314"/>
        <v>#N/A</v>
      </c>
      <c r="BS144" s="405" t="e">
        <f t="shared" si="1314"/>
        <v>#N/A</v>
      </c>
      <c r="BT144" s="405" t="e">
        <f t="shared" ref="BT144:CL144" si="1315">IF(BT141&lt;S3_base,NA(),INDEX($E$141:$CL$142,2,MATCH(S3_base,$E$141:$CL$141,0))*(1-IF(BT143&lt;0,0,BT143)))</f>
        <v>#N/A</v>
      </c>
      <c r="BU144" s="405" t="e">
        <f t="shared" si="1315"/>
        <v>#N/A</v>
      </c>
      <c r="BV144" s="405" t="e">
        <f t="shared" si="1315"/>
        <v>#N/A</v>
      </c>
      <c r="BW144" s="405" t="e">
        <f t="shared" si="1315"/>
        <v>#N/A</v>
      </c>
      <c r="BX144" s="405" t="e">
        <f t="shared" si="1315"/>
        <v>#N/A</v>
      </c>
      <c r="BY144" s="405" t="e">
        <f t="shared" si="1315"/>
        <v>#N/A</v>
      </c>
      <c r="BZ144" s="405" t="e">
        <f t="shared" si="1315"/>
        <v>#N/A</v>
      </c>
      <c r="CA144" s="405" t="e">
        <f t="shared" si="1315"/>
        <v>#N/A</v>
      </c>
      <c r="CB144" s="405" t="e">
        <f t="shared" si="1315"/>
        <v>#N/A</v>
      </c>
      <c r="CC144" s="405" t="e">
        <f t="shared" si="1315"/>
        <v>#N/A</v>
      </c>
      <c r="CD144" s="405" t="e">
        <f t="shared" si="1315"/>
        <v>#N/A</v>
      </c>
      <c r="CE144" s="405" t="e">
        <f t="shared" si="1315"/>
        <v>#N/A</v>
      </c>
      <c r="CF144" s="405" t="e">
        <f t="shared" si="1315"/>
        <v>#N/A</v>
      </c>
      <c r="CG144" s="405" t="e">
        <f t="shared" si="1315"/>
        <v>#N/A</v>
      </c>
      <c r="CH144" s="405" t="e">
        <f t="shared" si="1315"/>
        <v>#N/A</v>
      </c>
      <c r="CI144" s="405" t="e">
        <f t="shared" si="1315"/>
        <v>#N/A</v>
      </c>
      <c r="CJ144" s="405" t="e">
        <f t="shared" si="1315"/>
        <v>#N/A</v>
      </c>
      <c r="CK144" s="405" t="e">
        <f t="shared" si="1315"/>
        <v>#N/A</v>
      </c>
      <c r="CL144" s="405" t="e">
        <f t="shared" si="1315"/>
        <v>#N/A</v>
      </c>
      <c r="CN144" s="406"/>
      <c r="CO144" s="406"/>
      <c r="CP144" s="406"/>
    </row>
    <row r="145" spans="1:94" hidden="1" outlineLevel="1">
      <c r="A145" s="400" t="s">
        <v>500</v>
      </c>
      <c r="B145" s="400" t="s">
        <v>1</v>
      </c>
      <c r="C145" s="400"/>
      <c r="D145" s="400"/>
      <c r="E145" s="463" t="e">
        <f t="shared" ref="E145:AJ145" si="1316">IF(E141=S3_target,E144,NA())</f>
        <v>#N/A</v>
      </c>
      <c r="F145" s="407" t="e">
        <f t="shared" si="1316"/>
        <v>#N/A</v>
      </c>
      <c r="G145" s="407" t="e">
        <f t="shared" si="1316"/>
        <v>#N/A</v>
      </c>
      <c r="H145" s="407" t="e">
        <f t="shared" si="1316"/>
        <v>#N/A</v>
      </c>
      <c r="I145" s="464" t="e">
        <f t="shared" si="1316"/>
        <v>#N/A</v>
      </c>
      <c r="J145" s="407" t="e">
        <f t="shared" si="1316"/>
        <v>#N/A</v>
      </c>
      <c r="K145" s="407" t="e">
        <f t="shared" si="1316"/>
        <v>#N/A</v>
      </c>
      <c r="L145" s="407" t="e">
        <f t="shared" si="1316"/>
        <v>#N/A</v>
      </c>
      <c r="M145" s="407" t="e">
        <f t="shared" si="1316"/>
        <v>#N/A</v>
      </c>
      <c r="N145" s="407" t="e">
        <f t="shared" si="1316"/>
        <v>#N/A</v>
      </c>
      <c r="O145" s="407" t="e">
        <f t="shared" si="1316"/>
        <v>#N/A</v>
      </c>
      <c r="P145" s="407" t="e">
        <f t="shared" si="1316"/>
        <v>#N/A</v>
      </c>
      <c r="Q145" s="407" t="e">
        <f t="shared" si="1316"/>
        <v>#N/A</v>
      </c>
      <c r="R145" s="407" t="e">
        <f t="shared" si="1316"/>
        <v>#N/A</v>
      </c>
      <c r="S145" s="463" t="e">
        <f t="shared" si="1316"/>
        <v>#N/A</v>
      </c>
      <c r="T145" s="463" t="e">
        <f t="shared" si="1316"/>
        <v>#N/A</v>
      </c>
      <c r="U145" s="463" t="e">
        <f t="shared" si="1316"/>
        <v>#N/A</v>
      </c>
      <c r="V145" s="407" t="e">
        <f t="shared" si="1316"/>
        <v>#N/A</v>
      </c>
      <c r="W145" s="407" t="e">
        <f t="shared" si="1316"/>
        <v>#N/A</v>
      </c>
      <c r="X145" s="407" t="e">
        <f t="shared" si="1316"/>
        <v>#N/A</v>
      </c>
      <c r="Y145" s="407" t="e">
        <f t="shared" si="1316"/>
        <v>#N/A</v>
      </c>
      <c r="Z145" s="407" t="e">
        <f t="shared" si="1316"/>
        <v>#N/A</v>
      </c>
      <c r="AA145" s="407" t="e">
        <f t="shared" si="1316"/>
        <v>#N/A</v>
      </c>
      <c r="AB145" s="407" t="e">
        <f t="shared" si="1316"/>
        <v>#N/A</v>
      </c>
      <c r="AC145" s="407" t="e">
        <f t="shared" si="1316"/>
        <v>#N/A</v>
      </c>
      <c r="AD145" s="407" t="e">
        <f t="shared" si="1316"/>
        <v>#N/A</v>
      </c>
      <c r="AE145" s="407" t="e">
        <f t="shared" si="1316"/>
        <v>#N/A</v>
      </c>
      <c r="AF145" s="407" t="e">
        <f t="shared" si="1316"/>
        <v>#N/A</v>
      </c>
      <c r="AG145" s="407" t="e">
        <f t="shared" si="1316"/>
        <v>#N/A</v>
      </c>
      <c r="AH145" s="407" t="e">
        <f t="shared" si="1316"/>
        <v>#N/A</v>
      </c>
      <c r="AI145" s="407" t="e">
        <f t="shared" si="1316"/>
        <v>#N/A</v>
      </c>
      <c r="AJ145" s="407" t="e">
        <f t="shared" si="1316"/>
        <v>#N/A</v>
      </c>
      <c r="AK145" s="407" t="e">
        <f t="shared" ref="AK145:BP145" si="1317">IF(AK141=S3_target,AK144,NA())</f>
        <v>#N/A</v>
      </c>
      <c r="AL145" s="407" t="e">
        <f t="shared" si="1317"/>
        <v>#N/A</v>
      </c>
      <c r="AM145" s="407" t="e">
        <f t="shared" si="1317"/>
        <v>#N/A</v>
      </c>
      <c r="AN145" s="407" t="e">
        <f t="shared" si="1317"/>
        <v>#N/A</v>
      </c>
      <c r="AO145" s="407" t="e">
        <f t="shared" si="1317"/>
        <v>#N/A</v>
      </c>
      <c r="AP145" s="407" t="e">
        <f t="shared" si="1317"/>
        <v>#N/A</v>
      </c>
      <c r="AQ145" s="407" t="e">
        <f t="shared" si="1317"/>
        <v>#N/A</v>
      </c>
      <c r="AR145" s="407" t="e">
        <f t="shared" si="1317"/>
        <v>#N/A</v>
      </c>
      <c r="AS145" s="407" t="e">
        <f t="shared" si="1317"/>
        <v>#N/A</v>
      </c>
      <c r="AT145" s="407" t="e">
        <f t="shared" si="1317"/>
        <v>#N/A</v>
      </c>
      <c r="AU145" s="407" t="e">
        <f t="shared" si="1317"/>
        <v>#N/A</v>
      </c>
      <c r="AV145" s="407" t="e">
        <f t="shared" si="1317"/>
        <v>#N/A</v>
      </c>
      <c r="AW145" s="407" t="e">
        <f t="shared" si="1317"/>
        <v>#N/A</v>
      </c>
      <c r="AX145" s="407" t="e">
        <f t="shared" si="1317"/>
        <v>#N/A</v>
      </c>
      <c r="AY145" s="407" t="e">
        <f t="shared" si="1317"/>
        <v>#N/A</v>
      </c>
      <c r="AZ145" s="407" t="e">
        <f t="shared" si="1317"/>
        <v>#N/A</v>
      </c>
      <c r="BA145" s="407" t="e">
        <f t="shared" si="1317"/>
        <v>#N/A</v>
      </c>
      <c r="BB145" s="407" t="e">
        <f t="shared" si="1317"/>
        <v>#N/A</v>
      </c>
      <c r="BC145" s="407" t="e">
        <f t="shared" si="1317"/>
        <v>#N/A</v>
      </c>
      <c r="BD145" s="407" t="e">
        <f t="shared" si="1317"/>
        <v>#N/A</v>
      </c>
      <c r="BE145" s="407" t="e">
        <f t="shared" si="1317"/>
        <v>#N/A</v>
      </c>
      <c r="BF145" s="407" t="e">
        <f t="shared" si="1317"/>
        <v>#N/A</v>
      </c>
      <c r="BG145" s="407" t="e">
        <f t="shared" si="1317"/>
        <v>#N/A</v>
      </c>
      <c r="BH145" s="407" t="e">
        <f t="shared" si="1317"/>
        <v>#N/A</v>
      </c>
      <c r="BI145" s="407" t="e">
        <f t="shared" si="1317"/>
        <v>#N/A</v>
      </c>
      <c r="BJ145" s="407" t="e">
        <f t="shared" si="1317"/>
        <v>#N/A</v>
      </c>
      <c r="BK145" s="407" t="e">
        <f t="shared" si="1317"/>
        <v>#N/A</v>
      </c>
      <c r="BL145" s="407" t="e">
        <f t="shared" si="1317"/>
        <v>#N/A</v>
      </c>
      <c r="BM145" s="407" t="e">
        <f t="shared" si="1317"/>
        <v>#N/A</v>
      </c>
      <c r="BN145" s="407" t="e">
        <f t="shared" si="1317"/>
        <v>#N/A</v>
      </c>
      <c r="BO145" s="407" t="e">
        <f t="shared" si="1317"/>
        <v>#N/A</v>
      </c>
      <c r="BP145" s="407" t="e">
        <f t="shared" si="1317"/>
        <v>#N/A</v>
      </c>
      <c r="BQ145" s="407" t="e">
        <f t="shared" ref="BQ145:CL145" si="1318">IF(BQ141=S3_target,BQ144,NA())</f>
        <v>#N/A</v>
      </c>
      <c r="BR145" s="407" t="e">
        <f t="shared" si="1318"/>
        <v>#N/A</v>
      </c>
      <c r="BS145" s="407" t="e">
        <f t="shared" si="1318"/>
        <v>#N/A</v>
      </c>
      <c r="BT145" s="407" t="e">
        <f t="shared" si="1318"/>
        <v>#N/A</v>
      </c>
      <c r="BU145" s="407" t="e">
        <f t="shared" si="1318"/>
        <v>#N/A</v>
      </c>
      <c r="BV145" s="407" t="e">
        <f t="shared" si="1318"/>
        <v>#N/A</v>
      </c>
      <c r="BW145" s="407" t="e">
        <f t="shared" si="1318"/>
        <v>#N/A</v>
      </c>
      <c r="BX145" s="407" t="e">
        <f t="shared" si="1318"/>
        <v>#N/A</v>
      </c>
      <c r="BY145" s="407" t="e">
        <f t="shared" si="1318"/>
        <v>#N/A</v>
      </c>
      <c r="BZ145" s="407" t="e">
        <f t="shared" si="1318"/>
        <v>#N/A</v>
      </c>
      <c r="CA145" s="407" t="e">
        <f t="shared" si="1318"/>
        <v>#N/A</v>
      </c>
      <c r="CB145" s="407" t="e">
        <f t="shared" si="1318"/>
        <v>#N/A</v>
      </c>
      <c r="CC145" s="407" t="e">
        <f t="shared" si="1318"/>
        <v>#N/A</v>
      </c>
      <c r="CD145" s="407" t="e">
        <f t="shared" si="1318"/>
        <v>#N/A</v>
      </c>
      <c r="CE145" s="407" t="e">
        <f t="shared" si="1318"/>
        <v>#N/A</v>
      </c>
      <c r="CF145" s="407" t="e">
        <f t="shared" si="1318"/>
        <v>#N/A</v>
      </c>
      <c r="CG145" s="407" t="e">
        <f t="shared" si="1318"/>
        <v>#N/A</v>
      </c>
      <c r="CH145" s="407" t="e">
        <f t="shared" si="1318"/>
        <v>#N/A</v>
      </c>
      <c r="CI145" s="407" t="e">
        <f t="shared" si="1318"/>
        <v>#N/A</v>
      </c>
      <c r="CJ145" s="407" t="e">
        <f t="shared" si="1318"/>
        <v>#N/A</v>
      </c>
      <c r="CK145" s="407" t="e">
        <f t="shared" si="1318"/>
        <v>#N/A</v>
      </c>
      <c r="CL145" s="407" t="e">
        <f t="shared" si="1318"/>
        <v>#N/A</v>
      </c>
      <c r="CN145" s="408"/>
      <c r="CO145" s="408"/>
      <c r="CP145" s="408"/>
    </row>
    <row r="146" spans="1:94" hidden="1" outlineLevel="1">
      <c r="A146" s="400" t="s">
        <v>502</v>
      </c>
      <c r="B146" s="400"/>
      <c r="C146" s="400"/>
      <c r="D146" s="400"/>
      <c r="E146" s="408" t="e">
        <f t="shared" ref="E146:AJ146" si="1319">(S3_FTE_Target/S36_FTE_Base)^(1/(S3_target-S3_base))-1</f>
        <v>#DIV/0!</v>
      </c>
      <c r="F146" s="408" t="e">
        <f t="shared" si="1319"/>
        <v>#DIV/0!</v>
      </c>
      <c r="G146" s="408" t="e">
        <f t="shared" si="1319"/>
        <v>#DIV/0!</v>
      </c>
      <c r="H146" s="408" t="e">
        <f t="shared" si="1319"/>
        <v>#DIV/0!</v>
      </c>
      <c r="I146" s="408" t="e">
        <f t="shared" si="1319"/>
        <v>#DIV/0!</v>
      </c>
      <c r="J146" s="408" t="e">
        <f t="shared" si="1319"/>
        <v>#DIV/0!</v>
      </c>
      <c r="K146" s="408" t="e">
        <f t="shared" si="1319"/>
        <v>#DIV/0!</v>
      </c>
      <c r="L146" s="408" t="e">
        <f t="shared" si="1319"/>
        <v>#DIV/0!</v>
      </c>
      <c r="M146" s="408" t="e">
        <f t="shared" si="1319"/>
        <v>#DIV/0!</v>
      </c>
      <c r="N146" s="408" t="e">
        <f t="shared" si="1319"/>
        <v>#DIV/0!</v>
      </c>
      <c r="O146" s="408" t="e">
        <f t="shared" si="1319"/>
        <v>#DIV/0!</v>
      </c>
      <c r="P146" s="408" t="e">
        <f t="shared" si="1319"/>
        <v>#DIV/0!</v>
      </c>
      <c r="Q146" s="408" t="e">
        <f t="shared" si="1319"/>
        <v>#DIV/0!</v>
      </c>
      <c r="R146" s="408" t="e">
        <f t="shared" si="1319"/>
        <v>#DIV/0!</v>
      </c>
      <c r="S146" s="408" t="e">
        <f t="shared" si="1319"/>
        <v>#DIV/0!</v>
      </c>
      <c r="T146" s="408" t="e">
        <f t="shared" si="1319"/>
        <v>#DIV/0!</v>
      </c>
      <c r="U146" s="408" t="e">
        <f t="shared" si="1319"/>
        <v>#DIV/0!</v>
      </c>
      <c r="V146" s="408" t="e">
        <f t="shared" si="1319"/>
        <v>#DIV/0!</v>
      </c>
      <c r="W146" s="408" t="e">
        <f t="shared" si="1319"/>
        <v>#DIV/0!</v>
      </c>
      <c r="X146" s="408" t="e">
        <f t="shared" si="1319"/>
        <v>#DIV/0!</v>
      </c>
      <c r="Y146" s="408" t="e">
        <f t="shared" si="1319"/>
        <v>#DIV/0!</v>
      </c>
      <c r="Z146" s="408" t="e">
        <f t="shared" si="1319"/>
        <v>#DIV/0!</v>
      </c>
      <c r="AA146" s="408" t="e">
        <f t="shared" si="1319"/>
        <v>#DIV/0!</v>
      </c>
      <c r="AB146" s="408" t="e">
        <f t="shared" si="1319"/>
        <v>#DIV/0!</v>
      </c>
      <c r="AC146" s="408" t="e">
        <f t="shared" si="1319"/>
        <v>#DIV/0!</v>
      </c>
      <c r="AD146" s="408" t="e">
        <f t="shared" si="1319"/>
        <v>#DIV/0!</v>
      </c>
      <c r="AE146" s="408" t="e">
        <f t="shared" si="1319"/>
        <v>#DIV/0!</v>
      </c>
      <c r="AF146" s="408" t="e">
        <f t="shared" si="1319"/>
        <v>#DIV/0!</v>
      </c>
      <c r="AG146" s="408" t="e">
        <f t="shared" si="1319"/>
        <v>#DIV/0!</v>
      </c>
      <c r="AH146" s="408" t="e">
        <f t="shared" si="1319"/>
        <v>#DIV/0!</v>
      </c>
      <c r="AI146" s="408" t="e">
        <f t="shared" si="1319"/>
        <v>#DIV/0!</v>
      </c>
      <c r="AJ146" s="408" t="e">
        <f t="shared" si="1319"/>
        <v>#DIV/0!</v>
      </c>
      <c r="AK146" s="408" t="e">
        <f t="shared" ref="AK146:BP146" si="1320">(S3_FTE_Target/S36_FTE_Base)^(1/(S3_target-S3_base))-1</f>
        <v>#DIV/0!</v>
      </c>
      <c r="AL146" s="408" t="e">
        <f t="shared" si="1320"/>
        <v>#DIV/0!</v>
      </c>
      <c r="AM146" s="408" t="e">
        <f t="shared" si="1320"/>
        <v>#DIV/0!</v>
      </c>
      <c r="AN146" s="408" t="e">
        <f t="shared" si="1320"/>
        <v>#DIV/0!</v>
      </c>
      <c r="AO146" s="408" t="e">
        <f t="shared" si="1320"/>
        <v>#DIV/0!</v>
      </c>
      <c r="AP146" s="408" t="e">
        <f t="shared" si="1320"/>
        <v>#DIV/0!</v>
      </c>
      <c r="AQ146" s="408" t="e">
        <f t="shared" si="1320"/>
        <v>#DIV/0!</v>
      </c>
      <c r="AR146" s="408" t="e">
        <f t="shared" si="1320"/>
        <v>#DIV/0!</v>
      </c>
      <c r="AS146" s="408" t="e">
        <f t="shared" si="1320"/>
        <v>#DIV/0!</v>
      </c>
      <c r="AT146" s="408" t="e">
        <f t="shared" si="1320"/>
        <v>#DIV/0!</v>
      </c>
      <c r="AU146" s="408" t="e">
        <f t="shared" si="1320"/>
        <v>#DIV/0!</v>
      </c>
      <c r="AV146" s="408" t="e">
        <f t="shared" si="1320"/>
        <v>#DIV/0!</v>
      </c>
      <c r="AW146" s="408" t="e">
        <f t="shared" si="1320"/>
        <v>#DIV/0!</v>
      </c>
      <c r="AX146" s="408" t="e">
        <f t="shared" si="1320"/>
        <v>#DIV/0!</v>
      </c>
      <c r="AY146" s="408" t="e">
        <f t="shared" si="1320"/>
        <v>#DIV/0!</v>
      </c>
      <c r="AZ146" s="408" t="e">
        <f t="shared" si="1320"/>
        <v>#DIV/0!</v>
      </c>
      <c r="BA146" s="408" t="e">
        <f t="shared" si="1320"/>
        <v>#DIV/0!</v>
      </c>
      <c r="BB146" s="408" t="e">
        <f t="shared" si="1320"/>
        <v>#DIV/0!</v>
      </c>
      <c r="BC146" s="408" t="e">
        <f t="shared" si="1320"/>
        <v>#DIV/0!</v>
      </c>
      <c r="BD146" s="408" t="e">
        <f t="shared" si="1320"/>
        <v>#DIV/0!</v>
      </c>
      <c r="BE146" s="408" t="e">
        <f t="shared" si="1320"/>
        <v>#DIV/0!</v>
      </c>
      <c r="BF146" s="408" t="e">
        <f t="shared" si="1320"/>
        <v>#DIV/0!</v>
      </c>
      <c r="BG146" s="408" t="e">
        <f t="shared" si="1320"/>
        <v>#DIV/0!</v>
      </c>
      <c r="BH146" s="408" t="e">
        <f t="shared" si="1320"/>
        <v>#DIV/0!</v>
      </c>
      <c r="BI146" s="408" t="e">
        <f t="shared" si="1320"/>
        <v>#DIV/0!</v>
      </c>
      <c r="BJ146" s="408" t="e">
        <f t="shared" si="1320"/>
        <v>#DIV/0!</v>
      </c>
      <c r="BK146" s="408" t="e">
        <f t="shared" si="1320"/>
        <v>#DIV/0!</v>
      </c>
      <c r="BL146" s="408" t="e">
        <f t="shared" si="1320"/>
        <v>#DIV/0!</v>
      </c>
      <c r="BM146" s="408" t="e">
        <f t="shared" si="1320"/>
        <v>#DIV/0!</v>
      </c>
      <c r="BN146" s="408" t="e">
        <f t="shared" si="1320"/>
        <v>#DIV/0!</v>
      </c>
      <c r="BO146" s="408" t="e">
        <f t="shared" si="1320"/>
        <v>#DIV/0!</v>
      </c>
      <c r="BP146" s="408" t="e">
        <f t="shared" si="1320"/>
        <v>#DIV/0!</v>
      </c>
      <c r="BQ146" s="408" t="e">
        <f t="shared" ref="BQ146:CL146" si="1321">(S3_FTE_Target/S36_FTE_Base)^(1/(S3_target-S3_base))-1</f>
        <v>#DIV/0!</v>
      </c>
      <c r="BR146" s="408" t="e">
        <f t="shared" si="1321"/>
        <v>#DIV/0!</v>
      </c>
      <c r="BS146" s="408" t="e">
        <f t="shared" si="1321"/>
        <v>#DIV/0!</v>
      </c>
      <c r="BT146" s="408" t="e">
        <f t="shared" si="1321"/>
        <v>#DIV/0!</v>
      </c>
      <c r="BU146" s="408" t="e">
        <f t="shared" si="1321"/>
        <v>#DIV/0!</v>
      </c>
      <c r="BV146" s="408" t="e">
        <f t="shared" si="1321"/>
        <v>#DIV/0!</v>
      </c>
      <c r="BW146" s="408" t="e">
        <f t="shared" si="1321"/>
        <v>#DIV/0!</v>
      </c>
      <c r="BX146" s="408" t="e">
        <f t="shared" si="1321"/>
        <v>#DIV/0!</v>
      </c>
      <c r="BY146" s="408" t="e">
        <f t="shared" si="1321"/>
        <v>#DIV/0!</v>
      </c>
      <c r="BZ146" s="408" t="e">
        <f t="shared" si="1321"/>
        <v>#DIV/0!</v>
      </c>
      <c r="CA146" s="408" t="e">
        <f t="shared" si="1321"/>
        <v>#DIV/0!</v>
      </c>
      <c r="CB146" s="408" t="e">
        <f t="shared" si="1321"/>
        <v>#DIV/0!</v>
      </c>
      <c r="CC146" s="408" t="e">
        <f t="shared" si="1321"/>
        <v>#DIV/0!</v>
      </c>
      <c r="CD146" s="408" t="e">
        <f t="shared" si="1321"/>
        <v>#DIV/0!</v>
      </c>
      <c r="CE146" s="408" t="e">
        <f t="shared" si="1321"/>
        <v>#DIV/0!</v>
      </c>
      <c r="CF146" s="408" t="e">
        <f t="shared" si="1321"/>
        <v>#DIV/0!</v>
      </c>
      <c r="CG146" s="408" t="e">
        <f t="shared" si="1321"/>
        <v>#DIV/0!</v>
      </c>
      <c r="CH146" s="408" t="e">
        <f t="shared" si="1321"/>
        <v>#DIV/0!</v>
      </c>
      <c r="CI146" s="408" t="e">
        <f t="shared" si="1321"/>
        <v>#DIV/0!</v>
      </c>
      <c r="CJ146" s="408" t="e">
        <f t="shared" si="1321"/>
        <v>#DIV/0!</v>
      </c>
      <c r="CK146" s="408" t="e">
        <f t="shared" si="1321"/>
        <v>#DIV/0!</v>
      </c>
      <c r="CL146" s="408" t="e">
        <f t="shared" si="1321"/>
        <v>#DIV/0!</v>
      </c>
      <c r="CN146" s="408"/>
      <c r="CO146" s="408"/>
      <c r="CP146" s="408"/>
    </row>
    <row r="147" spans="1:94" hidden="1" outlineLevel="1">
      <c r="A147" s="400" t="s">
        <v>501</v>
      </c>
      <c r="B147" s="400"/>
      <c r="C147" s="400"/>
      <c r="D147" s="400"/>
      <c r="E147" s="407" t="e">
        <f t="shared" ref="E147:AJ147" si="1322">IF(E141=S3_base,S36_FTE_Base,IF(E141&gt;S3_base,D147*(1+E146),0))</f>
        <v>#DIV/0!</v>
      </c>
      <c r="F147" s="407" t="e">
        <f t="shared" si="1322"/>
        <v>#DIV/0!</v>
      </c>
      <c r="G147" s="407" t="e">
        <f t="shared" si="1322"/>
        <v>#DIV/0!</v>
      </c>
      <c r="H147" s="407" t="e">
        <f t="shared" si="1322"/>
        <v>#DIV/0!</v>
      </c>
      <c r="I147" s="464" t="e">
        <f t="shared" si="1322"/>
        <v>#DIV/0!</v>
      </c>
      <c r="J147" s="407" t="e">
        <f t="shared" si="1322"/>
        <v>#DIV/0!</v>
      </c>
      <c r="K147" s="407" t="e">
        <f t="shared" si="1322"/>
        <v>#DIV/0!</v>
      </c>
      <c r="L147" s="407" t="e">
        <f t="shared" si="1322"/>
        <v>#DIV/0!</v>
      </c>
      <c r="M147" s="407" t="e">
        <f t="shared" si="1322"/>
        <v>#DIV/0!</v>
      </c>
      <c r="N147" s="407" t="e">
        <f t="shared" si="1322"/>
        <v>#DIV/0!</v>
      </c>
      <c r="O147" s="407" t="e">
        <f t="shared" si="1322"/>
        <v>#DIV/0!</v>
      </c>
      <c r="P147" s="407" t="e">
        <f t="shared" si="1322"/>
        <v>#DIV/0!</v>
      </c>
      <c r="Q147" s="407" t="e">
        <f t="shared" si="1322"/>
        <v>#DIV/0!</v>
      </c>
      <c r="R147" s="407" t="e">
        <f t="shared" si="1322"/>
        <v>#DIV/0!</v>
      </c>
      <c r="S147" s="463" t="e">
        <f t="shared" si="1322"/>
        <v>#DIV/0!</v>
      </c>
      <c r="T147" s="463" t="e">
        <f t="shared" si="1322"/>
        <v>#DIV/0!</v>
      </c>
      <c r="U147" s="463" t="e">
        <f t="shared" si="1322"/>
        <v>#DIV/0!</v>
      </c>
      <c r="V147" s="407" t="e">
        <f t="shared" si="1322"/>
        <v>#DIV/0!</v>
      </c>
      <c r="W147" s="407" t="e">
        <f t="shared" si="1322"/>
        <v>#DIV/0!</v>
      </c>
      <c r="X147" s="407" t="e">
        <f t="shared" si="1322"/>
        <v>#DIV/0!</v>
      </c>
      <c r="Y147" s="407" t="e">
        <f t="shared" si="1322"/>
        <v>#DIV/0!</v>
      </c>
      <c r="Z147" s="407" t="e">
        <f t="shared" si="1322"/>
        <v>#DIV/0!</v>
      </c>
      <c r="AA147" s="407" t="e">
        <f t="shared" si="1322"/>
        <v>#DIV/0!</v>
      </c>
      <c r="AB147" s="407" t="e">
        <f t="shared" si="1322"/>
        <v>#DIV/0!</v>
      </c>
      <c r="AC147" s="407" t="e">
        <f t="shared" si="1322"/>
        <v>#DIV/0!</v>
      </c>
      <c r="AD147" s="407" t="e">
        <f t="shared" si="1322"/>
        <v>#DIV/0!</v>
      </c>
      <c r="AE147" s="407" t="e">
        <f t="shared" si="1322"/>
        <v>#DIV/0!</v>
      </c>
      <c r="AF147" s="407" t="e">
        <f t="shared" si="1322"/>
        <v>#DIV/0!</v>
      </c>
      <c r="AG147" s="407" t="e">
        <f t="shared" si="1322"/>
        <v>#DIV/0!</v>
      </c>
      <c r="AH147" s="407" t="e">
        <f t="shared" si="1322"/>
        <v>#DIV/0!</v>
      </c>
      <c r="AI147" s="407" t="e">
        <f t="shared" si="1322"/>
        <v>#DIV/0!</v>
      </c>
      <c r="AJ147" s="407" t="e">
        <f t="shared" si="1322"/>
        <v>#DIV/0!</v>
      </c>
      <c r="AK147" s="407" t="e">
        <f t="shared" ref="AK147:BP147" si="1323">IF(AK141=S3_base,S36_FTE_Base,IF(AK141&gt;S3_base,AJ147*(1+AK146),0))</f>
        <v>#DIV/0!</v>
      </c>
      <c r="AL147" s="407" t="e">
        <f t="shared" si="1323"/>
        <v>#DIV/0!</v>
      </c>
      <c r="AM147" s="407" t="e">
        <f t="shared" si="1323"/>
        <v>#DIV/0!</v>
      </c>
      <c r="AN147" s="407" t="e">
        <f t="shared" si="1323"/>
        <v>#DIV/0!</v>
      </c>
      <c r="AO147" s="407" t="e">
        <f t="shared" si="1323"/>
        <v>#DIV/0!</v>
      </c>
      <c r="AP147" s="407" t="e">
        <f t="shared" si="1323"/>
        <v>#DIV/0!</v>
      </c>
      <c r="AQ147" s="407" t="e">
        <f t="shared" si="1323"/>
        <v>#DIV/0!</v>
      </c>
      <c r="AR147" s="407" t="e">
        <f t="shared" si="1323"/>
        <v>#DIV/0!</v>
      </c>
      <c r="AS147" s="407" t="e">
        <f t="shared" si="1323"/>
        <v>#DIV/0!</v>
      </c>
      <c r="AT147" s="407" t="e">
        <f t="shared" si="1323"/>
        <v>#DIV/0!</v>
      </c>
      <c r="AU147" s="407" t="e">
        <f t="shared" si="1323"/>
        <v>#DIV/0!</v>
      </c>
      <c r="AV147" s="407" t="e">
        <f t="shared" si="1323"/>
        <v>#DIV/0!</v>
      </c>
      <c r="AW147" s="407" t="e">
        <f t="shared" si="1323"/>
        <v>#DIV/0!</v>
      </c>
      <c r="AX147" s="407" t="e">
        <f t="shared" si="1323"/>
        <v>#DIV/0!</v>
      </c>
      <c r="AY147" s="407" t="e">
        <f t="shared" si="1323"/>
        <v>#DIV/0!</v>
      </c>
      <c r="AZ147" s="407" t="e">
        <f t="shared" si="1323"/>
        <v>#DIV/0!</v>
      </c>
      <c r="BA147" s="407" t="e">
        <f t="shared" si="1323"/>
        <v>#DIV/0!</v>
      </c>
      <c r="BB147" s="407" t="e">
        <f t="shared" si="1323"/>
        <v>#DIV/0!</v>
      </c>
      <c r="BC147" s="407" t="e">
        <f t="shared" si="1323"/>
        <v>#DIV/0!</v>
      </c>
      <c r="BD147" s="407" t="e">
        <f t="shared" si="1323"/>
        <v>#DIV/0!</v>
      </c>
      <c r="BE147" s="407" t="e">
        <f t="shared" si="1323"/>
        <v>#DIV/0!</v>
      </c>
      <c r="BF147" s="407" t="e">
        <f t="shared" si="1323"/>
        <v>#DIV/0!</v>
      </c>
      <c r="BG147" s="407" t="e">
        <f t="shared" si="1323"/>
        <v>#DIV/0!</v>
      </c>
      <c r="BH147" s="407" t="e">
        <f t="shared" si="1323"/>
        <v>#DIV/0!</v>
      </c>
      <c r="BI147" s="407" t="e">
        <f t="shared" si="1323"/>
        <v>#DIV/0!</v>
      </c>
      <c r="BJ147" s="407" t="e">
        <f t="shared" si="1323"/>
        <v>#DIV/0!</v>
      </c>
      <c r="BK147" s="407" t="e">
        <f t="shared" si="1323"/>
        <v>#DIV/0!</v>
      </c>
      <c r="BL147" s="407" t="e">
        <f t="shared" si="1323"/>
        <v>#DIV/0!</v>
      </c>
      <c r="BM147" s="407" t="e">
        <f t="shared" si="1323"/>
        <v>#DIV/0!</v>
      </c>
      <c r="BN147" s="407" t="e">
        <f t="shared" si="1323"/>
        <v>#DIV/0!</v>
      </c>
      <c r="BO147" s="407" t="e">
        <f t="shared" si="1323"/>
        <v>#DIV/0!</v>
      </c>
      <c r="BP147" s="407" t="e">
        <f t="shared" si="1323"/>
        <v>#DIV/0!</v>
      </c>
      <c r="BQ147" s="407" t="e">
        <f t="shared" ref="BQ147:CL147" si="1324">IF(BQ141=S3_base,S36_FTE_Base,IF(BQ141&gt;S3_base,BP147*(1+BQ146),0))</f>
        <v>#DIV/0!</v>
      </c>
      <c r="BR147" s="407" t="e">
        <f t="shared" si="1324"/>
        <v>#DIV/0!</v>
      </c>
      <c r="BS147" s="407" t="e">
        <f t="shared" si="1324"/>
        <v>#DIV/0!</v>
      </c>
      <c r="BT147" s="407" t="e">
        <f t="shared" si="1324"/>
        <v>#DIV/0!</v>
      </c>
      <c r="BU147" s="407" t="e">
        <f t="shared" si="1324"/>
        <v>#DIV/0!</v>
      </c>
      <c r="BV147" s="407" t="e">
        <f t="shared" si="1324"/>
        <v>#DIV/0!</v>
      </c>
      <c r="BW147" s="407" t="e">
        <f t="shared" si="1324"/>
        <v>#DIV/0!</v>
      </c>
      <c r="BX147" s="407" t="e">
        <f t="shared" si="1324"/>
        <v>#DIV/0!</v>
      </c>
      <c r="BY147" s="407" t="e">
        <f t="shared" si="1324"/>
        <v>#DIV/0!</v>
      </c>
      <c r="BZ147" s="407" t="e">
        <f t="shared" si="1324"/>
        <v>#DIV/0!</v>
      </c>
      <c r="CA147" s="407" t="e">
        <f t="shared" si="1324"/>
        <v>#DIV/0!</v>
      </c>
      <c r="CB147" s="407" t="e">
        <f t="shared" si="1324"/>
        <v>#DIV/0!</v>
      </c>
      <c r="CC147" s="407" t="e">
        <f t="shared" si="1324"/>
        <v>#DIV/0!</v>
      </c>
      <c r="CD147" s="407" t="e">
        <f t="shared" si="1324"/>
        <v>#DIV/0!</v>
      </c>
      <c r="CE147" s="407" t="e">
        <f t="shared" si="1324"/>
        <v>#DIV/0!</v>
      </c>
      <c r="CF147" s="407" t="e">
        <f t="shared" si="1324"/>
        <v>#DIV/0!</v>
      </c>
      <c r="CG147" s="407" t="e">
        <f t="shared" si="1324"/>
        <v>#DIV/0!</v>
      </c>
      <c r="CH147" s="407" t="e">
        <f t="shared" si="1324"/>
        <v>#DIV/0!</v>
      </c>
      <c r="CI147" s="407" t="e">
        <f t="shared" si="1324"/>
        <v>#DIV/0!</v>
      </c>
      <c r="CJ147" s="407" t="e">
        <f t="shared" si="1324"/>
        <v>#DIV/0!</v>
      </c>
      <c r="CK147" s="407" t="e">
        <f t="shared" si="1324"/>
        <v>#DIV/0!</v>
      </c>
      <c r="CL147" s="407" t="e">
        <f t="shared" si="1324"/>
        <v>#DIV/0!</v>
      </c>
      <c r="CN147" s="408"/>
      <c r="CO147" s="408"/>
      <c r="CP147" s="408"/>
    </row>
    <row r="148" spans="1:94" hidden="1" outlineLevel="1">
      <c r="A148" s="400" t="s">
        <v>503</v>
      </c>
      <c r="B148" s="400"/>
      <c r="C148" s="400"/>
      <c r="D148" s="400"/>
      <c r="E148" s="463" t="e">
        <f t="shared" ref="E148:AJ148" si="1325">IF(E141&gt;=S3_base,E144/E147,NA())</f>
        <v>#N/A</v>
      </c>
      <c r="F148" s="463" t="e">
        <f t="shared" si="1325"/>
        <v>#N/A</v>
      </c>
      <c r="G148" s="463" t="e">
        <f t="shared" si="1325"/>
        <v>#N/A</v>
      </c>
      <c r="H148" s="463" t="e">
        <f t="shared" si="1325"/>
        <v>#N/A</v>
      </c>
      <c r="I148" s="465" t="e">
        <f t="shared" si="1325"/>
        <v>#N/A</v>
      </c>
      <c r="J148" s="463" t="e">
        <f t="shared" si="1325"/>
        <v>#N/A</v>
      </c>
      <c r="K148" s="463" t="e">
        <f t="shared" si="1325"/>
        <v>#N/A</v>
      </c>
      <c r="L148" s="463" t="e">
        <f t="shared" si="1325"/>
        <v>#N/A</v>
      </c>
      <c r="M148" s="463" t="e">
        <f t="shared" si="1325"/>
        <v>#N/A</v>
      </c>
      <c r="N148" s="463" t="e">
        <f t="shared" si="1325"/>
        <v>#N/A</v>
      </c>
      <c r="O148" s="463" t="e">
        <f t="shared" si="1325"/>
        <v>#N/A</v>
      </c>
      <c r="P148" s="463" t="e">
        <f t="shared" si="1325"/>
        <v>#N/A</v>
      </c>
      <c r="Q148" s="463" t="e">
        <f t="shared" si="1325"/>
        <v>#N/A</v>
      </c>
      <c r="R148" s="463" t="e">
        <f t="shared" si="1325"/>
        <v>#N/A</v>
      </c>
      <c r="S148" s="463" t="e">
        <f t="shared" si="1325"/>
        <v>#N/A</v>
      </c>
      <c r="T148" s="463" t="e">
        <f t="shared" si="1325"/>
        <v>#N/A</v>
      </c>
      <c r="U148" s="463" t="e">
        <f t="shared" si="1325"/>
        <v>#N/A</v>
      </c>
      <c r="V148" s="463" t="e">
        <f t="shared" si="1325"/>
        <v>#N/A</v>
      </c>
      <c r="W148" s="463" t="e">
        <f t="shared" si="1325"/>
        <v>#N/A</v>
      </c>
      <c r="X148" s="463" t="e">
        <f t="shared" si="1325"/>
        <v>#N/A</v>
      </c>
      <c r="Y148" s="463" t="e">
        <f t="shared" si="1325"/>
        <v>#N/A</v>
      </c>
      <c r="Z148" s="463" t="e">
        <f t="shared" si="1325"/>
        <v>#N/A</v>
      </c>
      <c r="AA148" s="463" t="e">
        <f t="shared" si="1325"/>
        <v>#N/A</v>
      </c>
      <c r="AB148" s="463" t="e">
        <f t="shared" si="1325"/>
        <v>#N/A</v>
      </c>
      <c r="AC148" s="463" t="e">
        <f t="shared" si="1325"/>
        <v>#N/A</v>
      </c>
      <c r="AD148" s="463" t="e">
        <f t="shared" si="1325"/>
        <v>#N/A</v>
      </c>
      <c r="AE148" s="463" t="e">
        <f t="shared" si="1325"/>
        <v>#N/A</v>
      </c>
      <c r="AF148" s="463" t="e">
        <f t="shared" si="1325"/>
        <v>#N/A</v>
      </c>
      <c r="AG148" s="463" t="e">
        <f t="shared" si="1325"/>
        <v>#N/A</v>
      </c>
      <c r="AH148" s="463" t="e">
        <f t="shared" si="1325"/>
        <v>#N/A</v>
      </c>
      <c r="AI148" s="463" t="e">
        <f t="shared" si="1325"/>
        <v>#N/A</v>
      </c>
      <c r="AJ148" s="463" t="e">
        <f t="shared" si="1325"/>
        <v>#N/A</v>
      </c>
      <c r="AK148" s="463" t="e">
        <f t="shared" ref="AK148:BP148" si="1326">IF(AK141&gt;=S3_base,AK144/AK147,NA())</f>
        <v>#N/A</v>
      </c>
      <c r="AL148" s="463" t="e">
        <f t="shared" si="1326"/>
        <v>#N/A</v>
      </c>
      <c r="AM148" s="463" t="e">
        <f t="shared" si="1326"/>
        <v>#N/A</v>
      </c>
      <c r="AN148" s="463" t="e">
        <f t="shared" si="1326"/>
        <v>#N/A</v>
      </c>
      <c r="AO148" s="463" t="e">
        <f t="shared" si="1326"/>
        <v>#N/A</v>
      </c>
      <c r="AP148" s="463" t="e">
        <f t="shared" si="1326"/>
        <v>#N/A</v>
      </c>
      <c r="AQ148" s="463" t="e">
        <f t="shared" si="1326"/>
        <v>#N/A</v>
      </c>
      <c r="AR148" s="463" t="e">
        <f t="shared" si="1326"/>
        <v>#N/A</v>
      </c>
      <c r="AS148" s="463" t="e">
        <f t="shared" si="1326"/>
        <v>#N/A</v>
      </c>
      <c r="AT148" s="463" t="e">
        <f t="shared" si="1326"/>
        <v>#N/A</v>
      </c>
      <c r="AU148" s="463" t="e">
        <f t="shared" si="1326"/>
        <v>#N/A</v>
      </c>
      <c r="AV148" s="463" t="e">
        <f t="shared" si="1326"/>
        <v>#N/A</v>
      </c>
      <c r="AW148" s="463" t="e">
        <f t="shared" si="1326"/>
        <v>#N/A</v>
      </c>
      <c r="AX148" s="463" t="e">
        <f t="shared" si="1326"/>
        <v>#N/A</v>
      </c>
      <c r="AY148" s="463" t="e">
        <f t="shared" si="1326"/>
        <v>#N/A</v>
      </c>
      <c r="AZ148" s="463" t="e">
        <f t="shared" si="1326"/>
        <v>#N/A</v>
      </c>
      <c r="BA148" s="463" t="e">
        <f t="shared" si="1326"/>
        <v>#N/A</v>
      </c>
      <c r="BB148" s="463" t="e">
        <f t="shared" si="1326"/>
        <v>#N/A</v>
      </c>
      <c r="BC148" s="463" t="e">
        <f t="shared" si="1326"/>
        <v>#N/A</v>
      </c>
      <c r="BD148" s="463" t="e">
        <f t="shared" si="1326"/>
        <v>#N/A</v>
      </c>
      <c r="BE148" s="463" t="e">
        <f t="shared" si="1326"/>
        <v>#N/A</v>
      </c>
      <c r="BF148" s="463" t="e">
        <f t="shared" si="1326"/>
        <v>#N/A</v>
      </c>
      <c r="BG148" s="463" t="e">
        <f t="shared" si="1326"/>
        <v>#N/A</v>
      </c>
      <c r="BH148" s="463" t="e">
        <f t="shared" si="1326"/>
        <v>#N/A</v>
      </c>
      <c r="BI148" s="463" t="e">
        <f t="shared" si="1326"/>
        <v>#N/A</v>
      </c>
      <c r="BJ148" s="463" t="e">
        <f t="shared" si="1326"/>
        <v>#N/A</v>
      </c>
      <c r="BK148" s="463" t="e">
        <f t="shared" si="1326"/>
        <v>#N/A</v>
      </c>
      <c r="BL148" s="463" t="e">
        <f t="shared" si="1326"/>
        <v>#N/A</v>
      </c>
      <c r="BM148" s="463" t="e">
        <f t="shared" si="1326"/>
        <v>#N/A</v>
      </c>
      <c r="BN148" s="463" t="e">
        <f t="shared" si="1326"/>
        <v>#N/A</v>
      </c>
      <c r="BO148" s="463" t="e">
        <f t="shared" si="1326"/>
        <v>#N/A</v>
      </c>
      <c r="BP148" s="463" t="e">
        <f t="shared" si="1326"/>
        <v>#N/A</v>
      </c>
      <c r="BQ148" s="463" t="e">
        <f t="shared" ref="BQ148:CL148" si="1327">IF(BQ141&gt;=S3_base,BQ144/BQ147,NA())</f>
        <v>#N/A</v>
      </c>
      <c r="BR148" s="463" t="e">
        <f t="shared" si="1327"/>
        <v>#N/A</v>
      </c>
      <c r="BS148" s="463" t="e">
        <f t="shared" si="1327"/>
        <v>#N/A</v>
      </c>
      <c r="BT148" s="463" t="e">
        <f t="shared" si="1327"/>
        <v>#N/A</v>
      </c>
      <c r="BU148" s="463" t="e">
        <f t="shared" si="1327"/>
        <v>#N/A</v>
      </c>
      <c r="BV148" s="463" t="e">
        <f t="shared" si="1327"/>
        <v>#N/A</v>
      </c>
      <c r="BW148" s="463" t="e">
        <f t="shared" si="1327"/>
        <v>#N/A</v>
      </c>
      <c r="BX148" s="463" t="e">
        <f t="shared" si="1327"/>
        <v>#N/A</v>
      </c>
      <c r="BY148" s="463" t="e">
        <f t="shared" si="1327"/>
        <v>#N/A</v>
      </c>
      <c r="BZ148" s="463" t="e">
        <f t="shared" si="1327"/>
        <v>#N/A</v>
      </c>
      <c r="CA148" s="463" t="e">
        <f t="shared" si="1327"/>
        <v>#N/A</v>
      </c>
      <c r="CB148" s="463" t="e">
        <f t="shared" si="1327"/>
        <v>#N/A</v>
      </c>
      <c r="CC148" s="463" t="e">
        <f t="shared" si="1327"/>
        <v>#N/A</v>
      </c>
      <c r="CD148" s="463" t="e">
        <f t="shared" si="1327"/>
        <v>#N/A</v>
      </c>
      <c r="CE148" s="463" t="e">
        <f t="shared" si="1327"/>
        <v>#N/A</v>
      </c>
      <c r="CF148" s="463" t="e">
        <f t="shared" si="1327"/>
        <v>#N/A</v>
      </c>
      <c r="CG148" s="463" t="e">
        <f t="shared" si="1327"/>
        <v>#N/A</v>
      </c>
      <c r="CH148" s="463" t="e">
        <f t="shared" si="1327"/>
        <v>#N/A</v>
      </c>
      <c r="CI148" s="463" t="e">
        <f t="shared" si="1327"/>
        <v>#N/A</v>
      </c>
      <c r="CJ148" s="463" t="e">
        <f t="shared" si="1327"/>
        <v>#N/A</v>
      </c>
      <c r="CK148" s="463" t="e">
        <f t="shared" si="1327"/>
        <v>#N/A</v>
      </c>
      <c r="CL148" s="463" t="e">
        <f t="shared" si="1327"/>
        <v>#N/A</v>
      </c>
      <c r="CN148" s="408"/>
      <c r="CO148" s="408"/>
      <c r="CP148" s="408"/>
    </row>
    <row r="149" spans="1:94" hidden="1" outlineLevel="1">
      <c r="A149" s="400" t="s">
        <v>503</v>
      </c>
      <c r="B149" s="400" t="s">
        <v>1</v>
      </c>
      <c r="C149" s="400"/>
      <c r="D149" s="400"/>
      <c r="E149" s="463" t="e">
        <f t="shared" ref="E149:AJ149" si="1328">IF(E141=S3_target,E148,NA())</f>
        <v>#N/A</v>
      </c>
      <c r="F149" s="463" t="e">
        <f t="shared" si="1328"/>
        <v>#N/A</v>
      </c>
      <c r="G149" s="463" t="e">
        <f t="shared" si="1328"/>
        <v>#N/A</v>
      </c>
      <c r="H149" s="463" t="e">
        <f t="shared" si="1328"/>
        <v>#N/A</v>
      </c>
      <c r="I149" s="465" t="e">
        <f t="shared" si="1328"/>
        <v>#N/A</v>
      </c>
      <c r="J149" s="463" t="e">
        <f t="shared" si="1328"/>
        <v>#N/A</v>
      </c>
      <c r="K149" s="463" t="e">
        <f t="shared" si="1328"/>
        <v>#N/A</v>
      </c>
      <c r="L149" s="463" t="e">
        <f t="shared" si="1328"/>
        <v>#N/A</v>
      </c>
      <c r="M149" s="463" t="e">
        <f t="shared" si="1328"/>
        <v>#N/A</v>
      </c>
      <c r="N149" s="463" t="e">
        <f t="shared" si="1328"/>
        <v>#N/A</v>
      </c>
      <c r="O149" s="463" t="e">
        <f t="shared" si="1328"/>
        <v>#N/A</v>
      </c>
      <c r="P149" s="463" t="e">
        <f t="shared" si="1328"/>
        <v>#N/A</v>
      </c>
      <c r="Q149" s="463" t="e">
        <f t="shared" si="1328"/>
        <v>#N/A</v>
      </c>
      <c r="R149" s="463" t="e">
        <f t="shared" si="1328"/>
        <v>#N/A</v>
      </c>
      <c r="S149" s="463" t="e">
        <f t="shared" si="1328"/>
        <v>#N/A</v>
      </c>
      <c r="T149" s="463" t="e">
        <f t="shared" si="1328"/>
        <v>#N/A</v>
      </c>
      <c r="U149" s="463" t="e">
        <f t="shared" si="1328"/>
        <v>#N/A</v>
      </c>
      <c r="V149" s="463" t="e">
        <f t="shared" si="1328"/>
        <v>#N/A</v>
      </c>
      <c r="W149" s="463" t="e">
        <f t="shared" si="1328"/>
        <v>#N/A</v>
      </c>
      <c r="X149" s="463" t="e">
        <f t="shared" si="1328"/>
        <v>#N/A</v>
      </c>
      <c r="Y149" s="463" t="e">
        <f t="shared" si="1328"/>
        <v>#N/A</v>
      </c>
      <c r="Z149" s="463" t="e">
        <f t="shared" si="1328"/>
        <v>#N/A</v>
      </c>
      <c r="AA149" s="463" t="e">
        <f t="shared" si="1328"/>
        <v>#N/A</v>
      </c>
      <c r="AB149" s="463" t="e">
        <f t="shared" si="1328"/>
        <v>#N/A</v>
      </c>
      <c r="AC149" s="463" t="e">
        <f t="shared" si="1328"/>
        <v>#N/A</v>
      </c>
      <c r="AD149" s="463" t="e">
        <f t="shared" si="1328"/>
        <v>#N/A</v>
      </c>
      <c r="AE149" s="463" t="e">
        <f t="shared" si="1328"/>
        <v>#N/A</v>
      </c>
      <c r="AF149" s="463" t="e">
        <f t="shared" si="1328"/>
        <v>#N/A</v>
      </c>
      <c r="AG149" s="463" t="e">
        <f t="shared" si="1328"/>
        <v>#N/A</v>
      </c>
      <c r="AH149" s="463" t="e">
        <f t="shared" si="1328"/>
        <v>#N/A</v>
      </c>
      <c r="AI149" s="463" t="e">
        <f t="shared" si="1328"/>
        <v>#N/A</v>
      </c>
      <c r="AJ149" s="463" t="e">
        <f t="shared" si="1328"/>
        <v>#N/A</v>
      </c>
      <c r="AK149" s="463" t="e">
        <f t="shared" ref="AK149:BP149" si="1329">IF(AK141=S3_target,AK148,NA())</f>
        <v>#N/A</v>
      </c>
      <c r="AL149" s="463" t="e">
        <f t="shared" si="1329"/>
        <v>#N/A</v>
      </c>
      <c r="AM149" s="463" t="e">
        <f t="shared" si="1329"/>
        <v>#N/A</v>
      </c>
      <c r="AN149" s="463" t="e">
        <f t="shared" si="1329"/>
        <v>#N/A</v>
      </c>
      <c r="AO149" s="463" t="e">
        <f t="shared" si="1329"/>
        <v>#N/A</v>
      </c>
      <c r="AP149" s="463" t="e">
        <f t="shared" si="1329"/>
        <v>#N/A</v>
      </c>
      <c r="AQ149" s="463" t="e">
        <f t="shared" si="1329"/>
        <v>#N/A</v>
      </c>
      <c r="AR149" s="463" t="e">
        <f t="shared" si="1329"/>
        <v>#N/A</v>
      </c>
      <c r="AS149" s="463" t="e">
        <f t="shared" si="1329"/>
        <v>#N/A</v>
      </c>
      <c r="AT149" s="463" t="e">
        <f t="shared" si="1329"/>
        <v>#N/A</v>
      </c>
      <c r="AU149" s="463" t="e">
        <f t="shared" si="1329"/>
        <v>#N/A</v>
      </c>
      <c r="AV149" s="463" t="e">
        <f t="shared" si="1329"/>
        <v>#N/A</v>
      </c>
      <c r="AW149" s="463" t="e">
        <f t="shared" si="1329"/>
        <v>#N/A</v>
      </c>
      <c r="AX149" s="463" t="e">
        <f t="shared" si="1329"/>
        <v>#N/A</v>
      </c>
      <c r="AY149" s="463" t="e">
        <f t="shared" si="1329"/>
        <v>#N/A</v>
      </c>
      <c r="AZ149" s="463" t="e">
        <f t="shared" si="1329"/>
        <v>#N/A</v>
      </c>
      <c r="BA149" s="463" t="e">
        <f t="shared" si="1329"/>
        <v>#N/A</v>
      </c>
      <c r="BB149" s="463" t="e">
        <f t="shared" si="1329"/>
        <v>#N/A</v>
      </c>
      <c r="BC149" s="463" t="e">
        <f t="shared" si="1329"/>
        <v>#N/A</v>
      </c>
      <c r="BD149" s="463" t="e">
        <f t="shared" si="1329"/>
        <v>#N/A</v>
      </c>
      <c r="BE149" s="463" t="e">
        <f t="shared" si="1329"/>
        <v>#N/A</v>
      </c>
      <c r="BF149" s="463" t="e">
        <f t="shared" si="1329"/>
        <v>#N/A</v>
      </c>
      <c r="BG149" s="463" t="e">
        <f t="shared" si="1329"/>
        <v>#N/A</v>
      </c>
      <c r="BH149" s="463" t="e">
        <f t="shared" si="1329"/>
        <v>#N/A</v>
      </c>
      <c r="BI149" s="463" t="e">
        <f t="shared" si="1329"/>
        <v>#N/A</v>
      </c>
      <c r="BJ149" s="463" t="e">
        <f t="shared" si="1329"/>
        <v>#N/A</v>
      </c>
      <c r="BK149" s="463" t="e">
        <f t="shared" si="1329"/>
        <v>#N/A</v>
      </c>
      <c r="BL149" s="463" t="e">
        <f t="shared" si="1329"/>
        <v>#N/A</v>
      </c>
      <c r="BM149" s="463" t="e">
        <f t="shared" si="1329"/>
        <v>#N/A</v>
      </c>
      <c r="BN149" s="463" t="e">
        <f t="shared" si="1329"/>
        <v>#N/A</v>
      </c>
      <c r="BO149" s="463" t="e">
        <f t="shared" si="1329"/>
        <v>#N/A</v>
      </c>
      <c r="BP149" s="463" t="e">
        <f t="shared" si="1329"/>
        <v>#N/A</v>
      </c>
      <c r="BQ149" s="463" t="e">
        <f t="shared" ref="BQ149:CL149" si="1330">IF(BQ141=S3_target,BQ148,NA())</f>
        <v>#N/A</v>
      </c>
      <c r="BR149" s="463" t="e">
        <f t="shared" si="1330"/>
        <v>#N/A</v>
      </c>
      <c r="BS149" s="463" t="e">
        <f t="shared" si="1330"/>
        <v>#N/A</v>
      </c>
      <c r="BT149" s="463" t="e">
        <f t="shared" si="1330"/>
        <v>#N/A</v>
      </c>
      <c r="BU149" s="463" t="e">
        <f t="shared" si="1330"/>
        <v>#N/A</v>
      </c>
      <c r="BV149" s="463" t="e">
        <f t="shared" si="1330"/>
        <v>#N/A</v>
      </c>
      <c r="BW149" s="463" t="e">
        <f t="shared" si="1330"/>
        <v>#N/A</v>
      </c>
      <c r="BX149" s="463" t="e">
        <f t="shared" si="1330"/>
        <v>#N/A</v>
      </c>
      <c r="BY149" s="463" t="e">
        <f t="shared" si="1330"/>
        <v>#N/A</v>
      </c>
      <c r="BZ149" s="463" t="e">
        <f t="shared" si="1330"/>
        <v>#N/A</v>
      </c>
      <c r="CA149" s="463" t="e">
        <f t="shared" si="1330"/>
        <v>#N/A</v>
      </c>
      <c r="CB149" s="463" t="e">
        <f t="shared" si="1330"/>
        <v>#N/A</v>
      </c>
      <c r="CC149" s="463" t="e">
        <f t="shared" si="1330"/>
        <v>#N/A</v>
      </c>
      <c r="CD149" s="463" t="e">
        <f t="shared" si="1330"/>
        <v>#N/A</v>
      </c>
      <c r="CE149" s="463" t="e">
        <f t="shared" si="1330"/>
        <v>#N/A</v>
      </c>
      <c r="CF149" s="463" t="e">
        <f t="shared" si="1330"/>
        <v>#N/A</v>
      </c>
      <c r="CG149" s="463" t="e">
        <f t="shared" si="1330"/>
        <v>#N/A</v>
      </c>
      <c r="CH149" s="463" t="e">
        <f t="shared" si="1330"/>
        <v>#N/A</v>
      </c>
      <c r="CI149" s="463" t="e">
        <f t="shared" si="1330"/>
        <v>#N/A</v>
      </c>
      <c r="CJ149" s="463" t="e">
        <f t="shared" si="1330"/>
        <v>#N/A</v>
      </c>
      <c r="CK149" s="463" t="e">
        <f t="shared" si="1330"/>
        <v>#N/A</v>
      </c>
      <c r="CL149" s="463" t="e">
        <f t="shared" si="1330"/>
        <v>#N/A</v>
      </c>
      <c r="CN149" s="408"/>
      <c r="CO149" s="408"/>
      <c r="CP149" s="408"/>
    </row>
    <row r="150" spans="1:94" ht="17.25" collapsed="1" thickTop="1" thickBot="1">
      <c r="A150" s="466" t="s">
        <v>494</v>
      </c>
      <c r="B150" s="466"/>
      <c r="C150" s="466"/>
      <c r="D150" s="466"/>
      <c r="E150" s="467">
        <v>2015</v>
      </c>
      <c r="F150" s="468">
        <f>E150+1</f>
        <v>2016</v>
      </c>
      <c r="G150" s="468">
        <f t="shared" ref="G150" si="1331">F150+1</f>
        <v>2017</v>
      </c>
      <c r="H150" s="468">
        <f t="shared" ref="H150" si="1332">G150+1</f>
        <v>2018</v>
      </c>
      <c r="I150" s="468">
        <f t="shared" ref="I150" si="1333">H150+1</f>
        <v>2019</v>
      </c>
      <c r="J150" s="468">
        <f>E150+5</f>
        <v>2020</v>
      </c>
      <c r="K150" s="468">
        <f>J150+1</f>
        <v>2021</v>
      </c>
      <c r="L150" s="468">
        <f t="shared" ref="L150" si="1334">K150+1</f>
        <v>2022</v>
      </c>
      <c r="M150" s="468">
        <f t="shared" ref="M150" si="1335">L150+1</f>
        <v>2023</v>
      </c>
      <c r="N150" s="468">
        <f t="shared" ref="N150" si="1336">M150+1</f>
        <v>2024</v>
      </c>
      <c r="O150" s="468">
        <f>J150+5</f>
        <v>2025</v>
      </c>
      <c r="P150" s="468">
        <f>O150+1</f>
        <v>2026</v>
      </c>
      <c r="Q150" s="468">
        <f t="shared" ref="Q150" si="1337">P150+1</f>
        <v>2027</v>
      </c>
      <c r="R150" s="468">
        <f t="shared" ref="R150" si="1338">Q150+1</f>
        <v>2028</v>
      </c>
      <c r="S150" s="468">
        <f t="shared" ref="S150" si="1339">R150+1</f>
        <v>2029</v>
      </c>
      <c r="T150" s="468">
        <f>O150+5</f>
        <v>2030</v>
      </c>
      <c r="U150" s="468">
        <f>T150+1</f>
        <v>2031</v>
      </c>
      <c r="V150" s="468">
        <f t="shared" ref="V150" si="1340">U150+1</f>
        <v>2032</v>
      </c>
      <c r="W150" s="468">
        <f t="shared" ref="W150" si="1341">V150+1</f>
        <v>2033</v>
      </c>
      <c r="X150" s="468">
        <f t="shared" ref="X150" si="1342">W150+1</f>
        <v>2034</v>
      </c>
      <c r="Y150" s="468">
        <f>T150+5</f>
        <v>2035</v>
      </c>
      <c r="Z150" s="468">
        <f>Y150+1</f>
        <v>2036</v>
      </c>
      <c r="AA150" s="468">
        <f t="shared" ref="AA150" si="1343">Z150+1</f>
        <v>2037</v>
      </c>
      <c r="AB150" s="468">
        <f t="shared" ref="AB150" si="1344">AA150+1</f>
        <v>2038</v>
      </c>
      <c r="AC150" s="468">
        <f t="shared" ref="AC150" si="1345">AB150+1</f>
        <v>2039</v>
      </c>
      <c r="AD150" s="468">
        <f>Y150+5</f>
        <v>2040</v>
      </c>
      <c r="AE150" s="468">
        <f>AD150+1</f>
        <v>2041</v>
      </c>
      <c r="AF150" s="468">
        <f t="shared" ref="AF150" si="1346">AE150+1</f>
        <v>2042</v>
      </c>
      <c r="AG150" s="468">
        <f t="shared" ref="AG150" si="1347">AF150+1</f>
        <v>2043</v>
      </c>
      <c r="AH150" s="468">
        <f t="shared" ref="AH150" si="1348">AG150+1</f>
        <v>2044</v>
      </c>
      <c r="AI150" s="468">
        <f>AD150+5</f>
        <v>2045</v>
      </c>
      <c r="AJ150" s="468">
        <f>AI150+1</f>
        <v>2046</v>
      </c>
      <c r="AK150" s="468">
        <f t="shared" ref="AK150" si="1349">AJ150+1</f>
        <v>2047</v>
      </c>
      <c r="AL150" s="468">
        <f t="shared" ref="AL150" si="1350">AK150+1</f>
        <v>2048</v>
      </c>
      <c r="AM150" s="468">
        <f t="shared" ref="AM150" si="1351">AL150+1</f>
        <v>2049</v>
      </c>
      <c r="AN150" s="468">
        <f>AI150+5</f>
        <v>2050</v>
      </c>
      <c r="AO150" s="468">
        <f>AN150+1</f>
        <v>2051</v>
      </c>
      <c r="AP150" s="468">
        <f t="shared" ref="AP150" si="1352">AO150+1</f>
        <v>2052</v>
      </c>
      <c r="AQ150" s="468">
        <f t="shared" ref="AQ150" si="1353">AP150+1</f>
        <v>2053</v>
      </c>
      <c r="AR150" s="468">
        <f t="shared" ref="AR150" si="1354">AQ150+1</f>
        <v>2054</v>
      </c>
      <c r="AS150" s="468">
        <f>AN150+5</f>
        <v>2055</v>
      </c>
      <c r="AT150" s="468">
        <f>AS150+1</f>
        <v>2056</v>
      </c>
      <c r="AU150" s="468">
        <f t="shared" ref="AU150" si="1355">AT150+1</f>
        <v>2057</v>
      </c>
      <c r="AV150" s="468">
        <f t="shared" ref="AV150" si="1356">AU150+1</f>
        <v>2058</v>
      </c>
      <c r="AW150" s="468">
        <f t="shared" ref="AW150" si="1357">AV150+1</f>
        <v>2059</v>
      </c>
      <c r="AX150" s="468">
        <f>AS150+5</f>
        <v>2060</v>
      </c>
      <c r="AY150" s="468">
        <f>AX150+1</f>
        <v>2061</v>
      </c>
      <c r="AZ150" s="468">
        <f t="shared" ref="AZ150" si="1358">AY150+1</f>
        <v>2062</v>
      </c>
      <c r="BA150" s="468">
        <f t="shared" ref="BA150" si="1359">AZ150+1</f>
        <v>2063</v>
      </c>
      <c r="BB150" s="468">
        <f t="shared" ref="BB150" si="1360">BA150+1</f>
        <v>2064</v>
      </c>
      <c r="BC150" s="468">
        <f>AX150+5</f>
        <v>2065</v>
      </c>
      <c r="BD150" s="468">
        <f>BC150+1</f>
        <v>2066</v>
      </c>
      <c r="BE150" s="468">
        <f t="shared" ref="BE150" si="1361">BD150+1</f>
        <v>2067</v>
      </c>
      <c r="BF150" s="468">
        <f t="shared" ref="BF150" si="1362">BE150+1</f>
        <v>2068</v>
      </c>
      <c r="BG150" s="468">
        <f t="shared" ref="BG150" si="1363">BF150+1</f>
        <v>2069</v>
      </c>
      <c r="BH150" s="468">
        <f>BC150+5</f>
        <v>2070</v>
      </c>
      <c r="BI150" s="468">
        <f>BH150+1</f>
        <v>2071</v>
      </c>
      <c r="BJ150" s="468">
        <f t="shared" ref="BJ150" si="1364">BI150+1</f>
        <v>2072</v>
      </c>
      <c r="BK150" s="468">
        <f t="shared" ref="BK150" si="1365">BJ150+1</f>
        <v>2073</v>
      </c>
      <c r="BL150" s="468">
        <f t="shared" ref="BL150" si="1366">BK150+1</f>
        <v>2074</v>
      </c>
      <c r="BM150" s="468">
        <f>BH150+5</f>
        <v>2075</v>
      </c>
      <c r="BN150" s="468">
        <f>BM150+1</f>
        <v>2076</v>
      </c>
      <c r="BO150" s="468">
        <f t="shared" ref="BO150" si="1367">BN150+1</f>
        <v>2077</v>
      </c>
      <c r="BP150" s="468">
        <f t="shared" ref="BP150" si="1368">BO150+1</f>
        <v>2078</v>
      </c>
      <c r="BQ150" s="468">
        <f t="shared" ref="BQ150" si="1369">BP150+1</f>
        <v>2079</v>
      </c>
      <c r="BR150" s="468">
        <f>BM150+5</f>
        <v>2080</v>
      </c>
      <c r="BS150" s="468">
        <f>BR150+1</f>
        <v>2081</v>
      </c>
      <c r="BT150" s="468">
        <f t="shared" ref="BT150" si="1370">BS150+1</f>
        <v>2082</v>
      </c>
      <c r="BU150" s="468">
        <f t="shared" ref="BU150" si="1371">BT150+1</f>
        <v>2083</v>
      </c>
      <c r="BV150" s="468">
        <f t="shared" ref="BV150" si="1372">BU150+1</f>
        <v>2084</v>
      </c>
      <c r="BW150" s="468">
        <f>BR150+5</f>
        <v>2085</v>
      </c>
      <c r="BX150" s="468">
        <f>BW150+1</f>
        <v>2086</v>
      </c>
      <c r="BY150" s="468">
        <f t="shared" ref="BY150" si="1373">BX150+1</f>
        <v>2087</v>
      </c>
      <c r="BZ150" s="468">
        <f t="shared" ref="BZ150" si="1374">BY150+1</f>
        <v>2088</v>
      </c>
      <c r="CA150" s="468">
        <f t="shared" ref="CA150" si="1375">BZ150+1</f>
        <v>2089</v>
      </c>
      <c r="CB150" s="468">
        <f>BW150+5</f>
        <v>2090</v>
      </c>
      <c r="CC150" s="468">
        <f>CB150+1</f>
        <v>2091</v>
      </c>
      <c r="CD150" s="468">
        <f t="shared" ref="CD150" si="1376">CC150+1</f>
        <v>2092</v>
      </c>
      <c r="CE150" s="468">
        <f t="shared" ref="CE150" si="1377">CD150+1</f>
        <v>2093</v>
      </c>
      <c r="CF150" s="468">
        <f t="shared" ref="CF150" si="1378">CE150+1</f>
        <v>2094</v>
      </c>
      <c r="CG150" s="468">
        <f>CB150+5</f>
        <v>2095</v>
      </c>
      <c r="CH150" s="468">
        <f>CG150+1</f>
        <v>2096</v>
      </c>
      <c r="CI150" s="468">
        <f t="shared" ref="CI150" si="1379">CH150+1</f>
        <v>2097</v>
      </c>
      <c r="CJ150" s="468">
        <f t="shared" ref="CJ150" si="1380">CI150+1</f>
        <v>2098</v>
      </c>
      <c r="CK150" s="468">
        <f t="shared" ref="CK150" si="1381">CJ150+1</f>
        <v>2099</v>
      </c>
      <c r="CL150" s="468">
        <f>CG150+5</f>
        <v>2100</v>
      </c>
      <c r="CN150" s="469" t="s">
        <v>409</v>
      </c>
      <c r="CO150" s="469" t="s">
        <v>411</v>
      </c>
      <c r="CP150" s="469" t="s">
        <v>410</v>
      </c>
    </row>
    <row r="151" spans="1:94" ht="16.5" thickTop="1">
      <c r="A151" s="388" t="s">
        <v>152</v>
      </c>
      <c r="B151" s="388" t="str">
        <f>$A$26</f>
        <v>Ded-long</v>
      </c>
      <c r="C151" s="389" t="s">
        <v>310</v>
      </c>
      <c r="D151" s="389"/>
      <c r="E151" s="390">
        <f ca="1">IF($B$6="ON", IF(E150&gt;=covid_start, IF(E150&lt;covid_recovery,NA(),SUMIFS(INDIRECT("Data_main"&amp;"["&amp;E$8&amp;"]"),Data_main[Data],$A151, Data_main[Segment],$B151, Data_main[Scenario],$B$3)),SUMIFS(INDIRECT("Data_main"&amp;"["&amp;E$8&amp;"]"),Data_main[Data],$A151, Data_main[Segment],$B151, Data_main[Scenario],$B$3)),SUMIFS(INDIRECT("Data_main"&amp;"["&amp;E$8&amp;"]"),Data_main[Data],$A151, Data_main[Segment],$B151, Data_main[Scenario],$B$3))</f>
        <v>65.550775358376001</v>
      </c>
      <c r="F151" s="390">
        <f ca="1">IF($B$6="ON", IF(F150&gt;=covid_start, IF(F150&lt;covid_recovery,NA(),SUMIFS(INDIRECT("Data_main"&amp;"["&amp;F$8&amp;"]"),Data_main[Data],$A151, Data_main[Segment],$B151, Data_main[Scenario],$B$3)),SUMIFS(INDIRECT("Data_main"&amp;"["&amp;F$8&amp;"]"),Data_main[Data],$A151, Data_main[Segment],$B151, Data_main[Scenario],$B$3)),SUMIFS(INDIRECT("Data_main"&amp;"["&amp;F$8&amp;"]"),Data_main[Data],$A151, Data_main[Segment],$B151, Data_main[Scenario],$B$3))</f>
        <v>67.283995981103999</v>
      </c>
      <c r="G151" s="390">
        <f ca="1">IF($B$6="ON", IF(G150&gt;=covid_start, IF(G150&lt;covid_recovery,NA(),SUMIFS(INDIRECT("Data_main"&amp;"["&amp;G$8&amp;"]"),Data_main[Data],$A151, Data_main[Segment],$B151, Data_main[Scenario],$B$3)),SUMIFS(INDIRECT("Data_main"&amp;"["&amp;G$8&amp;"]"),Data_main[Data],$A151, Data_main[Segment],$B151, Data_main[Scenario],$B$3)),SUMIFS(INDIRECT("Data_main"&amp;"["&amp;G$8&amp;"]"),Data_main[Data],$A151, Data_main[Segment],$B151, Data_main[Scenario],$B$3))</f>
        <v>69.017216603831997</v>
      </c>
      <c r="H151" s="390">
        <f ca="1">IF($B$6="ON", IF(H150&gt;=covid_start, IF(H150&lt;covid_recovery,NA(),SUMIFS(INDIRECT("Data_main"&amp;"["&amp;H$8&amp;"]"),Data_main[Data],$A151, Data_main[Segment],$B151, Data_main[Scenario],$B$3)),SUMIFS(INDIRECT("Data_main"&amp;"["&amp;H$8&amp;"]"),Data_main[Data],$A151, Data_main[Segment],$B151, Data_main[Scenario],$B$3)),SUMIFS(INDIRECT("Data_main"&amp;"["&amp;H$8&amp;"]"),Data_main[Data],$A151, Data_main[Segment],$B151, Data_main[Scenario],$B$3))</f>
        <v>70.750437226559995</v>
      </c>
      <c r="I151" s="390">
        <f ca="1">IF($B$6="ON", IF(I150&gt;=covid_start, IF(I150&lt;covid_recovery,NA(),SUMIFS(INDIRECT("Data_main"&amp;"["&amp;I$8&amp;"]"),Data_main[Data],$A151, Data_main[Segment],$B151, Data_main[Scenario],$B$3)),SUMIFS(INDIRECT("Data_main"&amp;"["&amp;I$8&amp;"]"),Data_main[Data],$A151, Data_main[Segment],$B151, Data_main[Scenario],$B$3)),SUMIFS(INDIRECT("Data_main"&amp;"["&amp;I$8&amp;"]"),Data_main[Data],$A151, Data_main[Segment],$B151, Data_main[Scenario],$B$3))</f>
        <v>63.569716149432523</v>
      </c>
      <c r="J151" s="390" t="e">
        <f ca="1">IF($B$6="ON", IF(J150&gt;=covid_start, IF(J150&lt;covid_recovery,NA(),SUMIFS(INDIRECT("Data_main"&amp;"["&amp;J$8&amp;"]"),Data_main[Data],$A151, Data_main[Segment],$B151, Data_main[Scenario],$B$3)),SUMIFS(INDIRECT("Data_main"&amp;"["&amp;J$8&amp;"]"),Data_main[Data],$A151, Data_main[Segment],$B151, Data_main[Scenario],$B$3)),SUMIFS(INDIRECT("Data_main"&amp;"["&amp;J$8&amp;"]"),Data_main[Data],$A151, Data_main[Segment],$B151, Data_main[Scenario],$B$3))</f>
        <v>#N/A</v>
      </c>
      <c r="K151" s="390" t="e">
        <f ca="1">IF($B$6="ON", IF(K150&gt;=covid_start, IF(K150&lt;covid_recovery,NA(),SUMIFS(INDIRECT("Data_main"&amp;"["&amp;K$8&amp;"]"),Data_main[Data],$A151, Data_main[Segment],$B151, Data_main[Scenario],$B$3)),SUMIFS(INDIRECT("Data_main"&amp;"["&amp;K$8&amp;"]"),Data_main[Data],$A151, Data_main[Segment],$B151, Data_main[Scenario],$B$3)),SUMIFS(INDIRECT("Data_main"&amp;"["&amp;K$8&amp;"]"),Data_main[Data],$A151, Data_main[Segment],$B151, Data_main[Scenario],$B$3))</f>
        <v>#N/A</v>
      </c>
      <c r="L151" s="390" t="e">
        <f ca="1">IF($B$6="ON", IF(L150&gt;=covid_start, IF(L150&lt;covid_recovery,NA(),SUMIFS(INDIRECT("Data_main"&amp;"["&amp;L$8&amp;"]"),Data_main[Data],$A151, Data_main[Segment],$B151, Data_main[Scenario],$B$3)),SUMIFS(INDIRECT("Data_main"&amp;"["&amp;L$8&amp;"]"),Data_main[Data],$A151, Data_main[Segment],$B151, Data_main[Scenario],$B$3)),SUMIFS(INDIRECT("Data_main"&amp;"["&amp;L$8&amp;"]"),Data_main[Data],$A151, Data_main[Segment],$B151, Data_main[Scenario],$B$3))</f>
        <v>#N/A</v>
      </c>
      <c r="M151" s="390">
        <f ca="1">IF($B$6="ON", IF(M150&gt;=covid_start, IF(M150&lt;covid_recovery,NA(),SUMIFS(INDIRECT("Data_main"&amp;"["&amp;M$8&amp;"]"),Data_main[Data],$A151, Data_main[Segment],$B151, Data_main[Scenario],$B$3)),SUMIFS(INDIRECT("Data_main"&amp;"["&amp;M$8&amp;"]"),Data_main[Data],$A151, Data_main[Segment],$B151, Data_main[Scenario],$B$3)),SUMIFS(INDIRECT("Data_main"&amp;"["&amp;M$8&amp;"]"),Data_main[Data],$A151, Data_main[Segment],$B151, Data_main[Scenario],$B$3))</f>
        <v>56.168896824879191</v>
      </c>
      <c r="N151" s="390">
        <f ca="1">IF($B$6="ON", IF(N150&gt;=covid_start, IF(N150&lt;covid_recovery,NA(),SUMIFS(INDIRECT("Data_main"&amp;"["&amp;N$8&amp;"]"),Data_main[Data],$A151, Data_main[Segment],$B151, Data_main[Scenario],$B$3)),SUMIFS(INDIRECT("Data_main"&amp;"["&amp;N$8&amp;"]"),Data_main[Data],$A151, Data_main[Segment],$B151, Data_main[Scenario],$B$3)),SUMIFS(INDIRECT("Data_main"&amp;"["&amp;N$8&amp;"]"),Data_main[Data],$A151, Data_main[Segment],$B151, Data_main[Scenario],$B$3))</f>
        <v>63.399793829552536</v>
      </c>
      <c r="O151" s="390">
        <f ca="1">IF($B$6="ON", IF(O150&gt;=covid_start, IF(O150&lt;covid_recovery,NA(),SUMIFS(INDIRECT("Data_main"&amp;"["&amp;O$8&amp;"]"),Data_main[Data],$A151, Data_main[Segment],$B151, Data_main[Scenario],$B$3)),SUMIFS(INDIRECT("Data_main"&amp;"["&amp;O$8&amp;"]"),Data_main[Data],$A151, Data_main[Segment],$B151, Data_main[Scenario],$B$3)),SUMIFS(INDIRECT("Data_main"&amp;"["&amp;O$8&amp;"]"),Data_main[Data],$A151, Data_main[Segment],$B151, Data_main[Scenario],$B$3))</f>
        <v>70.854558050184636</v>
      </c>
      <c r="P151" s="390">
        <f ca="1">IF($B$6="ON", IF(P150&gt;=covid_start, IF(P150&lt;covid_recovery,NA(),SUMIFS(INDIRECT("Data_main"&amp;"["&amp;P$8&amp;"]"),Data_main[Data],$A151, Data_main[Segment],$B151, Data_main[Scenario],$B$3)),SUMIFS(INDIRECT("Data_main"&amp;"["&amp;P$8&amp;"]"),Data_main[Data],$A151, Data_main[Segment],$B151, Data_main[Scenario],$B$3)),SUMIFS(INDIRECT("Data_main"&amp;"["&amp;P$8&amp;"]"),Data_main[Data],$A151, Data_main[Segment],$B151, Data_main[Scenario],$B$3))</f>
        <v>70.712122421673755</v>
      </c>
      <c r="Q151" s="390">
        <f ca="1">IF($B$6="ON", IF(Q150&gt;=covid_start, IF(Q150&lt;covid_recovery,NA(),SUMIFS(INDIRECT("Data_main"&amp;"["&amp;Q$8&amp;"]"),Data_main[Data],$A151, Data_main[Segment],$B151, Data_main[Scenario],$B$3)),SUMIFS(INDIRECT("Data_main"&amp;"["&amp;Q$8&amp;"]"),Data_main[Data],$A151, Data_main[Segment],$B151, Data_main[Scenario],$B$3)),SUMIFS(INDIRECT("Data_main"&amp;"["&amp;Q$8&amp;"]"),Data_main[Data],$A151, Data_main[Segment],$B151, Data_main[Scenario],$B$3))</f>
        <v>70.554930059158522</v>
      </c>
      <c r="R151" s="390">
        <f ca="1">IF($B$6="ON", IF(R150&gt;=covid_start, IF(R150&lt;covid_recovery,NA(),SUMIFS(INDIRECT("Data_main"&amp;"["&amp;R$8&amp;"]"),Data_main[Data],$A151, Data_main[Segment],$B151, Data_main[Scenario],$B$3)),SUMIFS(INDIRECT("Data_main"&amp;"["&amp;R$8&amp;"]"),Data_main[Data],$A151, Data_main[Segment],$B151, Data_main[Scenario],$B$3)),SUMIFS(INDIRECT("Data_main"&amp;"["&amp;R$8&amp;"]"),Data_main[Data],$A151, Data_main[Segment],$B151, Data_main[Scenario],$B$3))</f>
        <v>70.381727410332076</v>
      </c>
      <c r="S151" s="390">
        <f ca="1">IF($B$6="ON", IF(S150&gt;=covid_start, IF(S150&lt;covid_recovery,NA(),SUMIFS(INDIRECT("Data_main"&amp;"["&amp;S$8&amp;"]"),Data_main[Data],$A151, Data_main[Segment],$B151, Data_main[Scenario],$B$3)),SUMIFS(INDIRECT("Data_main"&amp;"["&amp;S$8&amp;"]"),Data_main[Data],$A151, Data_main[Segment],$B151, Data_main[Scenario],$B$3)),SUMIFS(INDIRECT("Data_main"&amp;"["&amp;S$8&amp;"]"),Data_main[Data],$A151, Data_main[Segment],$B151, Data_main[Scenario],$B$3))</f>
        <v>70.190225187581774</v>
      </c>
      <c r="T151" s="390">
        <f ca="1">IF($B$6="ON", IF(T150&gt;=covid_start, IF(T150&lt;covid_recovery,NA(),SUMIFS(INDIRECT("Data_main"&amp;"["&amp;T$8&amp;"]"),Data_main[Data],$A151, Data_main[Segment],$B151, Data_main[Scenario],$B$3)),SUMIFS(INDIRECT("Data_main"&amp;"["&amp;T$8&amp;"]"),Data_main[Data],$A151, Data_main[Segment],$B151, Data_main[Scenario],$B$3)),SUMIFS(INDIRECT("Data_main"&amp;"["&amp;T$8&amp;"]"),Data_main[Data],$A151, Data_main[Segment],$B151, Data_main[Scenario],$B$3))</f>
        <v>69.951376743328495</v>
      </c>
      <c r="U151" s="390">
        <f ca="1">IF($B$6="ON", IF(U150&gt;=covid_start, IF(U150&lt;covid_recovery,NA(),SUMIFS(INDIRECT("Data_main"&amp;"["&amp;U$8&amp;"]"),Data_main[Data],$A151, Data_main[Segment],$B151, Data_main[Scenario],$B$3)),SUMIFS(INDIRECT("Data_main"&amp;"["&amp;U$8&amp;"]"),Data_main[Data],$A151, Data_main[Segment],$B151, Data_main[Scenario],$B$3)),SUMIFS(INDIRECT("Data_main"&amp;"["&amp;U$8&amp;"]"),Data_main[Data],$A151, Data_main[Segment],$B151, Data_main[Scenario],$B$3))</f>
        <v>68.186357292195481</v>
      </c>
      <c r="V151" s="390">
        <f ca="1">IF($B$6="ON", IF(V150&gt;=covid_start, IF(V150&lt;covid_recovery,NA(),SUMIFS(INDIRECT("Data_main"&amp;"["&amp;V$8&amp;"]"),Data_main[Data],$A151, Data_main[Segment],$B151, Data_main[Scenario],$B$3)),SUMIFS(INDIRECT("Data_main"&amp;"["&amp;V$8&amp;"]"),Data_main[Data],$A151, Data_main[Segment],$B151, Data_main[Scenario],$B$3)),SUMIFS(INDIRECT("Data_main"&amp;"["&amp;V$8&amp;"]"),Data_main[Data],$A151, Data_main[Segment],$B151, Data_main[Scenario],$B$3))</f>
        <v>66.355929112275604</v>
      </c>
      <c r="W151" s="390">
        <f ca="1">IF($B$6="ON", IF(W150&gt;=covid_start, IF(W150&lt;covid_recovery,NA(),SUMIFS(INDIRECT("Data_main"&amp;"["&amp;W$8&amp;"]"),Data_main[Data],$A151, Data_main[Segment],$B151, Data_main[Scenario],$B$3)),SUMIFS(INDIRECT("Data_main"&amp;"["&amp;W$8&amp;"]"),Data_main[Data],$A151, Data_main[Segment],$B151, Data_main[Scenario],$B$3)),SUMIFS(INDIRECT("Data_main"&amp;"["&amp;W$8&amp;"]"),Data_main[Data],$A151, Data_main[Segment],$B151, Data_main[Scenario],$B$3))</f>
        <v>64.450459337058646</v>
      </c>
      <c r="X151" s="390">
        <f ca="1">IF($B$6="ON", IF(X150&gt;=covid_start, IF(X150&lt;covid_recovery,NA(),SUMIFS(INDIRECT("Data_main"&amp;"["&amp;X$8&amp;"]"),Data_main[Data],$A151, Data_main[Segment],$B151, Data_main[Scenario],$B$3)),SUMIFS(INDIRECT("Data_main"&amp;"["&amp;X$8&amp;"]"),Data_main[Data],$A151, Data_main[Segment],$B151, Data_main[Scenario],$B$3)),SUMIFS(INDIRECT("Data_main"&amp;"["&amp;X$8&amp;"]"),Data_main[Data],$A151, Data_main[Segment],$B151, Data_main[Scenario],$B$3))</f>
        <v>62.461634381651642</v>
      </c>
      <c r="Y151" s="390">
        <f ca="1">IF($B$6="ON", IF(Y150&gt;=covid_start, IF(Y150&lt;covid_recovery,NA(),SUMIFS(INDIRECT("Data_main"&amp;"["&amp;Y$8&amp;"]"),Data_main[Data],$A151, Data_main[Segment],$B151, Data_main[Scenario],$B$3)),SUMIFS(INDIRECT("Data_main"&amp;"["&amp;Y$8&amp;"]"),Data_main[Data],$A151, Data_main[Segment],$B151, Data_main[Scenario],$B$3)),SUMIFS(INDIRECT("Data_main"&amp;"["&amp;Y$8&amp;"]"),Data_main[Data],$A151, Data_main[Segment],$B151, Data_main[Scenario],$B$3))</f>
        <v>60.121316961814578</v>
      </c>
      <c r="Z151" s="390">
        <f ca="1">IF($B$6="ON", IF(Z150&gt;=covid_start, IF(Z150&lt;covid_recovery,NA(),SUMIFS(INDIRECT("Data_main"&amp;"["&amp;Z$8&amp;"]"),Data_main[Data],$A151, Data_main[Segment],$B151, Data_main[Scenario],$B$3)),SUMIFS(INDIRECT("Data_main"&amp;"["&amp;Z$8&amp;"]"),Data_main[Data],$A151, Data_main[Segment],$B151, Data_main[Scenario],$B$3)),SUMIFS(INDIRECT("Data_main"&amp;"["&amp;Z$8&amp;"]"),Data_main[Data],$A151, Data_main[Segment],$B151, Data_main[Scenario],$B$3))</f>
        <v>57.497305283096615</v>
      </c>
      <c r="AA151" s="390">
        <f ca="1">IF($B$6="ON", IF(AA150&gt;=covid_start, IF(AA150&lt;covid_recovery,NA(),SUMIFS(INDIRECT("Data_main"&amp;"["&amp;AA$8&amp;"]"),Data_main[Data],$A151, Data_main[Segment],$B151, Data_main[Scenario],$B$3)),SUMIFS(INDIRECT("Data_main"&amp;"["&amp;AA$8&amp;"]"),Data_main[Data],$A151, Data_main[Segment],$B151, Data_main[Scenario],$B$3)),SUMIFS(INDIRECT("Data_main"&amp;"["&amp;AA$8&amp;"]"),Data_main[Data],$A151, Data_main[Segment],$B151, Data_main[Scenario],$B$3))</f>
        <v>54.612821506238859</v>
      </c>
      <c r="AB151" s="390">
        <f ca="1">IF($B$6="ON", IF(AB150&gt;=covid_start, IF(AB150&lt;covid_recovery,NA(),SUMIFS(INDIRECT("Data_main"&amp;"["&amp;AB$8&amp;"]"),Data_main[Data],$A151, Data_main[Segment],$B151, Data_main[Scenario],$B$3)),SUMIFS(INDIRECT("Data_main"&amp;"["&amp;AB$8&amp;"]"),Data_main[Data],$A151, Data_main[Segment],$B151, Data_main[Scenario],$B$3)),SUMIFS(INDIRECT("Data_main"&amp;"["&amp;AB$8&amp;"]"),Data_main[Data],$A151, Data_main[Segment],$B151, Data_main[Scenario],$B$3))</f>
        <v>51.452470414341526</v>
      </c>
      <c r="AC151" s="390">
        <f ca="1">IF($B$6="ON", IF(AC150&gt;=covid_start, IF(AC150&lt;covid_recovery,NA(),SUMIFS(INDIRECT("Data_main"&amp;"["&amp;AC$8&amp;"]"),Data_main[Data],$A151, Data_main[Segment],$B151, Data_main[Scenario],$B$3)),SUMIFS(INDIRECT("Data_main"&amp;"["&amp;AC$8&amp;"]"),Data_main[Data],$A151, Data_main[Segment],$B151, Data_main[Scenario],$B$3)),SUMIFS(INDIRECT("Data_main"&amp;"["&amp;AC$8&amp;"]"),Data_main[Data],$A151, Data_main[Segment],$B151, Data_main[Scenario],$B$3))</f>
        <v>48.006519594223342</v>
      </c>
      <c r="AD151" s="390">
        <f ca="1">IF($B$6="ON", IF(AD150&gt;=covid_start, IF(AD150&lt;covid_recovery,NA(),SUMIFS(INDIRECT("Data_main"&amp;"["&amp;AD$8&amp;"]"),Data_main[Data],$A151, Data_main[Segment],$B151, Data_main[Scenario],$B$3)),SUMIFS(INDIRECT("Data_main"&amp;"["&amp;AD$8&amp;"]"),Data_main[Data],$A151, Data_main[Segment],$B151, Data_main[Scenario],$B$3)),SUMIFS(INDIRECT("Data_main"&amp;"["&amp;AD$8&amp;"]"),Data_main[Data],$A151, Data_main[Segment],$B151, Data_main[Scenario],$B$3))</f>
        <v>44.269535711474553</v>
      </c>
      <c r="AE151" s="390">
        <f ca="1">IF($B$6="ON", IF(AE150&gt;=covid_start, IF(AE150&lt;covid_recovery,NA(),SUMIFS(INDIRECT("Data_main"&amp;"["&amp;AE$8&amp;"]"),Data_main[Data],$A151, Data_main[Segment],$B151, Data_main[Scenario],$B$3)),SUMIFS(INDIRECT("Data_main"&amp;"["&amp;AE$8&amp;"]"),Data_main[Data],$A151, Data_main[Segment],$B151, Data_main[Scenario],$B$3)),SUMIFS(INDIRECT("Data_main"&amp;"["&amp;AE$8&amp;"]"),Data_main[Data],$A151, Data_main[Segment],$B151, Data_main[Scenario],$B$3))</f>
        <v>40.858716975410793</v>
      </c>
      <c r="AF151" s="390">
        <f ca="1">IF($B$6="ON", IF(AF150&gt;=covid_start, IF(AF150&lt;covid_recovery,NA(),SUMIFS(INDIRECT("Data_main"&amp;"["&amp;AF$8&amp;"]"),Data_main[Data],$A151, Data_main[Segment],$B151, Data_main[Scenario],$B$3)),SUMIFS(INDIRECT("Data_main"&amp;"["&amp;AF$8&amp;"]"),Data_main[Data],$A151, Data_main[Segment],$B151, Data_main[Scenario],$B$3)),SUMIFS(INDIRECT("Data_main"&amp;"["&amp;AF$8&amp;"]"),Data_main[Data],$A151, Data_main[Segment],$B151, Data_main[Scenario],$B$3))</f>
        <v>37.199641490977896</v>
      </c>
      <c r="AG151" s="390">
        <f ca="1">IF($B$6="ON", IF(AG150&gt;=covid_start, IF(AG150&lt;covid_recovery,NA(),SUMIFS(INDIRECT("Data_main"&amp;"["&amp;AG$8&amp;"]"),Data_main[Data],$A151, Data_main[Segment],$B151, Data_main[Scenario],$B$3)),SUMIFS(INDIRECT("Data_main"&amp;"["&amp;AG$8&amp;"]"),Data_main[Data],$A151, Data_main[Segment],$B151, Data_main[Scenario],$B$3)),SUMIFS(INDIRECT("Data_main"&amp;"["&amp;AG$8&amp;"]"),Data_main[Data],$A151, Data_main[Segment],$B151, Data_main[Scenario],$B$3))</f>
        <v>33.28722614047782</v>
      </c>
      <c r="AH151" s="390">
        <f ca="1">IF($B$6="ON", IF(AH150&gt;=covid_start, IF(AH150&lt;covid_recovery,NA(),SUMIFS(INDIRECT("Data_main"&amp;"["&amp;AH$8&amp;"]"),Data_main[Data],$A151, Data_main[Segment],$B151, Data_main[Scenario],$B$3)),SUMIFS(INDIRECT("Data_main"&amp;"["&amp;AH$8&amp;"]"),Data_main[Data],$A151, Data_main[Segment],$B151, Data_main[Scenario],$B$3)),SUMIFS(INDIRECT("Data_main"&amp;"["&amp;AH$8&amp;"]"),Data_main[Data],$A151, Data_main[Segment],$B151, Data_main[Scenario],$B$3))</f>
        <v>29.112609527498194</v>
      </c>
      <c r="AI151" s="390">
        <f ca="1">IF($B$6="ON", IF(AI150&gt;=covid_start, IF(AI150&lt;covid_recovery,NA(),SUMIFS(INDIRECT("Data_main"&amp;"["&amp;AI$8&amp;"]"),Data_main[Data],$A151, Data_main[Segment],$B151, Data_main[Scenario],$B$3)),SUMIFS(INDIRECT("Data_main"&amp;"["&amp;AI$8&amp;"]"),Data_main[Data],$A151, Data_main[Segment],$B151, Data_main[Scenario],$B$3)),SUMIFS(INDIRECT("Data_main"&amp;"["&amp;AI$8&amp;"]"),Data_main[Data],$A151, Data_main[Segment],$B151, Data_main[Scenario],$B$3))</f>
        <v>24.662906253479928</v>
      </c>
      <c r="AJ151" s="390">
        <f ca="1">IF($B$6="ON", IF(AJ150&gt;=covid_start, IF(AJ150&lt;covid_recovery,NA(),SUMIFS(INDIRECT("Data_main"&amp;"["&amp;AJ$8&amp;"]"),Data_main[Data],$A151, Data_main[Segment],$B151, Data_main[Scenario],$B$3)),SUMIFS(INDIRECT("Data_main"&amp;"["&amp;AJ$8&amp;"]"),Data_main[Data],$A151, Data_main[Segment],$B151, Data_main[Scenario],$B$3)),SUMIFS(INDIRECT("Data_main"&amp;"["&amp;AJ$8&amp;"]"),Data_main[Data],$A151, Data_main[Segment],$B151, Data_main[Scenario],$B$3))</f>
        <v>19.871411945967289</v>
      </c>
      <c r="AK151" s="390">
        <f ca="1">IF($B$6="ON", IF(AK150&gt;=covid_start, IF(AK150&lt;covid_recovery,NA(),SUMIFS(INDIRECT("Data_main"&amp;"["&amp;AK$8&amp;"]"),Data_main[Data],$A151, Data_main[Segment],$B151, Data_main[Scenario],$B$3)),SUMIFS(INDIRECT("Data_main"&amp;"["&amp;AK$8&amp;"]"),Data_main[Data],$A151, Data_main[Segment],$B151, Data_main[Scenario],$B$3)),SUMIFS(INDIRECT("Data_main"&amp;"["&amp;AK$8&amp;"]"),Data_main[Data],$A151, Data_main[Segment],$B151, Data_main[Scenario],$B$3))</f>
        <v>14.76105162032508</v>
      </c>
      <c r="AL151" s="390">
        <f ca="1">IF($B$6="ON", IF(AL150&gt;=covid_start, IF(AL150&lt;covid_recovery,NA(),SUMIFS(INDIRECT("Data_main"&amp;"["&amp;AL$8&amp;"]"),Data_main[Data],$A151, Data_main[Segment],$B151, Data_main[Scenario],$B$3)),SUMIFS(INDIRECT("Data_main"&amp;"["&amp;AL$8&amp;"]"),Data_main[Data],$A151, Data_main[Segment],$B151, Data_main[Scenario],$B$3)),SUMIFS(INDIRECT("Data_main"&amp;"["&amp;AL$8&amp;"]"),Data_main[Data],$A151, Data_main[Segment],$B151, Data_main[Scenario],$B$3))</f>
        <v>9.3133878972532447</v>
      </c>
      <c r="AM151" s="390">
        <f ca="1">IF($B$6="ON", IF(AM150&gt;=covid_start, IF(AM150&lt;covid_recovery,NA(),SUMIFS(INDIRECT("Data_main"&amp;"["&amp;AM$8&amp;"]"),Data_main[Data],$A151, Data_main[Segment],$B151, Data_main[Scenario],$B$3)),SUMIFS(INDIRECT("Data_main"&amp;"["&amp;AM$8&amp;"]"),Data_main[Data],$A151, Data_main[Segment],$B151, Data_main[Scenario],$B$3)),SUMIFS(INDIRECT("Data_main"&amp;"["&amp;AM$8&amp;"]"),Data_main[Data],$A151, Data_main[Segment],$B151, Data_main[Scenario],$B$3))</f>
        <v>8.018151012989593</v>
      </c>
      <c r="AN151" s="390">
        <f ca="1">IF($B$6="ON", IF(AN150&gt;=covid_start, IF(AN150&lt;covid_recovery,NA(),SUMIFS(INDIRECT("Data_main"&amp;"["&amp;AN$8&amp;"]"),Data_main[Data],$A151, Data_main[Segment],$B151, Data_main[Scenario],$B$3)),SUMIFS(INDIRECT("Data_main"&amp;"["&amp;AN$8&amp;"]"),Data_main[Data],$A151, Data_main[Segment],$B151, Data_main[Scenario],$B$3)),SUMIFS(INDIRECT("Data_main"&amp;"["&amp;AN$8&amp;"]"),Data_main[Data],$A151, Data_main[Segment],$B151, Data_main[Scenario],$B$3))</f>
        <v>8.0920535571686081</v>
      </c>
      <c r="AO151" s="390">
        <f ca="1">IF($B$6="ON", IF(AO150&gt;=covid_start, IF(AO150&lt;covid_recovery,NA(),SUMIFS(INDIRECT("Data_main"&amp;"["&amp;AO$8&amp;"]"),Data_main[Data],$A151, Data_main[Segment],$B151, Data_main[Scenario],$B$3)),SUMIFS(INDIRECT("Data_main"&amp;"["&amp;AO$8&amp;"]"),Data_main[Data],$A151, Data_main[Segment],$B151, Data_main[Scenario],$B$3)),SUMIFS(INDIRECT("Data_main"&amp;"["&amp;AO$8&amp;"]"),Data_main[Data],$A151, Data_main[Segment],$B151, Data_main[Scenario],$B$3))</f>
        <v>0</v>
      </c>
      <c r="AP151" s="390">
        <f ca="1">IF($B$6="ON", IF(AP150&gt;=covid_start, IF(AP150&lt;covid_recovery,NA(),SUMIFS(INDIRECT("Data_main"&amp;"["&amp;AP$8&amp;"]"),Data_main[Data],$A151, Data_main[Segment],$B151, Data_main[Scenario],$B$3)),SUMIFS(INDIRECT("Data_main"&amp;"["&amp;AP$8&amp;"]"),Data_main[Data],$A151, Data_main[Segment],$B151, Data_main[Scenario],$B$3)),SUMIFS(INDIRECT("Data_main"&amp;"["&amp;AP$8&amp;"]"),Data_main[Data],$A151, Data_main[Segment],$B151, Data_main[Scenario],$B$3))</f>
        <v>0</v>
      </c>
      <c r="AQ151" s="390">
        <f ca="1">IF($B$6="ON", IF(AQ150&gt;=covid_start, IF(AQ150&lt;covid_recovery,NA(),SUMIFS(INDIRECT("Data_main"&amp;"["&amp;AQ$8&amp;"]"),Data_main[Data],$A151, Data_main[Segment],$B151, Data_main[Scenario],$B$3)),SUMIFS(INDIRECT("Data_main"&amp;"["&amp;AQ$8&amp;"]"),Data_main[Data],$A151, Data_main[Segment],$B151, Data_main[Scenario],$B$3)),SUMIFS(INDIRECT("Data_main"&amp;"["&amp;AQ$8&amp;"]"),Data_main[Data],$A151, Data_main[Segment],$B151, Data_main[Scenario],$B$3))</f>
        <v>0</v>
      </c>
      <c r="AR151" s="390">
        <f ca="1">IF($B$6="ON", IF(AR150&gt;=covid_start, IF(AR150&lt;covid_recovery,NA(),SUMIFS(INDIRECT("Data_main"&amp;"["&amp;AR$8&amp;"]"),Data_main[Data],$A151, Data_main[Segment],$B151, Data_main[Scenario],$B$3)),SUMIFS(INDIRECT("Data_main"&amp;"["&amp;AR$8&amp;"]"),Data_main[Data],$A151, Data_main[Segment],$B151, Data_main[Scenario],$B$3)),SUMIFS(INDIRECT("Data_main"&amp;"["&amp;AR$8&amp;"]"),Data_main[Data],$A151, Data_main[Segment],$B151, Data_main[Scenario],$B$3))</f>
        <v>0</v>
      </c>
      <c r="AS151" s="390">
        <f ca="1">IF($B$6="ON", IF(AS150&gt;=covid_start, IF(AS150&lt;covid_recovery,NA(),SUMIFS(INDIRECT("Data_main"&amp;"["&amp;AS$8&amp;"]"),Data_main[Data],$A151, Data_main[Segment],$B151, Data_main[Scenario],$B$3)),SUMIFS(INDIRECT("Data_main"&amp;"["&amp;AS$8&amp;"]"),Data_main[Data],$A151, Data_main[Segment],$B151, Data_main[Scenario],$B$3)),SUMIFS(INDIRECT("Data_main"&amp;"["&amp;AS$8&amp;"]"),Data_main[Data],$A151, Data_main[Segment],$B151, Data_main[Scenario],$B$3))</f>
        <v>0</v>
      </c>
      <c r="AT151" s="390">
        <f ca="1">IF($B$6="ON", IF(AT150&gt;=covid_start, IF(AT150&lt;covid_recovery,NA(),SUMIFS(INDIRECT("Data_main"&amp;"["&amp;AT$8&amp;"]"),Data_main[Data],$A151, Data_main[Segment],$B151, Data_main[Scenario],$B$3)),SUMIFS(INDIRECT("Data_main"&amp;"["&amp;AT$8&amp;"]"),Data_main[Data],$A151, Data_main[Segment],$B151, Data_main[Scenario],$B$3)),SUMIFS(INDIRECT("Data_main"&amp;"["&amp;AT$8&amp;"]"),Data_main[Data],$A151, Data_main[Segment],$B151, Data_main[Scenario],$B$3))</f>
        <v>0</v>
      </c>
      <c r="AU151" s="390">
        <f ca="1">IF($B$6="ON", IF(AU150&gt;=covid_start, IF(AU150&lt;covid_recovery,NA(),SUMIFS(INDIRECT("Data_main"&amp;"["&amp;AU$8&amp;"]"),Data_main[Data],$A151, Data_main[Segment],$B151, Data_main[Scenario],$B$3)),SUMIFS(INDIRECT("Data_main"&amp;"["&amp;AU$8&amp;"]"),Data_main[Data],$A151, Data_main[Segment],$B151, Data_main[Scenario],$B$3)),SUMIFS(INDIRECT("Data_main"&amp;"["&amp;AU$8&amp;"]"),Data_main[Data],$A151, Data_main[Segment],$B151, Data_main[Scenario],$B$3))</f>
        <v>0</v>
      </c>
      <c r="AV151" s="390">
        <f ca="1">IF($B$6="ON", IF(AV150&gt;=covid_start, IF(AV150&lt;covid_recovery,NA(),SUMIFS(INDIRECT("Data_main"&amp;"["&amp;AV$8&amp;"]"),Data_main[Data],$A151, Data_main[Segment],$B151, Data_main[Scenario],$B$3)),SUMIFS(INDIRECT("Data_main"&amp;"["&amp;AV$8&amp;"]"),Data_main[Data],$A151, Data_main[Segment],$B151, Data_main[Scenario],$B$3)),SUMIFS(INDIRECT("Data_main"&amp;"["&amp;AV$8&amp;"]"),Data_main[Data],$A151, Data_main[Segment],$B151, Data_main[Scenario],$B$3))</f>
        <v>0</v>
      </c>
      <c r="AW151" s="390">
        <f ca="1">IF($B$6="ON", IF(AW150&gt;=covid_start, IF(AW150&lt;covid_recovery,NA(),SUMIFS(INDIRECT("Data_main"&amp;"["&amp;AW$8&amp;"]"),Data_main[Data],$A151, Data_main[Segment],$B151, Data_main[Scenario],$B$3)),SUMIFS(INDIRECT("Data_main"&amp;"["&amp;AW$8&amp;"]"),Data_main[Data],$A151, Data_main[Segment],$B151, Data_main[Scenario],$B$3)),SUMIFS(INDIRECT("Data_main"&amp;"["&amp;AW$8&amp;"]"),Data_main[Data],$A151, Data_main[Segment],$B151, Data_main[Scenario],$B$3))</f>
        <v>0</v>
      </c>
      <c r="AX151" s="390">
        <f ca="1">IF($B$6="ON", IF(AX150&gt;=covid_start, IF(AX150&lt;covid_recovery,NA(),SUMIFS(INDIRECT("Data_main"&amp;"["&amp;AX$8&amp;"]"),Data_main[Data],$A151, Data_main[Segment],$B151, Data_main[Scenario],$B$3)),SUMIFS(INDIRECT("Data_main"&amp;"["&amp;AX$8&amp;"]"),Data_main[Data],$A151, Data_main[Segment],$B151, Data_main[Scenario],$B$3)),SUMIFS(INDIRECT("Data_main"&amp;"["&amp;AX$8&amp;"]"),Data_main[Data],$A151, Data_main[Segment],$B151, Data_main[Scenario],$B$3))</f>
        <v>0</v>
      </c>
      <c r="AY151" s="390">
        <f ca="1">IF($B$6="ON", IF(AY150&gt;=covid_start, IF(AY150&lt;covid_recovery,NA(),SUMIFS(INDIRECT("Data_main"&amp;"["&amp;AY$8&amp;"]"),Data_main[Data],$A151, Data_main[Segment],$B151, Data_main[Scenario],$B$3)),SUMIFS(INDIRECT("Data_main"&amp;"["&amp;AY$8&amp;"]"),Data_main[Data],$A151, Data_main[Segment],$B151, Data_main[Scenario],$B$3)),SUMIFS(INDIRECT("Data_main"&amp;"["&amp;AY$8&amp;"]"),Data_main[Data],$A151, Data_main[Segment],$B151, Data_main[Scenario],$B$3))</f>
        <v>0</v>
      </c>
      <c r="AZ151" s="390">
        <f ca="1">IF($B$6="ON", IF(AZ150&gt;=covid_start, IF(AZ150&lt;covid_recovery,NA(),SUMIFS(INDIRECT("Data_main"&amp;"["&amp;AZ$8&amp;"]"),Data_main[Data],$A151, Data_main[Segment],$B151, Data_main[Scenario],$B$3)),SUMIFS(INDIRECT("Data_main"&amp;"["&amp;AZ$8&amp;"]"),Data_main[Data],$A151, Data_main[Segment],$B151, Data_main[Scenario],$B$3)),SUMIFS(INDIRECT("Data_main"&amp;"["&amp;AZ$8&amp;"]"),Data_main[Data],$A151, Data_main[Segment],$B151, Data_main[Scenario],$B$3))</f>
        <v>0</v>
      </c>
      <c r="BA151" s="390">
        <f ca="1">IF($B$6="ON", IF(BA150&gt;=covid_start, IF(BA150&lt;covid_recovery,NA(),SUMIFS(INDIRECT("Data_main"&amp;"["&amp;BA$8&amp;"]"),Data_main[Data],$A151, Data_main[Segment],$B151, Data_main[Scenario],$B$3)),SUMIFS(INDIRECT("Data_main"&amp;"["&amp;BA$8&amp;"]"),Data_main[Data],$A151, Data_main[Segment],$B151, Data_main[Scenario],$B$3)),SUMIFS(INDIRECT("Data_main"&amp;"["&amp;BA$8&amp;"]"),Data_main[Data],$A151, Data_main[Segment],$B151, Data_main[Scenario],$B$3))</f>
        <v>0</v>
      </c>
      <c r="BB151" s="390">
        <f ca="1">IF($B$6="ON", IF(BB150&gt;=covid_start, IF(BB150&lt;covid_recovery,NA(),SUMIFS(INDIRECT("Data_main"&amp;"["&amp;BB$8&amp;"]"),Data_main[Data],$A151, Data_main[Segment],$B151, Data_main[Scenario],$B$3)),SUMIFS(INDIRECT("Data_main"&amp;"["&amp;BB$8&amp;"]"),Data_main[Data],$A151, Data_main[Segment],$B151, Data_main[Scenario],$B$3)),SUMIFS(INDIRECT("Data_main"&amp;"["&amp;BB$8&amp;"]"),Data_main[Data],$A151, Data_main[Segment],$B151, Data_main[Scenario],$B$3))</f>
        <v>0</v>
      </c>
      <c r="BC151" s="390">
        <f ca="1">IF($B$6="ON", IF(BC150&gt;=covid_start, IF(BC150&lt;covid_recovery,NA(),SUMIFS(INDIRECT("Data_main"&amp;"["&amp;BC$8&amp;"]"),Data_main[Data],$A151, Data_main[Segment],$B151, Data_main[Scenario],$B$3)),SUMIFS(INDIRECT("Data_main"&amp;"["&amp;BC$8&amp;"]"),Data_main[Data],$A151, Data_main[Segment],$B151, Data_main[Scenario],$B$3)),SUMIFS(INDIRECT("Data_main"&amp;"["&amp;BC$8&amp;"]"),Data_main[Data],$A151, Data_main[Segment],$B151, Data_main[Scenario],$B$3))</f>
        <v>0</v>
      </c>
      <c r="BD151" s="390">
        <f ca="1">IF($B$6="ON", IF(BD150&gt;=covid_start, IF(BD150&lt;covid_recovery,NA(),SUMIFS(INDIRECT("Data_main"&amp;"["&amp;BD$8&amp;"]"),Data_main[Data],$A151, Data_main[Segment],$B151, Data_main[Scenario],$B$3)),SUMIFS(INDIRECT("Data_main"&amp;"["&amp;BD$8&amp;"]"),Data_main[Data],$A151, Data_main[Segment],$B151, Data_main[Scenario],$B$3)),SUMIFS(INDIRECT("Data_main"&amp;"["&amp;BD$8&amp;"]"),Data_main[Data],$A151, Data_main[Segment],$B151, Data_main[Scenario],$B$3))</f>
        <v>0</v>
      </c>
      <c r="BE151" s="390">
        <f ca="1">IF($B$6="ON", IF(BE150&gt;=covid_start, IF(BE150&lt;covid_recovery,NA(),SUMIFS(INDIRECT("Data_main"&amp;"["&amp;BE$8&amp;"]"),Data_main[Data],$A151, Data_main[Segment],$B151, Data_main[Scenario],$B$3)),SUMIFS(INDIRECT("Data_main"&amp;"["&amp;BE$8&amp;"]"),Data_main[Data],$A151, Data_main[Segment],$B151, Data_main[Scenario],$B$3)),SUMIFS(INDIRECT("Data_main"&amp;"["&amp;BE$8&amp;"]"),Data_main[Data],$A151, Data_main[Segment],$B151, Data_main[Scenario],$B$3))</f>
        <v>0</v>
      </c>
      <c r="BF151" s="390">
        <f ca="1">IF($B$6="ON", IF(BF150&gt;=covid_start, IF(BF150&lt;covid_recovery,NA(),SUMIFS(INDIRECT("Data_main"&amp;"["&amp;BF$8&amp;"]"),Data_main[Data],$A151, Data_main[Segment],$B151, Data_main[Scenario],$B$3)),SUMIFS(INDIRECT("Data_main"&amp;"["&amp;BF$8&amp;"]"),Data_main[Data],$A151, Data_main[Segment],$B151, Data_main[Scenario],$B$3)),SUMIFS(INDIRECT("Data_main"&amp;"["&amp;BF$8&amp;"]"),Data_main[Data],$A151, Data_main[Segment],$B151, Data_main[Scenario],$B$3))</f>
        <v>0</v>
      </c>
      <c r="BG151" s="390">
        <f ca="1">IF($B$6="ON", IF(BG150&gt;=covid_start, IF(BG150&lt;covid_recovery,NA(),SUMIFS(INDIRECT("Data_main"&amp;"["&amp;BG$8&amp;"]"),Data_main[Data],$A151, Data_main[Segment],$B151, Data_main[Scenario],$B$3)),SUMIFS(INDIRECT("Data_main"&amp;"["&amp;BG$8&amp;"]"),Data_main[Data],$A151, Data_main[Segment],$B151, Data_main[Scenario],$B$3)),SUMIFS(INDIRECT("Data_main"&amp;"["&amp;BG$8&amp;"]"),Data_main[Data],$A151, Data_main[Segment],$B151, Data_main[Scenario],$B$3))</f>
        <v>0</v>
      </c>
      <c r="BH151" s="390">
        <f ca="1">IF($B$6="ON", IF(BH150&gt;=covid_start, IF(BH150&lt;covid_recovery,NA(),SUMIFS(INDIRECT("Data_main"&amp;"["&amp;BH$8&amp;"]"),Data_main[Data],$A151, Data_main[Segment],$B151, Data_main[Scenario],$B$3)),SUMIFS(INDIRECT("Data_main"&amp;"["&amp;BH$8&amp;"]"),Data_main[Data],$A151, Data_main[Segment],$B151, Data_main[Scenario],$B$3)),SUMIFS(INDIRECT("Data_main"&amp;"["&amp;BH$8&amp;"]"),Data_main[Data],$A151, Data_main[Segment],$B151, Data_main[Scenario],$B$3))</f>
        <v>0</v>
      </c>
      <c r="BI151" s="390">
        <f ca="1">IF($B$6="ON", IF(BI150&gt;=covid_start, IF(BI150&lt;covid_recovery,NA(),SUMIFS(INDIRECT("Data_main"&amp;"["&amp;BI$8&amp;"]"),Data_main[Data],$A151, Data_main[Segment],$B151, Data_main[Scenario],$B$3)),SUMIFS(INDIRECT("Data_main"&amp;"["&amp;BI$8&amp;"]"),Data_main[Data],$A151, Data_main[Segment],$B151, Data_main[Scenario],$B$3)),SUMIFS(INDIRECT("Data_main"&amp;"["&amp;BI$8&amp;"]"),Data_main[Data],$A151, Data_main[Segment],$B151, Data_main[Scenario],$B$3))</f>
        <v>0</v>
      </c>
      <c r="BJ151" s="390">
        <f ca="1">IF($B$6="ON", IF(BJ150&gt;=covid_start, IF(BJ150&lt;covid_recovery,NA(),SUMIFS(INDIRECT("Data_main"&amp;"["&amp;BJ$8&amp;"]"),Data_main[Data],$A151, Data_main[Segment],$B151, Data_main[Scenario],$B$3)),SUMIFS(INDIRECT("Data_main"&amp;"["&amp;BJ$8&amp;"]"),Data_main[Data],$A151, Data_main[Segment],$B151, Data_main[Scenario],$B$3)),SUMIFS(INDIRECT("Data_main"&amp;"["&amp;BJ$8&amp;"]"),Data_main[Data],$A151, Data_main[Segment],$B151, Data_main[Scenario],$B$3))</f>
        <v>0</v>
      </c>
      <c r="BK151" s="390">
        <f ca="1">IF($B$6="ON", IF(BK150&gt;=covid_start, IF(BK150&lt;covid_recovery,NA(),SUMIFS(INDIRECT("Data_main"&amp;"["&amp;BK$8&amp;"]"),Data_main[Data],$A151, Data_main[Segment],$B151, Data_main[Scenario],$B$3)),SUMIFS(INDIRECT("Data_main"&amp;"["&amp;BK$8&amp;"]"),Data_main[Data],$A151, Data_main[Segment],$B151, Data_main[Scenario],$B$3)),SUMIFS(INDIRECT("Data_main"&amp;"["&amp;BK$8&amp;"]"),Data_main[Data],$A151, Data_main[Segment],$B151, Data_main[Scenario],$B$3))</f>
        <v>0</v>
      </c>
      <c r="BL151" s="390">
        <f ca="1">IF($B$6="ON", IF(BL150&gt;=covid_start, IF(BL150&lt;covid_recovery,NA(),SUMIFS(INDIRECT("Data_main"&amp;"["&amp;BL$8&amp;"]"),Data_main[Data],$A151, Data_main[Segment],$B151, Data_main[Scenario],$B$3)),SUMIFS(INDIRECT("Data_main"&amp;"["&amp;BL$8&amp;"]"),Data_main[Data],$A151, Data_main[Segment],$B151, Data_main[Scenario],$B$3)),SUMIFS(INDIRECT("Data_main"&amp;"["&amp;BL$8&amp;"]"),Data_main[Data],$A151, Data_main[Segment],$B151, Data_main[Scenario],$B$3))</f>
        <v>0</v>
      </c>
      <c r="BM151" s="390">
        <f ca="1">IF($B$6="ON", IF(BM150&gt;=covid_start, IF(BM150&lt;covid_recovery,NA(),SUMIFS(INDIRECT("Data_main"&amp;"["&amp;BM$8&amp;"]"),Data_main[Data],$A151, Data_main[Segment],$B151, Data_main[Scenario],$B$3)),SUMIFS(INDIRECT("Data_main"&amp;"["&amp;BM$8&amp;"]"),Data_main[Data],$A151, Data_main[Segment],$B151, Data_main[Scenario],$B$3)),SUMIFS(INDIRECT("Data_main"&amp;"["&amp;BM$8&amp;"]"),Data_main[Data],$A151, Data_main[Segment],$B151, Data_main[Scenario],$B$3))</f>
        <v>0</v>
      </c>
      <c r="BN151" s="390">
        <f ca="1">IF($B$6="ON", IF(BN150&gt;=covid_start, IF(BN150&lt;covid_recovery,NA(),SUMIFS(INDIRECT("Data_main"&amp;"["&amp;BN$8&amp;"]"),Data_main[Data],$A151, Data_main[Segment],$B151, Data_main[Scenario],$B$3)),SUMIFS(INDIRECT("Data_main"&amp;"["&amp;BN$8&amp;"]"),Data_main[Data],$A151, Data_main[Segment],$B151, Data_main[Scenario],$B$3)),SUMIFS(INDIRECT("Data_main"&amp;"["&amp;BN$8&amp;"]"),Data_main[Data],$A151, Data_main[Segment],$B151, Data_main[Scenario],$B$3))</f>
        <v>0</v>
      </c>
      <c r="BO151" s="390">
        <f ca="1">IF($B$6="ON", IF(BO150&gt;=covid_start, IF(BO150&lt;covid_recovery,NA(),SUMIFS(INDIRECT("Data_main"&amp;"["&amp;BO$8&amp;"]"),Data_main[Data],$A151, Data_main[Segment],$B151, Data_main[Scenario],$B$3)),SUMIFS(INDIRECT("Data_main"&amp;"["&amp;BO$8&amp;"]"),Data_main[Data],$A151, Data_main[Segment],$B151, Data_main[Scenario],$B$3)),SUMIFS(INDIRECT("Data_main"&amp;"["&amp;BO$8&amp;"]"),Data_main[Data],$A151, Data_main[Segment],$B151, Data_main[Scenario],$B$3))</f>
        <v>0</v>
      </c>
      <c r="BP151" s="390">
        <f ca="1">IF($B$6="ON", IF(BP150&gt;=covid_start, IF(BP150&lt;covid_recovery,NA(),SUMIFS(INDIRECT("Data_main"&amp;"["&amp;BP$8&amp;"]"),Data_main[Data],$A151, Data_main[Segment],$B151, Data_main[Scenario],$B$3)),SUMIFS(INDIRECT("Data_main"&amp;"["&amp;BP$8&amp;"]"),Data_main[Data],$A151, Data_main[Segment],$B151, Data_main[Scenario],$B$3)),SUMIFS(INDIRECT("Data_main"&amp;"["&amp;BP$8&amp;"]"),Data_main[Data],$A151, Data_main[Segment],$B151, Data_main[Scenario],$B$3))</f>
        <v>0</v>
      </c>
      <c r="BQ151" s="390">
        <f ca="1">IF($B$6="ON", IF(BQ150&gt;=covid_start, IF(BQ150&lt;covid_recovery,NA(),SUMIFS(INDIRECT("Data_main"&amp;"["&amp;BQ$8&amp;"]"),Data_main[Data],$A151, Data_main[Segment],$B151, Data_main[Scenario],$B$3)),SUMIFS(INDIRECT("Data_main"&amp;"["&amp;BQ$8&amp;"]"),Data_main[Data],$A151, Data_main[Segment],$B151, Data_main[Scenario],$B$3)),SUMIFS(INDIRECT("Data_main"&amp;"["&amp;BQ$8&amp;"]"),Data_main[Data],$A151, Data_main[Segment],$B151, Data_main[Scenario],$B$3))</f>
        <v>0</v>
      </c>
      <c r="BR151" s="390">
        <f ca="1">IF($B$6="ON", IF(BR150&gt;=covid_start, IF(BR150&lt;covid_recovery,NA(),SUMIFS(INDIRECT("Data_main"&amp;"["&amp;BR$8&amp;"]"),Data_main[Data],$A151, Data_main[Segment],$B151, Data_main[Scenario],$B$3)),SUMIFS(INDIRECT("Data_main"&amp;"["&amp;BR$8&amp;"]"),Data_main[Data],$A151, Data_main[Segment],$B151, Data_main[Scenario],$B$3)),SUMIFS(INDIRECT("Data_main"&amp;"["&amp;BR$8&amp;"]"),Data_main[Data],$A151, Data_main[Segment],$B151, Data_main[Scenario],$B$3))</f>
        <v>0</v>
      </c>
      <c r="BS151" s="390">
        <f ca="1">IF($B$6="ON", IF(BS150&gt;=covid_start, IF(BS150&lt;covid_recovery,NA(),SUMIFS(INDIRECT("Data_main"&amp;"["&amp;BS$8&amp;"]"),Data_main[Data],$A151, Data_main[Segment],$B151, Data_main[Scenario],$B$3)),SUMIFS(INDIRECT("Data_main"&amp;"["&amp;BS$8&amp;"]"),Data_main[Data],$A151, Data_main[Segment],$B151, Data_main[Scenario],$B$3)),SUMIFS(INDIRECT("Data_main"&amp;"["&amp;BS$8&amp;"]"),Data_main[Data],$A151, Data_main[Segment],$B151, Data_main[Scenario],$B$3))</f>
        <v>0</v>
      </c>
      <c r="BT151" s="390">
        <f ca="1">IF($B$6="ON", IF(BT150&gt;=covid_start, IF(BT150&lt;covid_recovery,NA(),SUMIFS(INDIRECT("Data_main"&amp;"["&amp;BT$8&amp;"]"),Data_main[Data],$A151, Data_main[Segment],$B151, Data_main[Scenario],$B$3)),SUMIFS(INDIRECT("Data_main"&amp;"["&amp;BT$8&amp;"]"),Data_main[Data],$A151, Data_main[Segment],$B151, Data_main[Scenario],$B$3)),SUMIFS(INDIRECT("Data_main"&amp;"["&amp;BT$8&amp;"]"),Data_main[Data],$A151, Data_main[Segment],$B151, Data_main[Scenario],$B$3))</f>
        <v>0</v>
      </c>
      <c r="BU151" s="390">
        <f ca="1">IF($B$6="ON", IF(BU150&gt;=covid_start, IF(BU150&lt;covid_recovery,NA(),SUMIFS(INDIRECT("Data_main"&amp;"["&amp;BU$8&amp;"]"),Data_main[Data],$A151, Data_main[Segment],$B151, Data_main[Scenario],$B$3)),SUMIFS(INDIRECT("Data_main"&amp;"["&amp;BU$8&amp;"]"),Data_main[Data],$A151, Data_main[Segment],$B151, Data_main[Scenario],$B$3)),SUMIFS(INDIRECT("Data_main"&amp;"["&amp;BU$8&amp;"]"),Data_main[Data],$A151, Data_main[Segment],$B151, Data_main[Scenario],$B$3))</f>
        <v>0</v>
      </c>
      <c r="BV151" s="390">
        <f ca="1">IF($B$6="ON", IF(BV150&gt;=covid_start, IF(BV150&lt;covid_recovery,NA(),SUMIFS(INDIRECT("Data_main"&amp;"["&amp;BV$8&amp;"]"),Data_main[Data],$A151, Data_main[Segment],$B151, Data_main[Scenario],$B$3)),SUMIFS(INDIRECT("Data_main"&amp;"["&amp;BV$8&amp;"]"),Data_main[Data],$A151, Data_main[Segment],$B151, Data_main[Scenario],$B$3)),SUMIFS(INDIRECT("Data_main"&amp;"["&amp;BV$8&amp;"]"),Data_main[Data],$A151, Data_main[Segment],$B151, Data_main[Scenario],$B$3))</f>
        <v>0</v>
      </c>
      <c r="BW151" s="390">
        <f ca="1">IF($B$6="ON", IF(BW150&gt;=covid_start, IF(BW150&lt;covid_recovery,NA(),SUMIFS(INDIRECT("Data_main"&amp;"["&amp;BW$8&amp;"]"),Data_main[Data],$A151, Data_main[Segment],$B151, Data_main[Scenario],$B$3)),SUMIFS(INDIRECT("Data_main"&amp;"["&amp;BW$8&amp;"]"),Data_main[Data],$A151, Data_main[Segment],$B151, Data_main[Scenario],$B$3)),SUMIFS(INDIRECT("Data_main"&amp;"["&amp;BW$8&amp;"]"),Data_main[Data],$A151, Data_main[Segment],$B151, Data_main[Scenario],$B$3))</f>
        <v>0</v>
      </c>
      <c r="BX151" s="390">
        <f ca="1">IF($B$6="ON", IF(BX150&gt;=covid_start, IF(BX150&lt;covid_recovery,NA(),SUMIFS(INDIRECT("Data_main"&amp;"["&amp;BX$8&amp;"]"),Data_main[Data],$A151, Data_main[Segment],$B151, Data_main[Scenario],$B$3)),SUMIFS(INDIRECT("Data_main"&amp;"["&amp;BX$8&amp;"]"),Data_main[Data],$A151, Data_main[Segment],$B151, Data_main[Scenario],$B$3)),SUMIFS(INDIRECT("Data_main"&amp;"["&amp;BX$8&amp;"]"),Data_main[Data],$A151, Data_main[Segment],$B151, Data_main[Scenario],$B$3))</f>
        <v>0</v>
      </c>
      <c r="BY151" s="390">
        <f ca="1">IF($B$6="ON", IF(BY150&gt;=covid_start, IF(BY150&lt;covid_recovery,NA(),SUMIFS(INDIRECT("Data_main"&amp;"["&amp;BY$8&amp;"]"),Data_main[Data],$A151, Data_main[Segment],$B151, Data_main[Scenario],$B$3)),SUMIFS(INDIRECT("Data_main"&amp;"["&amp;BY$8&amp;"]"),Data_main[Data],$A151, Data_main[Segment],$B151, Data_main[Scenario],$B$3)),SUMIFS(INDIRECT("Data_main"&amp;"["&amp;BY$8&amp;"]"),Data_main[Data],$A151, Data_main[Segment],$B151, Data_main[Scenario],$B$3))</f>
        <v>0</v>
      </c>
      <c r="BZ151" s="390">
        <f ca="1">IF($B$6="ON", IF(BZ150&gt;=covid_start, IF(BZ150&lt;covid_recovery,NA(),SUMIFS(INDIRECT("Data_main"&amp;"["&amp;BZ$8&amp;"]"),Data_main[Data],$A151, Data_main[Segment],$B151, Data_main[Scenario],$B$3)),SUMIFS(INDIRECT("Data_main"&amp;"["&amp;BZ$8&amp;"]"),Data_main[Data],$A151, Data_main[Segment],$B151, Data_main[Scenario],$B$3)),SUMIFS(INDIRECT("Data_main"&amp;"["&amp;BZ$8&amp;"]"),Data_main[Data],$A151, Data_main[Segment],$B151, Data_main[Scenario],$B$3))</f>
        <v>0</v>
      </c>
      <c r="CA151" s="390">
        <f ca="1">IF($B$6="ON", IF(CA150&gt;=covid_start, IF(CA150&lt;covid_recovery,NA(),SUMIFS(INDIRECT("Data_main"&amp;"["&amp;CA$8&amp;"]"),Data_main[Data],$A151, Data_main[Segment],$B151, Data_main[Scenario],$B$3)),SUMIFS(INDIRECT("Data_main"&amp;"["&amp;CA$8&amp;"]"),Data_main[Data],$A151, Data_main[Segment],$B151, Data_main[Scenario],$B$3)),SUMIFS(INDIRECT("Data_main"&amp;"["&amp;CA$8&amp;"]"),Data_main[Data],$A151, Data_main[Segment],$B151, Data_main[Scenario],$B$3))</f>
        <v>0</v>
      </c>
      <c r="CB151" s="390">
        <f ca="1">IF($B$6="ON", IF(CB150&gt;=covid_start, IF(CB150&lt;covid_recovery,NA(),SUMIFS(INDIRECT("Data_main"&amp;"["&amp;CB$8&amp;"]"),Data_main[Data],$A151, Data_main[Segment],$B151, Data_main[Scenario],$B$3)),SUMIFS(INDIRECT("Data_main"&amp;"["&amp;CB$8&amp;"]"),Data_main[Data],$A151, Data_main[Segment],$B151, Data_main[Scenario],$B$3)),SUMIFS(INDIRECT("Data_main"&amp;"["&amp;CB$8&amp;"]"),Data_main[Data],$A151, Data_main[Segment],$B151, Data_main[Scenario],$B$3))</f>
        <v>0</v>
      </c>
      <c r="CC151" s="390">
        <f ca="1">IF($B$6="ON", IF(CC150&gt;=covid_start, IF(CC150&lt;covid_recovery,NA(),SUMIFS(INDIRECT("Data_main"&amp;"["&amp;CC$8&amp;"]"),Data_main[Data],$A151, Data_main[Segment],$B151, Data_main[Scenario],$B$3)),SUMIFS(INDIRECT("Data_main"&amp;"["&amp;CC$8&amp;"]"),Data_main[Data],$A151, Data_main[Segment],$B151, Data_main[Scenario],$B$3)),SUMIFS(INDIRECT("Data_main"&amp;"["&amp;CC$8&amp;"]"),Data_main[Data],$A151, Data_main[Segment],$B151, Data_main[Scenario],$B$3))</f>
        <v>0</v>
      </c>
      <c r="CD151" s="390">
        <f ca="1">IF($B$6="ON", IF(CD150&gt;=covid_start, IF(CD150&lt;covid_recovery,NA(),SUMIFS(INDIRECT("Data_main"&amp;"["&amp;CD$8&amp;"]"),Data_main[Data],$A151, Data_main[Segment],$B151, Data_main[Scenario],$B$3)),SUMIFS(INDIRECT("Data_main"&amp;"["&amp;CD$8&amp;"]"),Data_main[Data],$A151, Data_main[Segment],$B151, Data_main[Scenario],$B$3)),SUMIFS(INDIRECT("Data_main"&amp;"["&amp;CD$8&amp;"]"),Data_main[Data],$A151, Data_main[Segment],$B151, Data_main[Scenario],$B$3))</f>
        <v>0</v>
      </c>
      <c r="CE151" s="390">
        <f ca="1">IF($B$6="ON", IF(CE150&gt;=covid_start, IF(CE150&lt;covid_recovery,NA(),SUMIFS(INDIRECT("Data_main"&amp;"["&amp;CE$8&amp;"]"),Data_main[Data],$A151, Data_main[Segment],$B151, Data_main[Scenario],$B$3)),SUMIFS(INDIRECT("Data_main"&amp;"["&amp;CE$8&amp;"]"),Data_main[Data],$A151, Data_main[Segment],$B151, Data_main[Scenario],$B$3)),SUMIFS(INDIRECT("Data_main"&amp;"["&amp;CE$8&amp;"]"),Data_main[Data],$A151, Data_main[Segment],$B151, Data_main[Scenario],$B$3))</f>
        <v>0</v>
      </c>
      <c r="CF151" s="390">
        <f ca="1">IF($B$6="ON", IF(CF150&gt;=covid_start, IF(CF150&lt;covid_recovery,NA(),SUMIFS(INDIRECT("Data_main"&amp;"["&amp;CF$8&amp;"]"),Data_main[Data],$A151, Data_main[Segment],$B151, Data_main[Scenario],$B$3)),SUMIFS(INDIRECT("Data_main"&amp;"["&amp;CF$8&amp;"]"),Data_main[Data],$A151, Data_main[Segment],$B151, Data_main[Scenario],$B$3)),SUMIFS(INDIRECT("Data_main"&amp;"["&amp;CF$8&amp;"]"),Data_main[Data],$A151, Data_main[Segment],$B151, Data_main[Scenario],$B$3))</f>
        <v>0</v>
      </c>
      <c r="CG151" s="390">
        <f ca="1">IF($B$6="ON", IF(CG150&gt;=covid_start, IF(CG150&lt;covid_recovery,NA(),SUMIFS(INDIRECT("Data_main"&amp;"["&amp;CG$8&amp;"]"),Data_main[Data],$A151, Data_main[Segment],$B151, Data_main[Scenario],$B$3)),SUMIFS(INDIRECT("Data_main"&amp;"["&amp;CG$8&amp;"]"),Data_main[Data],$A151, Data_main[Segment],$B151, Data_main[Scenario],$B$3)),SUMIFS(INDIRECT("Data_main"&amp;"["&amp;CG$8&amp;"]"),Data_main[Data],$A151, Data_main[Segment],$B151, Data_main[Scenario],$B$3))</f>
        <v>0</v>
      </c>
      <c r="CH151" s="390">
        <f ca="1">IF($B$6="ON", IF(CH150&gt;=covid_start, IF(CH150&lt;covid_recovery,NA(),SUMIFS(INDIRECT("Data_main"&amp;"["&amp;CH$8&amp;"]"),Data_main[Data],$A151, Data_main[Segment],$B151, Data_main[Scenario],$B$3)),SUMIFS(INDIRECT("Data_main"&amp;"["&amp;CH$8&amp;"]"),Data_main[Data],$A151, Data_main[Segment],$B151, Data_main[Scenario],$B$3)),SUMIFS(INDIRECT("Data_main"&amp;"["&amp;CH$8&amp;"]"),Data_main[Data],$A151, Data_main[Segment],$B151, Data_main[Scenario],$B$3))</f>
        <v>0</v>
      </c>
      <c r="CI151" s="390">
        <f ca="1">IF($B$6="ON", IF(CI150&gt;=covid_start, IF(CI150&lt;covid_recovery,NA(),SUMIFS(INDIRECT("Data_main"&amp;"["&amp;CI$8&amp;"]"),Data_main[Data],$A151, Data_main[Segment],$B151, Data_main[Scenario],$B$3)),SUMIFS(INDIRECT("Data_main"&amp;"["&amp;CI$8&amp;"]"),Data_main[Data],$A151, Data_main[Segment],$B151, Data_main[Scenario],$B$3)),SUMIFS(INDIRECT("Data_main"&amp;"["&amp;CI$8&amp;"]"),Data_main[Data],$A151, Data_main[Segment],$B151, Data_main[Scenario],$B$3))</f>
        <v>0</v>
      </c>
      <c r="CJ151" s="390">
        <f ca="1">IF($B$6="ON", IF(CJ150&gt;=covid_start, IF(CJ150&lt;covid_recovery,NA(),SUMIFS(INDIRECT("Data_main"&amp;"["&amp;CJ$8&amp;"]"),Data_main[Data],$A151, Data_main[Segment],$B151, Data_main[Scenario],$B$3)),SUMIFS(INDIRECT("Data_main"&amp;"["&amp;CJ$8&amp;"]"),Data_main[Data],$A151, Data_main[Segment],$B151, Data_main[Scenario],$B$3)),SUMIFS(INDIRECT("Data_main"&amp;"["&amp;CJ$8&amp;"]"),Data_main[Data],$A151, Data_main[Segment],$B151, Data_main[Scenario],$B$3))</f>
        <v>0</v>
      </c>
      <c r="CK151" s="390">
        <f ca="1">IF($B$6="ON", IF(CK150&gt;=covid_start, IF(CK150&lt;covid_recovery,NA(),SUMIFS(INDIRECT("Data_main"&amp;"["&amp;CK$8&amp;"]"),Data_main[Data],$A151, Data_main[Segment],$B151, Data_main[Scenario],$B$3)),SUMIFS(INDIRECT("Data_main"&amp;"["&amp;CK$8&amp;"]"),Data_main[Data],$A151, Data_main[Segment],$B151, Data_main[Scenario],$B$3)),SUMIFS(INDIRECT("Data_main"&amp;"["&amp;CK$8&amp;"]"),Data_main[Data],$A151, Data_main[Segment],$B151, Data_main[Scenario],$B$3))</f>
        <v>0</v>
      </c>
      <c r="CL151" s="390">
        <f ca="1">IF($B$6="ON", IF(CL150&gt;=covid_start, IF(CL150&lt;covid_recovery,NA(),SUMIFS(INDIRECT("Data_main"&amp;"["&amp;CL$8&amp;"]"),Data_main[Data],$A151, Data_main[Segment],$B151, Data_main[Scenario],$B$3)),SUMIFS(INDIRECT("Data_main"&amp;"["&amp;CL$8&amp;"]"),Data_main[Data],$A151, Data_main[Segment],$B151, Data_main[Scenario],$B$3)),SUMIFS(INDIRECT("Data_main"&amp;"["&amp;CL$8&amp;"]"),Data_main[Data],$A151, Data_main[Segment],$B151, Data_main[Scenario],$B$3))</f>
        <v>0</v>
      </c>
      <c r="CN151" s="391">
        <f ca="1">IFERROR((Y151/H151)^(1/17)-1,"")</f>
        <v>-9.5304269845940537E-3</v>
      </c>
      <c r="CO151" s="391">
        <f ca="1">IFERROR((AN151/Y151)^(1/15)-1,"")</f>
        <v>-0.12514646524939466</v>
      </c>
      <c r="CP151" s="391">
        <f ca="1">IFERROR((AN151/H151)^(1/32)-1,"")</f>
        <v>-6.5513997297573789E-2</v>
      </c>
    </row>
    <row r="152" spans="1:94">
      <c r="A152" s="392" t="s">
        <v>157</v>
      </c>
      <c r="B152" s="392" t="str">
        <f t="shared" ref="B152:B153" si="1382">$A$26</f>
        <v>Ded-long</v>
      </c>
      <c r="C152" s="393" t="s">
        <v>311</v>
      </c>
      <c r="D152" s="389"/>
      <c r="E152" s="390">
        <f ca="1">IF($B$6="ON", IF(E150&gt;=covid_start, IF(E150&lt;covid_recovery,NA(),SUMIFS(INDIRECT("Data_main"&amp;"["&amp;E$8&amp;"]"),Data_main[Data],$A152, Data_main[Segment],$B152, Data_main[Scenario],$B$3)),SUMIFS(INDIRECT("Data_main"&amp;"["&amp;E$8&amp;"]"),Data_main[Data],$A152, Data_main[Segment],$B152, Data_main[Scenario],$B$3)),SUMIFS(INDIRECT("Data_main"&amp;"["&amp;E$8&amp;"]"),Data_main[Data],$A152, Data_main[Segment],$B152, Data_main[Scenario],$B$3))</f>
        <v>106.11366620800401</v>
      </c>
      <c r="F152" s="390">
        <f ca="1">IF($B$6="ON", IF(F150&gt;=covid_start, IF(F150&lt;covid_recovery,NA(),SUMIFS(INDIRECT("Data_main"&amp;"["&amp;F$8&amp;"]"),Data_main[Data],$A152, Data_main[Segment],$B152, Data_main[Scenario],$B$3)),SUMIFS(INDIRECT("Data_main"&amp;"["&amp;F$8&amp;"]"),Data_main[Data],$A152, Data_main[Segment],$B152, Data_main[Scenario],$B$3)),SUMIFS(INDIRECT("Data_main"&amp;"["&amp;F$8&amp;"]"),Data_main[Data],$A152, Data_main[Segment],$B152, Data_main[Scenario],$B$3))</f>
        <v>112.90224450195599</v>
      </c>
      <c r="G152" s="390">
        <f ca="1">IF($B$6="ON", IF(G150&gt;=covid_start, IF(G150&lt;covid_recovery,NA(),SUMIFS(INDIRECT("Data_main"&amp;"["&amp;G$8&amp;"]"),Data_main[Data],$A152, Data_main[Segment],$B152, Data_main[Scenario],$B$3)),SUMIFS(INDIRECT("Data_main"&amp;"["&amp;G$8&amp;"]"),Data_main[Data],$A152, Data_main[Segment],$B152, Data_main[Scenario],$B$3)),SUMIFS(INDIRECT("Data_main"&amp;"["&amp;G$8&amp;"]"),Data_main[Data],$A152, Data_main[Segment],$B152, Data_main[Scenario],$B$3))</f>
        <v>119.69082279590801</v>
      </c>
      <c r="H152" s="390">
        <f ca="1">IF($B$6="ON", IF(H150&gt;=covid_start, IF(H150&lt;covid_recovery,NA(),SUMIFS(INDIRECT("Data_main"&amp;"["&amp;H$8&amp;"]"),Data_main[Data],$A152, Data_main[Segment],$B152, Data_main[Scenario],$B$3)),SUMIFS(INDIRECT("Data_main"&amp;"["&amp;H$8&amp;"]"),Data_main[Data],$A152, Data_main[Segment],$B152, Data_main[Scenario],$B$3)),SUMIFS(INDIRECT("Data_main"&amp;"["&amp;H$8&amp;"]"),Data_main[Data],$A152, Data_main[Segment],$B152, Data_main[Scenario],$B$3))</f>
        <v>126.47940108986</v>
      </c>
      <c r="I152" s="390">
        <f ca="1">IF($B$6="ON", IF(I150&gt;=covid_start, IF(I150&lt;covid_recovery,NA(),SUMIFS(INDIRECT("Data_main"&amp;"["&amp;I$8&amp;"]"),Data_main[Data],$A152, Data_main[Segment],$B152, Data_main[Scenario],$B$3)),SUMIFS(INDIRECT("Data_main"&amp;"["&amp;I$8&amp;"]"),Data_main[Data],$A152, Data_main[Segment],$B152, Data_main[Scenario],$B$3)),SUMIFS(INDIRECT("Data_main"&amp;"["&amp;I$8&amp;"]"),Data_main[Data],$A152, Data_main[Segment],$B152, Data_main[Scenario],$B$3))</f>
        <v>109.09092146660889</v>
      </c>
      <c r="J152" s="390" t="e">
        <f ca="1">IF($B$6="ON", IF(J150&gt;=covid_start, IF(J150&lt;covid_recovery,NA(),SUMIFS(INDIRECT("Data_main"&amp;"["&amp;J$8&amp;"]"),Data_main[Data],$A152, Data_main[Segment],$B152, Data_main[Scenario],$B$3)),SUMIFS(INDIRECT("Data_main"&amp;"["&amp;J$8&amp;"]"),Data_main[Data],$A152, Data_main[Segment],$B152, Data_main[Scenario],$B$3)),SUMIFS(INDIRECT("Data_main"&amp;"["&amp;J$8&amp;"]"),Data_main[Data],$A152, Data_main[Segment],$B152, Data_main[Scenario],$B$3))</f>
        <v>#N/A</v>
      </c>
      <c r="K152" s="390" t="e">
        <f ca="1">IF($B$6="ON", IF(K150&gt;=covid_start, IF(K150&lt;covid_recovery,NA(),SUMIFS(INDIRECT("Data_main"&amp;"["&amp;K$8&amp;"]"),Data_main[Data],$A152, Data_main[Segment],$B152, Data_main[Scenario],$B$3)),SUMIFS(INDIRECT("Data_main"&amp;"["&amp;K$8&amp;"]"),Data_main[Data],$A152, Data_main[Segment],$B152, Data_main[Scenario],$B$3)),SUMIFS(INDIRECT("Data_main"&amp;"["&amp;K$8&amp;"]"),Data_main[Data],$A152, Data_main[Segment],$B152, Data_main[Scenario],$B$3))</f>
        <v>#N/A</v>
      </c>
      <c r="L152" s="390" t="e">
        <f ca="1">IF($B$6="ON", IF(L150&gt;=covid_start, IF(L150&lt;covid_recovery,NA(),SUMIFS(INDIRECT("Data_main"&amp;"["&amp;L$8&amp;"]"),Data_main[Data],$A152, Data_main[Segment],$B152, Data_main[Scenario],$B$3)),SUMIFS(INDIRECT("Data_main"&amp;"["&amp;L$8&amp;"]"),Data_main[Data],$A152, Data_main[Segment],$B152, Data_main[Scenario],$B$3)),SUMIFS(INDIRECT("Data_main"&amp;"["&amp;L$8&amp;"]"),Data_main[Data],$A152, Data_main[Segment],$B152, Data_main[Scenario],$B$3))</f>
        <v>#N/A</v>
      </c>
      <c r="M152" s="390">
        <f ca="1">IF($B$6="ON", IF(M150&gt;=covid_start, IF(M150&lt;covid_recovery,NA(),SUMIFS(INDIRECT("Data_main"&amp;"["&amp;M$8&amp;"]"),Data_main[Data],$A152, Data_main[Segment],$B152, Data_main[Scenario],$B$3)),SUMIFS(INDIRECT("Data_main"&amp;"["&amp;M$8&amp;"]"),Data_main[Data],$A152, Data_main[Segment],$B152, Data_main[Scenario],$B$3)),SUMIFS(INDIRECT("Data_main"&amp;"["&amp;M$8&amp;"]"),Data_main[Data],$A152, Data_main[Segment],$B152, Data_main[Scenario],$B$3))</f>
        <v>129.60266679884435</v>
      </c>
      <c r="N152" s="390">
        <f ca="1">IF($B$6="ON", IF(N150&gt;=covid_start, IF(N150&lt;covid_recovery,NA(),SUMIFS(INDIRECT("Data_main"&amp;"["&amp;N$8&amp;"]"),Data_main[Data],$A152, Data_main[Segment],$B152, Data_main[Scenario],$B$3)),SUMIFS(INDIRECT("Data_main"&amp;"["&amp;N$8&amp;"]"),Data_main[Data],$A152, Data_main[Segment],$B152, Data_main[Scenario],$B$3)),SUMIFS(INDIRECT("Data_main"&amp;"["&amp;N$8&amp;"]"),Data_main[Data],$A152, Data_main[Segment],$B152, Data_main[Scenario],$B$3))</f>
        <v>135.233157873804</v>
      </c>
      <c r="O152" s="390">
        <f ca="1">IF($B$6="ON", IF(O150&gt;=covid_start, IF(O150&lt;covid_recovery,NA(),SUMIFS(INDIRECT("Data_main"&amp;"["&amp;O$8&amp;"]"),Data_main[Data],$A152, Data_main[Segment],$B152, Data_main[Scenario],$B$3)),SUMIFS(INDIRECT("Data_main"&amp;"["&amp;O$8&amp;"]"),Data_main[Data],$A152, Data_main[Segment],$B152, Data_main[Scenario],$B$3)),SUMIFS(INDIRECT("Data_main"&amp;"["&amp;O$8&amp;"]"),Data_main[Data],$A152, Data_main[Segment],$B152, Data_main[Scenario],$B$3))</f>
        <v>141.08128901752337</v>
      </c>
      <c r="P152" s="390">
        <f ca="1">IF($B$6="ON", IF(P150&gt;=covid_start, IF(P150&lt;covid_recovery,NA(),SUMIFS(INDIRECT("Data_main"&amp;"["&amp;P$8&amp;"]"),Data_main[Data],$A152, Data_main[Segment],$B152, Data_main[Scenario],$B$3)),SUMIFS(INDIRECT("Data_main"&amp;"["&amp;P$8&amp;"]"),Data_main[Data],$A152, Data_main[Segment],$B152, Data_main[Scenario],$B$3)),SUMIFS(INDIRECT("Data_main"&amp;"["&amp;P$8&amp;"]"),Data_main[Data],$A152, Data_main[Segment],$B152, Data_main[Scenario],$B$3))</f>
        <v>147.15491254563372</v>
      </c>
      <c r="Q152" s="390">
        <f ca="1">IF($B$6="ON", IF(Q150&gt;=covid_start, IF(Q150&lt;covid_recovery,NA(),SUMIFS(INDIRECT("Data_main"&amp;"["&amp;Q$8&amp;"]"),Data_main[Data],$A152, Data_main[Segment],$B152, Data_main[Scenario],$B$3)),SUMIFS(INDIRECT("Data_main"&amp;"["&amp;Q$8&amp;"]"),Data_main[Data],$A152, Data_main[Segment],$B152, Data_main[Scenario],$B$3)),SUMIFS(INDIRECT("Data_main"&amp;"["&amp;Q$8&amp;"]"),Data_main[Data],$A152, Data_main[Segment],$B152, Data_main[Scenario],$B$3))</f>
        <v>153.47884810882991</v>
      </c>
      <c r="R152" s="390">
        <f ca="1">IF($B$6="ON", IF(R150&gt;=covid_start, IF(R150&lt;covid_recovery,NA(),SUMIFS(INDIRECT("Data_main"&amp;"["&amp;R$8&amp;"]"),Data_main[Data],$A152, Data_main[Segment],$B152, Data_main[Scenario],$B$3)),SUMIFS(INDIRECT("Data_main"&amp;"["&amp;R$8&amp;"]"),Data_main[Data],$A152, Data_main[Segment],$B152, Data_main[Scenario],$B$3)),SUMIFS(INDIRECT("Data_main"&amp;"["&amp;R$8&amp;"]"),Data_main[Data],$A152, Data_main[Segment],$B152, Data_main[Scenario],$B$3))</f>
        <v>160.06412833085949</v>
      </c>
      <c r="S152" s="390">
        <f ca="1">IF($B$6="ON", IF(S150&gt;=covid_start, IF(S150&lt;covid_recovery,NA(),SUMIFS(INDIRECT("Data_main"&amp;"["&amp;S$8&amp;"]"),Data_main[Data],$A152, Data_main[Segment],$B152, Data_main[Scenario],$B$3)),SUMIFS(INDIRECT("Data_main"&amp;"["&amp;S$8&amp;"]"),Data_main[Data],$A152, Data_main[Segment],$B152, Data_main[Scenario],$B$3)),SUMIFS(INDIRECT("Data_main"&amp;"["&amp;S$8&amp;"]"),Data_main[Data],$A152, Data_main[Segment],$B152, Data_main[Scenario],$B$3))</f>
        <v>166.92238226830256</v>
      </c>
      <c r="T152" s="390">
        <f ca="1">IF($B$6="ON", IF(T150&gt;=covid_start, IF(T150&lt;covid_recovery,NA(),SUMIFS(INDIRECT("Data_main"&amp;"["&amp;T$8&amp;"]"),Data_main[Data],$A152, Data_main[Segment],$B152, Data_main[Scenario],$B$3)),SUMIFS(INDIRECT("Data_main"&amp;"["&amp;T$8&amp;"]"),Data_main[Data],$A152, Data_main[Segment],$B152, Data_main[Scenario],$B$3)),SUMIFS(INDIRECT("Data_main"&amp;"["&amp;T$8&amp;"]"),Data_main[Data],$A152, Data_main[Segment],$B152, Data_main[Scenario],$B$3))</f>
        <v>174.06558130739867</v>
      </c>
      <c r="U152" s="390">
        <f ca="1">IF($B$6="ON", IF(U150&gt;=covid_start, IF(U150&lt;covid_recovery,NA(),SUMIFS(INDIRECT("Data_main"&amp;"["&amp;U$8&amp;"]"),Data_main[Data],$A152, Data_main[Segment],$B152, Data_main[Scenario],$B$3)),SUMIFS(INDIRECT("Data_main"&amp;"["&amp;U$8&amp;"]"),Data_main[Data],$A152, Data_main[Segment],$B152, Data_main[Scenario],$B$3)),SUMIFS(INDIRECT("Data_main"&amp;"["&amp;U$8&amp;"]"),Data_main[Data],$A152, Data_main[Segment],$B152, Data_main[Scenario],$B$3))</f>
        <v>181.54858635381194</v>
      </c>
      <c r="V152" s="390">
        <f ca="1">IF($B$6="ON", IF(V150&gt;=covid_start, IF(V150&lt;covid_recovery,NA(),SUMIFS(INDIRECT("Data_main"&amp;"["&amp;V$8&amp;"]"),Data_main[Data],$A152, Data_main[Segment],$B152, Data_main[Scenario],$B$3)),SUMIFS(INDIRECT("Data_main"&amp;"["&amp;V$8&amp;"]"),Data_main[Data],$A152, Data_main[Segment],$B152, Data_main[Scenario],$B$3)),SUMIFS(INDIRECT("Data_main"&amp;"["&amp;V$8&amp;"]"),Data_main[Data],$A152, Data_main[Segment],$B152, Data_main[Scenario],$B$3))</f>
        <v>189.34153354024636</v>
      </c>
      <c r="W152" s="390">
        <f ca="1">IF($B$6="ON", IF(W150&gt;=covid_start, IF(W150&lt;covid_recovery,NA(),SUMIFS(INDIRECT("Data_main"&amp;"["&amp;W$8&amp;"]"),Data_main[Data],$A152, Data_main[Segment],$B152, Data_main[Scenario],$B$3)),SUMIFS(INDIRECT("Data_main"&amp;"["&amp;W$8&amp;"]"),Data_main[Data],$A152, Data_main[Segment],$B152, Data_main[Scenario],$B$3)),SUMIFS(INDIRECT("Data_main"&amp;"["&amp;W$8&amp;"]"),Data_main[Data],$A152, Data_main[Segment],$B152, Data_main[Scenario],$B$3))</f>
        <v>197.45125190505897</v>
      </c>
      <c r="X152" s="390">
        <f ca="1">IF($B$6="ON", IF(X150&gt;=covid_start, IF(X150&lt;covid_recovery,NA(),SUMIFS(INDIRECT("Data_main"&amp;"["&amp;X$8&amp;"]"),Data_main[Data],$A152, Data_main[Segment],$B152, Data_main[Scenario],$B$3)),SUMIFS(INDIRECT("Data_main"&amp;"["&amp;X$8&amp;"]"),Data_main[Data],$A152, Data_main[Segment],$B152, Data_main[Scenario],$B$3)),SUMIFS(INDIRECT("Data_main"&amp;"["&amp;X$8&amp;"]"),Data_main[Data],$A152, Data_main[Segment],$B152, Data_main[Scenario],$B$3))</f>
        <v>205.88509035010372</v>
      </c>
      <c r="Y152" s="390">
        <f ca="1">IF($B$6="ON", IF(Y150&gt;=covid_start, IF(Y150&lt;covid_recovery,NA(),SUMIFS(INDIRECT("Data_main"&amp;"["&amp;Y$8&amp;"]"),Data_main[Data],$A152, Data_main[Segment],$B152, Data_main[Scenario],$B$3)),SUMIFS(INDIRECT("Data_main"&amp;"["&amp;Y$8&amp;"]"),Data_main[Data],$A152, Data_main[Segment],$B152, Data_main[Scenario],$B$3)),SUMIFS(INDIRECT("Data_main"&amp;"["&amp;Y$8&amp;"]"),Data_main[Data],$A152, Data_main[Segment],$B152, Data_main[Scenario],$B$3))</f>
        <v>215.01107224220533</v>
      </c>
      <c r="Z152" s="390">
        <f ca="1">IF($B$6="ON", IF(Z150&gt;=covid_start, IF(Z150&lt;covid_recovery,NA(),SUMIFS(INDIRECT("Data_main"&amp;"["&amp;Z$8&amp;"]"),Data_main[Data],$A152, Data_main[Segment],$B152, Data_main[Scenario],$B$3)),SUMIFS(INDIRECT("Data_main"&amp;"["&amp;Z$8&amp;"]"),Data_main[Data],$A152, Data_main[Segment],$B152, Data_main[Scenario],$B$3)),SUMIFS(INDIRECT("Data_main"&amp;"["&amp;Z$8&amp;"]"),Data_main[Data],$A152, Data_main[Segment],$B152, Data_main[Scenario],$B$3))</f>
        <v>224.56800121578098</v>
      </c>
      <c r="AA152" s="390">
        <f ca="1">IF($B$6="ON", IF(AA150&gt;=covid_start, IF(AA150&lt;covid_recovery,NA(),SUMIFS(INDIRECT("Data_main"&amp;"["&amp;AA$8&amp;"]"),Data_main[Data],$A152, Data_main[Segment],$B152, Data_main[Scenario],$B$3)),SUMIFS(INDIRECT("Data_main"&amp;"["&amp;AA$8&amp;"]"),Data_main[Data],$A152, Data_main[Segment],$B152, Data_main[Scenario],$B$3)),SUMIFS(INDIRECT("Data_main"&amp;"["&amp;AA$8&amp;"]"),Data_main[Data],$A152, Data_main[Segment],$B152, Data_main[Scenario],$B$3))</f>
        <v>234.58360737254534</v>
      </c>
      <c r="AB152" s="390">
        <f ca="1">IF($B$6="ON", IF(AB150&gt;=covid_start, IF(AB150&lt;covid_recovery,NA(),SUMIFS(INDIRECT("Data_main"&amp;"["&amp;AB$8&amp;"]"),Data_main[Data],$A152, Data_main[Segment],$B152, Data_main[Scenario],$B$3)),SUMIFS(INDIRECT("Data_main"&amp;"["&amp;AB$8&amp;"]"),Data_main[Data],$A152, Data_main[Segment],$B152, Data_main[Scenario],$B$3)),SUMIFS(INDIRECT("Data_main"&amp;"["&amp;AB$8&amp;"]"),Data_main[Data],$A152, Data_main[Segment],$B152, Data_main[Scenario],$B$3))</f>
        <v>245.07286566826883</v>
      </c>
      <c r="AC152" s="390">
        <f ca="1">IF($B$6="ON", IF(AC150&gt;=covid_start, IF(AC150&lt;covid_recovery,NA(),SUMIFS(INDIRECT("Data_main"&amp;"["&amp;AC$8&amp;"]"),Data_main[Data],$A152, Data_main[Segment],$B152, Data_main[Scenario],$B$3)),SUMIFS(INDIRECT("Data_main"&amp;"["&amp;AC$8&amp;"]"),Data_main[Data],$A152, Data_main[Segment],$B152, Data_main[Scenario],$B$3)),SUMIFS(INDIRECT("Data_main"&amp;"["&amp;AC$8&amp;"]"),Data_main[Data],$A152, Data_main[Segment],$B152, Data_main[Scenario],$B$3))</f>
        <v>256.05068517112272</v>
      </c>
      <c r="AD152" s="390">
        <f ca="1">IF($B$6="ON", IF(AD150&gt;=covid_start, IF(AD150&lt;covid_recovery,NA(),SUMIFS(INDIRECT("Data_main"&amp;"["&amp;AD$8&amp;"]"),Data_main[Data],$A152, Data_main[Segment],$B152, Data_main[Scenario],$B$3)),SUMIFS(INDIRECT("Data_main"&amp;"["&amp;AD$8&amp;"]"),Data_main[Data],$A152, Data_main[Segment],$B152, Data_main[Scenario],$B$3)),SUMIFS(INDIRECT("Data_main"&amp;"["&amp;AD$8&amp;"]"),Data_main[Data],$A152, Data_main[Segment],$B152, Data_main[Scenario],$B$3))</f>
        <v>267.5322770909807</v>
      </c>
      <c r="AE152" s="390">
        <f ca="1">IF($B$6="ON", IF(AE150&gt;=covid_start, IF(AE150&lt;covid_recovery,NA(),SUMIFS(INDIRECT("Data_main"&amp;"["&amp;AE$8&amp;"]"),Data_main[Data],$A152, Data_main[Segment],$B152, Data_main[Scenario],$B$3)),SUMIFS(INDIRECT("Data_main"&amp;"["&amp;AE$8&amp;"]"),Data_main[Data],$A152, Data_main[Segment],$B152, Data_main[Scenario],$B$3)),SUMIFS(INDIRECT("Data_main"&amp;"["&amp;AE$8&amp;"]"),Data_main[Data],$A152, Data_main[Segment],$B152, Data_main[Scenario],$B$3))</f>
        <v>279.53359425169089</v>
      </c>
      <c r="AF152" s="390">
        <f ca="1">IF($B$6="ON", IF(AF150&gt;=covid_start, IF(AF150&lt;covid_recovery,NA(),SUMIFS(INDIRECT("Data_main"&amp;"["&amp;AF$8&amp;"]"),Data_main[Data],$A152, Data_main[Segment],$B152, Data_main[Scenario],$B$3)),SUMIFS(INDIRECT("Data_main"&amp;"["&amp;AF$8&amp;"]"),Data_main[Data],$A152, Data_main[Segment],$B152, Data_main[Scenario],$B$3)),SUMIFS(INDIRECT("Data_main"&amp;"["&amp;AF$8&amp;"]"),Data_main[Data],$A152, Data_main[Segment],$B152, Data_main[Scenario],$B$3))</f>
        <v>292.07099041782755</v>
      </c>
      <c r="AG152" s="390">
        <f ca="1">IF($B$6="ON", IF(AG150&gt;=covid_start, IF(AG150&lt;covid_recovery,NA(),SUMIFS(INDIRECT("Data_main"&amp;"["&amp;AG$8&amp;"]"),Data_main[Data],$A152, Data_main[Segment],$B152, Data_main[Scenario],$B$3)),SUMIFS(INDIRECT("Data_main"&amp;"["&amp;AG$8&amp;"]"),Data_main[Data],$A152, Data_main[Segment],$B152, Data_main[Scenario],$B$3)),SUMIFS(INDIRECT("Data_main"&amp;"["&amp;AG$8&amp;"]"),Data_main[Data],$A152, Data_main[Segment],$B152, Data_main[Scenario],$B$3))</f>
        <v>305.1624138605934</v>
      </c>
      <c r="AH152" s="390">
        <f ca="1">IF($B$6="ON", IF(AH150&gt;=covid_start, IF(AH150&lt;covid_recovery,NA(),SUMIFS(INDIRECT("Data_main"&amp;"["&amp;AH$8&amp;"]"),Data_main[Data],$A152, Data_main[Segment],$B152, Data_main[Scenario],$B$3)),SUMIFS(INDIRECT("Data_main"&amp;"["&amp;AH$8&amp;"]"),Data_main[Data],$A152, Data_main[Segment],$B152, Data_main[Scenario],$B$3)),SUMIFS(INDIRECT("Data_main"&amp;"["&amp;AH$8&amp;"]"),Data_main[Data],$A152, Data_main[Segment],$B152, Data_main[Scenario],$B$3))</f>
        <v>318.82742687683981</v>
      </c>
      <c r="AI152" s="390">
        <f ca="1">IF($B$6="ON", IF(AI150&gt;=covid_start, IF(AI150&lt;covid_recovery,NA(),SUMIFS(INDIRECT("Data_main"&amp;"["&amp;AI$8&amp;"]"),Data_main[Data],$A152, Data_main[Segment],$B152, Data_main[Scenario],$B$3)),SUMIFS(INDIRECT("Data_main"&amp;"["&amp;AI$8&amp;"]"),Data_main[Data],$A152, Data_main[Segment],$B152, Data_main[Scenario],$B$3)),SUMIFS(INDIRECT("Data_main"&amp;"["&amp;AI$8&amp;"]"),Data_main[Data],$A152, Data_main[Segment],$B152, Data_main[Scenario],$B$3))</f>
        <v>333.08709599436179</v>
      </c>
      <c r="AJ152" s="390">
        <f ca="1">IF($B$6="ON", IF(AJ150&gt;=covid_start, IF(AJ150&lt;covid_recovery,NA(),SUMIFS(INDIRECT("Data_main"&amp;"["&amp;AJ$8&amp;"]"),Data_main[Data],$A152, Data_main[Segment],$B152, Data_main[Scenario],$B$3)),SUMIFS(INDIRECT("Data_main"&amp;"["&amp;AJ$8&amp;"]"),Data_main[Data],$A152, Data_main[Segment],$B152, Data_main[Scenario],$B$3)),SUMIFS(INDIRECT("Data_main"&amp;"["&amp;AJ$8&amp;"]"),Data_main[Data],$A152, Data_main[Segment],$B152, Data_main[Scenario],$B$3))</f>
        <v>347.96369221620006</v>
      </c>
      <c r="AK152" s="390">
        <f ca="1">IF($B$6="ON", IF(AK150&gt;=covid_start, IF(AK150&lt;covid_recovery,NA(),SUMIFS(INDIRECT("Data_main"&amp;"["&amp;AK$8&amp;"]"),Data_main[Data],$A152, Data_main[Segment],$B152, Data_main[Scenario],$B$3)),SUMIFS(INDIRECT("Data_main"&amp;"["&amp;AK$8&amp;"]"),Data_main[Data],$A152, Data_main[Segment],$B152, Data_main[Scenario],$B$3)),SUMIFS(INDIRECT("Data_main"&amp;"["&amp;AK$8&amp;"]"),Data_main[Data],$A152, Data_main[Segment],$B152, Data_main[Scenario],$B$3))</f>
        <v>363.48024134952078</v>
      </c>
      <c r="AL152" s="390">
        <f ca="1">IF($B$6="ON", IF(AL150&gt;=covid_start, IF(AL150&lt;covid_recovery,NA(),SUMIFS(INDIRECT("Data_main"&amp;"["&amp;AL$8&amp;"]"),Data_main[Data],$A152, Data_main[Segment],$B152, Data_main[Scenario],$B$3)),SUMIFS(INDIRECT("Data_main"&amp;"["&amp;AL$8&amp;"]"),Data_main[Data],$A152, Data_main[Segment],$B152, Data_main[Scenario],$B$3)),SUMIFS(INDIRECT("Data_main"&amp;"["&amp;AL$8&amp;"]"),Data_main[Data],$A152, Data_main[Segment],$B152, Data_main[Scenario],$B$3))</f>
        <v>379.66005304747978</v>
      </c>
      <c r="AM152" s="390">
        <f ca="1">IF($B$6="ON", IF(AM150&gt;=covid_start, IF(AM150&lt;covid_recovery,NA(),SUMIFS(INDIRECT("Data_main"&amp;"["&amp;AM$8&amp;"]"),Data_main[Data],$A152, Data_main[Segment],$B152, Data_main[Scenario],$B$3)),SUMIFS(INDIRECT("Data_main"&amp;"["&amp;AM$8&amp;"]"),Data_main[Data],$A152, Data_main[Segment],$B152, Data_main[Scenario],$B$3)),SUMIFS(INDIRECT("Data_main"&amp;"["&amp;AM$8&amp;"]"),Data_main[Data],$A152, Data_main[Segment],$B152, Data_main[Scenario],$B$3))</f>
        <v>396.52617799943516</v>
      </c>
      <c r="AN152" s="390">
        <f ca="1">IF($B$6="ON", IF(AN150&gt;=covid_start, IF(AN150&lt;covid_recovery,NA(),SUMIFS(INDIRECT("Data_main"&amp;"["&amp;AN$8&amp;"]"),Data_main[Data],$A152, Data_main[Segment],$B152, Data_main[Scenario],$B$3)),SUMIFS(INDIRECT("Data_main"&amp;"["&amp;AN$8&amp;"]"),Data_main[Data],$A152, Data_main[Segment],$B152, Data_main[Scenario],$B$3)),SUMIFS(INDIRECT("Data_main"&amp;"["&amp;AN$8&amp;"]"),Data_main[Data],$A152, Data_main[Segment],$B152, Data_main[Scenario],$B$3))</f>
        <v>414.0883135383786</v>
      </c>
      <c r="AO152" s="390">
        <f ca="1">IF($B$6="ON", IF(AO150&gt;=covid_start, IF(AO150&lt;covid_recovery,NA(),SUMIFS(INDIRECT("Data_main"&amp;"["&amp;AO$8&amp;"]"),Data_main[Data],$A152, Data_main[Segment],$B152, Data_main[Scenario],$B$3)),SUMIFS(INDIRECT("Data_main"&amp;"["&amp;AO$8&amp;"]"),Data_main[Data],$A152, Data_main[Segment],$B152, Data_main[Scenario],$B$3)),SUMIFS(INDIRECT("Data_main"&amp;"["&amp;AO$8&amp;"]"),Data_main[Data],$A152, Data_main[Segment],$B152, Data_main[Scenario],$B$3))</f>
        <v>0</v>
      </c>
      <c r="AP152" s="390">
        <f ca="1">IF($B$6="ON", IF(AP150&gt;=covid_start, IF(AP150&lt;covid_recovery,NA(),SUMIFS(INDIRECT("Data_main"&amp;"["&amp;AP$8&amp;"]"),Data_main[Data],$A152, Data_main[Segment],$B152, Data_main[Scenario],$B$3)),SUMIFS(INDIRECT("Data_main"&amp;"["&amp;AP$8&amp;"]"),Data_main[Data],$A152, Data_main[Segment],$B152, Data_main[Scenario],$B$3)),SUMIFS(INDIRECT("Data_main"&amp;"["&amp;AP$8&amp;"]"),Data_main[Data],$A152, Data_main[Segment],$B152, Data_main[Scenario],$B$3))</f>
        <v>0</v>
      </c>
      <c r="AQ152" s="390">
        <f ca="1">IF($B$6="ON", IF(AQ150&gt;=covid_start, IF(AQ150&lt;covid_recovery,NA(),SUMIFS(INDIRECT("Data_main"&amp;"["&amp;AQ$8&amp;"]"),Data_main[Data],$A152, Data_main[Segment],$B152, Data_main[Scenario],$B$3)),SUMIFS(INDIRECT("Data_main"&amp;"["&amp;AQ$8&amp;"]"),Data_main[Data],$A152, Data_main[Segment],$B152, Data_main[Scenario],$B$3)),SUMIFS(INDIRECT("Data_main"&amp;"["&amp;AQ$8&amp;"]"),Data_main[Data],$A152, Data_main[Segment],$B152, Data_main[Scenario],$B$3))</f>
        <v>0</v>
      </c>
      <c r="AR152" s="390">
        <f ca="1">IF($B$6="ON", IF(AR150&gt;=covid_start, IF(AR150&lt;covid_recovery,NA(),SUMIFS(INDIRECT("Data_main"&amp;"["&amp;AR$8&amp;"]"),Data_main[Data],$A152, Data_main[Segment],$B152, Data_main[Scenario],$B$3)),SUMIFS(INDIRECT("Data_main"&amp;"["&amp;AR$8&amp;"]"),Data_main[Data],$A152, Data_main[Segment],$B152, Data_main[Scenario],$B$3)),SUMIFS(INDIRECT("Data_main"&amp;"["&amp;AR$8&amp;"]"),Data_main[Data],$A152, Data_main[Segment],$B152, Data_main[Scenario],$B$3))</f>
        <v>0</v>
      </c>
      <c r="AS152" s="390">
        <f ca="1">IF($B$6="ON", IF(AS150&gt;=covid_start, IF(AS150&lt;covid_recovery,NA(),SUMIFS(INDIRECT("Data_main"&amp;"["&amp;AS$8&amp;"]"),Data_main[Data],$A152, Data_main[Segment],$B152, Data_main[Scenario],$B$3)),SUMIFS(INDIRECT("Data_main"&amp;"["&amp;AS$8&amp;"]"),Data_main[Data],$A152, Data_main[Segment],$B152, Data_main[Scenario],$B$3)),SUMIFS(INDIRECT("Data_main"&amp;"["&amp;AS$8&amp;"]"),Data_main[Data],$A152, Data_main[Segment],$B152, Data_main[Scenario],$B$3))</f>
        <v>0</v>
      </c>
      <c r="AT152" s="390">
        <f ca="1">IF($B$6="ON", IF(AT150&gt;=covid_start, IF(AT150&lt;covid_recovery,NA(),SUMIFS(INDIRECT("Data_main"&amp;"["&amp;AT$8&amp;"]"),Data_main[Data],$A152, Data_main[Segment],$B152, Data_main[Scenario],$B$3)),SUMIFS(INDIRECT("Data_main"&amp;"["&amp;AT$8&amp;"]"),Data_main[Data],$A152, Data_main[Segment],$B152, Data_main[Scenario],$B$3)),SUMIFS(INDIRECT("Data_main"&amp;"["&amp;AT$8&amp;"]"),Data_main[Data],$A152, Data_main[Segment],$B152, Data_main[Scenario],$B$3))</f>
        <v>0</v>
      </c>
      <c r="AU152" s="390">
        <f ca="1">IF($B$6="ON", IF(AU150&gt;=covid_start, IF(AU150&lt;covid_recovery,NA(),SUMIFS(INDIRECT("Data_main"&amp;"["&amp;AU$8&amp;"]"),Data_main[Data],$A152, Data_main[Segment],$B152, Data_main[Scenario],$B$3)),SUMIFS(INDIRECT("Data_main"&amp;"["&amp;AU$8&amp;"]"),Data_main[Data],$A152, Data_main[Segment],$B152, Data_main[Scenario],$B$3)),SUMIFS(INDIRECT("Data_main"&amp;"["&amp;AU$8&amp;"]"),Data_main[Data],$A152, Data_main[Segment],$B152, Data_main[Scenario],$B$3))</f>
        <v>0</v>
      </c>
      <c r="AV152" s="390">
        <f ca="1">IF($B$6="ON", IF(AV150&gt;=covid_start, IF(AV150&lt;covid_recovery,NA(),SUMIFS(INDIRECT("Data_main"&amp;"["&amp;AV$8&amp;"]"),Data_main[Data],$A152, Data_main[Segment],$B152, Data_main[Scenario],$B$3)),SUMIFS(INDIRECT("Data_main"&amp;"["&amp;AV$8&amp;"]"),Data_main[Data],$A152, Data_main[Segment],$B152, Data_main[Scenario],$B$3)),SUMIFS(INDIRECT("Data_main"&amp;"["&amp;AV$8&amp;"]"),Data_main[Data],$A152, Data_main[Segment],$B152, Data_main[Scenario],$B$3))</f>
        <v>0</v>
      </c>
      <c r="AW152" s="390">
        <f ca="1">IF($B$6="ON", IF(AW150&gt;=covid_start, IF(AW150&lt;covid_recovery,NA(),SUMIFS(INDIRECT("Data_main"&amp;"["&amp;AW$8&amp;"]"),Data_main[Data],$A152, Data_main[Segment],$B152, Data_main[Scenario],$B$3)),SUMIFS(INDIRECT("Data_main"&amp;"["&amp;AW$8&amp;"]"),Data_main[Data],$A152, Data_main[Segment],$B152, Data_main[Scenario],$B$3)),SUMIFS(INDIRECT("Data_main"&amp;"["&amp;AW$8&amp;"]"),Data_main[Data],$A152, Data_main[Segment],$B152, Data_main[Scenario],$B$3))</f>
        <v>0</v>
      </c>
      <c r="AX152" s="390">
        <f ca="1">IF($B$6="ON", IF(AX150&gt;=covid_start, IF(AX150&lt;covid_recovery,NA(),SUMIFS(INDIRECT("Data_main"&amp;"["&amp;AX$8&amp;"]"),Data_main[Data],$A152, Data_main[Segment],$B152, Data_main[Scenario],$B$3)),SUMIFS(INDIRECT("Data_main"&amp;"["&amp;AX$8&amp;"]"),Data_main[Data],$A152, Data_main[Segment],$B152, Data_main[Scenario],$B$3)),SUMIFS(INDIRECT("Data_main"&amp;"["&amp;AX$8&amp;"]"),Data_main[Data],$A152, Data_main[Segment],$B152, Data_main[Scenario],$B$3))</f>
        <v>0</v>
      </c>
      <c r="AY152" s="390">
        <f ca="1">IF($B$6="ON", IF(AY150&gt;=covid_start, IF(AY150&lt;covid_recovery,NA(),SUMIFS(INDIRECT("Data_main"&amp;"["&amp;AY$8&amp;"]"),Data_main[Data],$A152, Data_main[Segment],$B152, Data_main[Scenario],$B$3)),SUMIFS(INDIRECT("Data_main"&amp;"["&amp;AY$8&amp;"]"),Data_main[Data],$A152, Data_main[Segment],$B152, Data_main[Scenario],$B$3)),SUMIFS(INDIRECT("Data_main"&amp;"["&amp;AY$8&amp;"]"),Data_main[Data],$A152, Data_main[Segment],$B152, Data_main[Scenario],$B$3))</f>
        <v>0</v>
      </c>
      <c r="AZ152" s="390">
        <f ca="1">IF($B$6="ON", IF(AZ150&gt;=covid_start, IF(AZ150&lt;covid_recovery,NA(),SUMIFS(INDIRECT("Data_main"&amp;"["&amp;AZ$8&amp;"]"),Data_main[Data],$A152, Data_main[Segment],$B152, Data_main[Scenario],$B$3)),SUMIFS(INDIRECT("Data_main"&amp;"["&amp;AZ$8&amp;"]"),Data_main[Data],$A152, Data_main[Segment],$B152, Data_main[Scenario],$B$3)),SUMIFS(INDIRECT("Data_main"&amp;"["&amp;AZ$8&amp;"]"),Data_main[Data],$A152, Data_main[Segment],$B152, Data_main[Scenario],$B$3))</f>
        <v>0</v>
      </c>
      <c r="BA152" s="390">
        <f ca="1">IF($B$6="ON", IF(BA150&gt;=covid_start, IF(BA150&lt;covid_recovery,NA(),SUMIFS(INDIRECT("Data_main"&amp;"["&amp;BA$8&amp;"]"),Data_main[Data],$A152, Data_main[Segment],$B152, Data_main[Scenario],$B$3)),SUMIFS(INDIRECT("Data_main"&amp;"["&amp;BA$8&amp;"]"),Data_main[Data],$A152, Data_main[Segment],$B152, Data_main[Scenario],$B$3)),SUMIFS(INDIRECT("Data_main"&amp;"["&amp;BA$8&amp;"]"),Data_main[Data],$A152, Data_main[Segment],$B152, Data_main[Scenario],$B$3))</f>
        <v>0</v>
      </c>
      <c r="BB152" s="390">
        <f ca="1">IF($B$6="ON", IF(BB150&gt;=covid_start, IF(BB150&lt;covid_recovery,NA(),SUMIFS(INDIRECT("Data_main"&amp;"["&amp;BB$8&amp;"]"),Data_main[Data],$A152, Data_main[Segment],$B152, Data_main[Scenario],$B$3)),SUMIFS(INDIRECT("Data_main"&amp;"["&amp;BB$8&amp;"]"),Data_main[Data],$A152, Data_main[Segment],$B152, Data_main[Scenario],$B$3)),SUMIFS(INDIRECT("Data_main"&amp;"["&amp;BB$8&amp;"]"),Data_main[Data],$A152, Data_main[Segment],$B152, Data_main[Scenario],$B$3))</f>
        <v>0</v>
      </c>
      <c r="BC152" s="390">
        <f ca="1">IF($B$6="ON", IF(BC150&gt;=covid_start, IF(BC150&lt;covid_recovery,NA(),SUMIFS(INDIRECT("Data_main"&amp;"["&amp;BC$8&amp;"]"),Data_main[Data],$A152, Data_main[Segment],$B152, Data_main[Scenario],$B$3)),SUMIFS(INDIRECT("Data_main"&amp;"["&amp;BC$8&amp;"]"),Data_main[Data],$A152, Data_main[Segment],$B152, Data_main[Scenario],$B$3)),SUMIFS(INDIRECT("Data_main"&amp;"["&amp;BC$8&amp;"]"),Data_main[Data],$A152, Data_main[Segment],$B152, Data_main[Scenario],$B$3))</f>
        <v>0</v>
      </c>
      <c r="BD152" s="390">
        <f ca="1">IF($B$6="ON", IF(BD150&gt;=covid_start, IF(BD150&lt;covid_recovery,NA(),SUMIFS(INDIRECT("Data_main"&amp;"["&amp;BD$8&amp;"]"),Data_main[Data],$A152, Data_main[Segment],$B152, Data_main[Scenario],$B$3)),SUMIFS(INDIRECT("Data_main"&amp;"["&amp;BD$8&amp;"]"),Data_main[Data],$A152, Data_main[Segment],$B152, Data_main[Scenario],$B$3)),SUMIFS(INDIRECT("Data_main"&amp;"["&amp;BD$8&amp;"]"),Data_main[Data],$A152, Data_main[Segment],$B152, Data_main[Scenario],$B$3))</f>
        <v>0</v>
      </c>
      <c r="BE152" s="390">
        <f ca="1">IF($B$6="ON", IF(BE150&gt;=covid_start, IF(BE150&lt;covid_recovery,NA(),SUMIFS(INDIRECT("Data_main"&amp;"["&amp;BE$8&amp;"]"),Data_main[Data],$A152, Data_main[Segment],$B152, Data_main[Scenario],$B$3)),SUMIFS(INDIRECT("Data_main"&amp;"["&amp;BE$8&amp;"]"),Data_main[Data],$A152, Data_main[Segment],$B152, Data_main[Scenario],$B$3)),SUMIFS(INDIRECT("Data_main"&amp;"["&amp;BE$8&amp;"]"),Data_main[Data],$A152, Data_main[Segment],$B152, Data_main[Scenario],$B$3))</f>
        <v>0</v>
      </c>
      <c r="BF152" s="390">
        <f ca="1">IF($B$6="ON", IF(BF150&gt;=covid_start, IF(BF150&lt;covid_recovery,NA(),SUMIFS(INDIRECT("Data_main"&amp;"["&amp;BF$8&amp;"]"),Data_main[Data],$A152, Data_main[Segment],$B152, Data_main[Scenario],$B$3)),SUMIFS(INDIRECT("Data_main"&amp;"["&amp;BF$8&amp;"]"),Data_main[Data],$A152, Data_main[Segment],$B152, Data_main[Scenario],$B$3)),SUMIFS(INDIRECT("Data_main"&amp;"["&amp;BF$8&amp;"]"),Data_main[Data],$A152, Data_main[Segment],$B152, Data_main[Scenario],$B$3))</f>
        <v>0</v>
      </c>
      <c r="BG152" s="390">
        <f ca="1">IF($B$6="ON", IF(BG150&gt;=covid_start, IF(BG150&lt;covid_recovery,NA(),SUMIFS(INDIRECT("Data_main"&amp;"["&amp;BG$8&amp;"]"),Data_main[Data],$A152, Data_main[Segment],$B152, Data_main[Scenario],$B$3)),SUMIFS(INDIRECT("Data_main"&amp;"["&amp;BG$8&amp;"]"),Data_main[Data],$A152, Data_main[Segment],$B152, Data_main[Scenario],$B$3)),SUMIFS(INDIRECT("Data_main"&amp;"["&amp;BG$8&amp;"]"),Data_main[Data],$A152, Data_main[Segment],$B152, Data_main[Scenario],$B$3))</f>
        <v>0</v>
      </c>
      <c r="BH152" s="390">
        <f ca="1">IF($B$6="ON", IF(BH150&gt;=covid_start, IF(BH150&lt;covid_recovery,NA(),SUMIFS(INDIRECT("Data_main"&amp;"["&amp;BH$8&amp;"]"),Data_main[Data],$A152, Data_main[Segment],$B152, Data_main[Scenario],$B$3)),SUMIFS(INDIRECT("Data_main"&amp;"["&amp;BH$8&amp;"]"),Data_main[Data],$A152, Data_main[Segment],$B152, Data_main[Scenario],$B$3)),SUMIFS(INDIRECT("Data_main"&amp;"["&amp;BH$8&amp;"]"),Data_main[Data],$A152, Data_main[Segment],$B152, Data_main[Scenario],$B$3))</f>
        <v>0</v>
      </c>
      <c r="BI152" s="390">
        <f ca="1">IF($B$6="ON", IF(BI150&gt;=covid_start, IF(BI150&lt;covid_recovery,NA(),SUMIFS(INDIRECT("Data_main"&amp;"["&amp;BI$8&amp;"]"),Data_main[Data],$A152, Data_main[Segment],$B152, Data_main[Scenario],$B$3)),SUMIFS(INDIRECT("Data_main"&amp;"["&amp;BI$8&amp;"]"),Data_main[Data],$A152, Data_main[Segment],$B152, Data_main[Scenario],$B$3)),SUMIFS(INDIRECT("Data_main"&amp;"["&amp;BI$8&amp;"]"),Data_main[Data],$A152, Data_main[Segment],$B152, Data_main[Scenario],$B$3))</f>
        <v>0</v>
      </c>
      <c r="BJ152" s="390">
        <f ca="1">IF($B$6="ON", IF(BJ150&gt;=covid_start, IF(BJ150&lt;covid_recovery,NA(),SUMIFS(INDIRECT("Data_main"&amp;"["&amp;BJ$8&amp;"]"),Data_main[Data],$A152, Data_main[Segment],$B152, Data_main[Scenario],$B$3)),SUMIFS(INDIRECT("Data_main"&amp;"["&amp;BJ$8&amp;"]"),Data_main[Data],$A152, Data_main[Segment],$B152, Data_main[Scenario],$B$3)),SUMIFS(INDIRECT("Data_main"&amp;"["&amp;BJ$8&amp;"]"),Data_main[Data],$A152, Data_main[Segment],$B152, Data_main[Scenario],$B$3))</f>
        <v>0</v>
      </c>
      <c r="BK152" s="390">
        <f ca="1">IF($B$6="ON", IF(BK150&gt;=covid_start, IF(BK150&lt;covid_recovery,NA(),SUMIFS(INDIRECT("Data_main"&amp;"["&amp;BK$8&amp;"]"),Data_main[Data],$A152, Data_main[Segment],$B152, Data_main[Scenario],$B$3)),SUMIFS(INDIRECT("Data_main"&amp;"["&amp;BK$8&amp;"]"),Data_main[Data],$A152, Data_main[Segment],$B152, Data_main[Scenario],$B$3)),SUMIFS(INDIRECT("Data_main"&amp;"["&amp;BK$8&amp;"]"),Data_main[Data],$A152, Data_main[Segment],$B152, Data_main[Scenario],$B$3))</f>
        <v>0</v>
      </c>
      <c r="BL152" s="390">
        <f ca="1">IF($B$6="ON", IF(BL150&gt;=covid_start, IF(BL150&lt;covid_recovery,NA(),SUMIFS(INDIRECT("Data_main"&amp;"["&amp;BL$8&amp;"]"),Data_main[Data],$A152, Data_main[Segment],$B152, Data_main[Scenario],$B$3)),SUMIFS(INDIRECT("Data_main"&amp;"["&amp;BL$8&amp;"]"),Data_main[Data],$A152, Data_main[Segment],$B152, Data_main[Scenario],$B$3)),SUMIFS(INDIRECT("Data_main"&amp;"["&amp;BL$8&amp;"]"),Data_main[Data],$A152, Data_main[Segment],$B152, Data_main[Scenario],$B$3))</f>
        <v>0</v>
      </c>
      <c r="BM152" s="390">
        <f ca="1">IF($B$6="ON", IF(BM150&gt;=covid_start, IF(BM150&lt;covid_recovery,NA(),SUMIFS(INDIRECT("Data_main"&amp;"["&amp;BM$8&amp;"]"),Data_main[Data],$A152, Data_main[Segment],$B152, Data_main[Scenario],$B$3)),SUMIFS(INDIRECT("Data_main"&amp;"["&amp;BM$8&amp;"]"),Data_main[Data],$A152, Data_main[Segment],$B152, Data_main[Scenario],$B$3)),SUMIFS(INDIRECT("Data_main"&amp;"["&amp;BM$8&amp;"]"),Data_main[Data],$A152, Data_main[Segment],$B152, Data_main[Scenario],$B$3))</f>
        <v>0</v>
      </c>
      <c r="BN152" s="390">
        <f ca="1">IF($B$6="ON", IF(BN150&gt;=covid_start, IF(BN150&lt;covid_recovery,NA(),SUMIFS(INDIRECT("Data_main"&amp;"["&amp;BN$8&amp;"]"),Data_main[Data],$A152, Data_main[Segment],$B152, Data_main[Scenario],$B$3)),SUMIFS(INDIRECT("Data_main"&amp;"["&amp;BN$8&amp;"]"),Data_main[Data],$A152, Data_main[Segment],$B152, Data_main[Scenario],$B$3)),SUMIFS(INDIRECT("Data_main"&amp;"["&amp;BN$8&amp;"]"),Data_main[Data],$A152, Data_main[Segment],$B152, Data_main[Scenario],$B$3))</f>
        <v>0</v>
      </c>
      <c r="BO152" s="390">
        <f ca="1">IF($B$6="ON", IF(BO150&gt;=covid_start, IF(BO150&lt;covid_recovery,NA(),SUMIFS(INDIRECT("Data_main"&amp;"["&amp;BO$8&amp;"]"),Data_main[Data],$A152, Data_main[Segment],$B152, Data_main[Scenario],$B$3)),SUMIFS(INDIRECT("Data_main"&amp;"["&amp;BO$8&amp;"]"),Data_main[Data],$A152, Data_main[Segment],$B152, Data_main[Scenario],$B$3)),SUMIFS(INDIRECT("Data_main"&amp;"["&amp;BO$8&amp;"]"),Data_main[Data],$A152, Data_main[Segment],$B152, Data_main[Scenario],$B$3))</f>
        <v>0</v>
      </c>
      <c r="BP152" s="390">
        <f ca="1">IF($B$6="ON", IF(BP150&gt;=covid_start, IF(BP150&lt;covid_recovery,NA(),SUMIFS(INDIRECT("Data_main"&amp;"["&amp;BP$8&amp;"]"),Data_main[Data],$A152, Data_main[Segment],$B152, Data_main[Scenario],$B$3)),SUMIFS(INDIRECT("Data_main"&amp;"["&amp;BP$8&amp;"]"),Data_main[Data],$A152, Data_main[Segment],$B152, Data_main[Scenario],$B$3)),SUMIFS(INDIRECT("Data_main"&amp;"["&amp;BP$8&amp;"]"),Data_main[Data],$A152, Data_main[Segment],$B152, Data_main[Scenario],$B$3))</f>
        <v>0</v>
      </c>
      <c r="BQ152" s="390">
        <f ca="1">IF($B$6="ON", IF(BQ150&gt;=covid_start, IF(BQ150&lt;covid_recovery,NA(),SUMIFS(INDIRECT("Data_main"&amp;"["&amp;BQ$8&amp;"]"),Data_main[Data],$A152, Data_main[Segment],$B152, Data_main[Scenario],$B$3)),SUMIFS(INDIRECT("Data_main"&amp;"["&amp;BQ$8&amp;"]"),Data_main[Data],$A152, Data_main[Segment],$B152, Data_main[Scenario],$B$3)),SUMIFS(INDIRECT("Data_main"&amp;"["&amp;BQ$8&amp;"]"),Data_main[Data],$A152, Data_main[Segment],$B152, Data_main[Scenario],$B$3))</f>
        <v>0</v>
      </c>
      <c r="BR152" s="390">
        <f ca="1">IF($B$6="ON", IF(BR150&gt;=covid_start, IF(BR150&lt;covid_recovery,NA(),SUMIFS(INDIRECT("Data_main"&amp;"["&amp;BR$8&amp;"]"),Data_main[Data],$A152, Data_main[Segment],$B152, Data_main[Scenario],$B$3)),SUMIFS(INDIRECT("Data_main"&amp;"["&amp;BR$8&amp;"]"),Data_main[Data],$A152, Data_main[Segment],$B152, Data_main[Scenario],$B$3)),SUMIFS(INDIRECT("Data_main"&amp;"["&amp;BR$8&amp;"]"),Data_main[Data],$A152, Data_main[Segment],$B152, Data_main[Scenario],$B$3))</f>
        <v>0</v>
      </c>
      <c r="BS152" s="390">
        <f ca="1">IF($B$6="ON", IF(BS150&gt;=covid_start, IF(BS150&lt;covid_recovery,NA(),SUMIFS(INDIRECT("Data_main"&amp;"["&amp;BS$8&amp;"]"),Data_main[Data],$A152, Data_main[Segment],$B152, Data_main[Scenario],$B$3)),SUMIFS(INDIRECT("Data_main"&amp;"["&amp;BS$8&amp;"]"),Data_main[Data],$A152, Data_main[Segment],$B152, Data_main[Scenario],$B$3)),SUMIFS(INDIRECT("Data_main"&amp;"["&amp;BS$8&amp;"]"),Data_main[Data],$A152, Data_main[Segment],$B152, Data_main[Scenario],$B$3))</f>
        <v>0</v>
      </c>
      <c r="BT152" s="390">
        <f ca="1">IF($B$6="ON", IF(BT150&gt;=covid_start, IF(BT150&lt;covid_recovery,NA(),SUMIFS(INDIRECT("Data_main"&amp;"["&amp;BT$8&amp;"]"),Data_main[Data],$A152, Data_main[Segment],$B152, Data_main[Scenario],$B$3)),SUMIFS(INDIRECT("Data_main"&amp;"["&amp;BT$8&amp;"]"),Data_main[Data],$A152, Data_main[Segment],$B152, Data_main[Scenario],$B$3)),SUMIFS(INDIRECT("Data_main"&amp;"["&amp;BT$8&amp;"]"),Data_main[Data],$A152, Data_main[Segment],$B152, Data_main[Scenario],$B$3))</f>
        <v>0</v>
      </c>
      <c r="BU152" s="390">
        <f ca="1">IF($B$6="ON", IF(BU150&gt;=covid_start, IF(BU150&lt;covid_recovery,NA(),SUMIFS(INDIRECT("Data_main"&amp;"["&amp;BU$8&amp;"]"),Data_main[Data],$A152, Data_main[Segment],$B152, Data_main[Scenario],$B$3)),SUMIFS(INDIRECT("Data_main"&amp;"["&amp;BU$8&amp;"]"),Data_main[Data],$A152, Data_main[Segment],$B152, Data_main[Scenario],$B$3)),SUMIFS(INDIRECT("Data_main"&amp;"["&amp;BU$8&amp;"]"),Data_main[Data],$A152, Data_main[Segment],$B152, Data_main[Scenario],$B$3))</f>
        <v>0</v>
      </c>
      <c r="BV152" s="390">
        <f ca="1">IF($B$6="ON", IF(BV150&gt;=covid_start, IF(BV150&lt;covid_recovery,NA(),SUMIFS(INDIRECT("Data_main"&amp;"["&amp;BV$8&amp;"]"),Data_main[Data],$A152, Data_main[Segment],$B152, Data_main[Scenario],$B$3)),SUMIFS(INDIRECT("Data_main"&amp;"["&amp;BV$8&amp;"]"),Data_main[Data],$A152, Data_main[Segment],$B152, Data_main[Scenario],$B$3)),SUMIFS(INDIRECT("Data_main"&amp;"["&amp;BV$8&amp;"]"),Data_main[Data],$A152, Data_main[Segment],$B152, Data_main[Scenario],$B$3))</f>
        <v>0</v>
      </c>
      <c r="BW152" s="390">
        <f ca="1">IF($B$6="ON", IF(BW150&gt;=covid_start, IF(BW150&lt;covid_recovery,NA(),SUMIFS(INDIRECT("Data_main"&amp;"["&amp;BW$8&amp;"]"),Data_main[Data],$A152, Data_main[Segment],$B152, Data_main[Scenario],$B$3)),SUMIFS(INDIRECT("Data_main"&amp;"["&amp;BW$8&amp;"]"),Data_main[Data],$A152, Data_main[Segment],$B152, Data_main[Scenario],$B$3)),SUMIFS(INDIRECT("Data_main"&amp;"["&amp;BW$8&amp;"]"),Data_main[Data],$A152, Data_main[Segment],$B152, Data_main[Scenario],$B$3))</f>
        <v>0</v>
      </c>
      <c r="BX152" s="390">
        <f ca="1">IF($B$6="ON", IF(BX150&gt;=covid_start, IF(BX150&lt;covid_recovery,NA(),SUMIFS(INDIRECT("Data_main"&amp;"["&amp;BX$8&amp;"]"),Data_main[Data],$A152, Data_main[Segment],$B152, Data_main[Scenario],$B$3)),SUMIFS(INDIRECT("Data_main"&amp;"["&amp;BX$8&amp;"]"),Data_main[Data],$A152, Data_main[Segment],$B152, Data_main[Scenario],$B$3)),SUMIFS(INDIRECT("Data_main"&amp;"["&amp;BX$8&amp;"]"),Data_main[Data],$A152, Data_main[Segment],$B152, Data_main[Scenario],$B$3))</f>
        <v>0</v>
      </c>
      <c r="BY152" s="390">
        <f ca="1">IF($B$6="ON", IF(BY150&gt;=covid_start, IF(BY150&lt;covid_recovery,NA(),SUMIFS(INDIRECT("Data_main"&amp;"["&amp;BY$8&amp;"]"),Data_main[Data],$A152, Data_main[Segment],$B152, Data_main[Scenario],$B$3)),SUMIFS(INDIRECT("Data_main"&amp;"["&amp;BY$8&amp;"]"),Data_main[Data],$A152, Data_main[Segment],$B152, Data_main[Scenario],$B$3)),SUMIFS(INDIRECT("Data_main"&amp;"["&amp;BY$8&amp;"]"),Data_main[Data],$A152, Data_main[Segment],$B152, Data_main[Scenario],$B$3))</f>
        <v>0</v>
      </c>
      <c r="BZ152" s="390">
        <f ca="1">IF($B$6="ON", IF(BZ150&gt;=covid_start, IF(BZ150&lt;covid_recovery,NA(),SUMIFS(INDIRECT("Data_main"&amp;"["&amp;BZ$8&amp;"]"),Data_main[Data],$A152, Data_main[Segment],$B152, Data_main[Scenario],$B$3)),SUMIFS(INDIRECT("Data_main"&amp;"["&amp;BZ$8&amp;"]"),Data_main[Data],$A152, Data_main[Segment],$B152, Data_main[Scenario],$B$3)),SUMIFS(INDIRECT("Data_main"&amp;"["&amp;BZ$8&amp;"]"),Data_main[Data],$A152, Data_main[Segment],$B152, Data_main[Scenario],$B$3))</f>
        <v>0</v>
      </c>
      <c r="CA152" s="390">
        <f ca="1">IF($B$6="ON", IF(CA150&gt;=covid_start, IF(CA150&lt;covid_recovery,NA(),SUMIFS(INDIRECT("Data_main"&amp;"["&amp;CA$8&amp;"]"),Data_main[Data],$A152, Data_main[Segment],$B152, Data_main[Scenario],$B$3)),SUMIFS(INDIRECT("Data_main"&amp;"["&amp;CA$8&amp;"]"),Data_main[Data],$A152, Data_main[Segment],$B152, Data_main[Scenario],$B$3)),SUMIFS(INDIRECT("Data_main"&amp;"["&amp;CA$8&amp;"]"),Data_main[Data],$A152, Data_main[Segment],$B152, Data_main[Scenario],$B$3))</f>
        <v>0</v>
      </c>
      <c r="CB152" s="390">
        <f ca="1">IF($B$6="ON", IF(CB150&gt;=covid_start, IF(CB150&lt;covid_recovery,NA(),SUMIFS(INDIRECT("Data_main"&amp;"["&amp;CB$8&amp;"]"),Data_main[Data],$A152, Data_main[Segment],$B152, Data_main[Scenario],$B$3)),SUMIFS(INDIRECT("Data_main"&amp;"["&amp;CB$8&amp;"]"),Data_main[Data],$A152, Data_main[Segment],$B152, Data_main[Scenario],$B$3)),SUMIFS(INDIRECT("Data_main"&amp;"["&amp;CB$8&amp;"]"),Data_main[Data],$A152, Data_main[Segment],$B152, Data_main[Scenario],$B$3))</f>
        <v>0</v>
      </c>
      <c r="CC152" s="390">
        <f ca="1">IF($B$6="ON", IF(CC150&gt;=covid_start, IF(CC150&lt;covid_recovery,NA(),SUMIFS(INDIRECT("Data_main"&amp;"["&amp;CC$8&amp;"]"),Data_main[Data],$A152, Data_main[Segment],$B152, Data_main[Scenario],$B$3)),SUMIFS(INDIRECT("Data_main"&amp;"["&amp;CC$8&amp;"]"),Data_main[Data],$A152, Data_main[Segment],$B152, Data_main[Scenario],$B$3)),SUMIFS(INDIRECT("Data_main"&amp;"["&amp;CC$8&amp;"]"),Data_main[Data],$A152, Data_main[Segment],$B152, Data_main[Scenario],$B$3))</f>
        <v>0</v>
      </c>
      <c r="CD152" s="390">
        <f ca="1">IF($B$6="ON", IF(CD150&gt;=covid_start, IF(CD150&lt;covid_recovery,NA(),SUMIFS(INDIRECT("Data_main"&amp;"["&amp;CD$8&amp;"]"),Data_main[Data],$A152, Data_main[Segment],$B152, Data_main[Scenario],$B$3)),SUMIFS(INDIRECT("Data_main"&amp;"["&amp;CD$8&amp;"]"),Data_main[Data],$A152, Data_main[Segment],$B152, Data_main[Scenario],$B$3)),SUMIFS(INDIRECT("Data_main"&amp;"["&amp;CD$8&amp;"]"),Data_main[Data],$A152, Data_main[Segment],$B152, Data_main[Scenario],$B$3))</f>
        <v>0</v>
      </c>
      <c r="CE152" s="390">
        <f ca="1">IF($B$6="ON", IF(CE150&gt;=covid_start, IF(CE150&lt;covid_recovery,NA(),SUMIFS(INDIRECT("Data_main"&amp;"["&amp;CE$8&amp;"]"),Data_main[Data],$A152, Data_main[Segment],$B152, Data_main[Scenario],$B$3)),SUMIFS(INDIRECT("Data_main"&amp;"["&amp;CE$8&amp;"]"),Data_main[Data],$A152, Data_main[Segment],$B152, Data_main[Scenario],$B$3)),SUMIFS(INDIRECT("Data_main"&amp;"["&amp;CE$8&amp;"]"),Data_main[Data],$A152, Data_main[Segment],$B152, Data_main[Scenario],$B$3))</f>
        <v>0</v>
      </c>
      <c r="CF152" s="390">
        <f ca="1">IF($B$6="ON", IF(CF150&gt;=covid_start, IF(CF150&lt;covid_recovery,NA(),SUMIFS(INDIRECT("Data_main"&amp;"["&amp;CF$8&amp;"]"),Data_main[Data],$A152, Data_main[Segment],$B152, Data_main[Scenario],$B$3)),SUMIFS(INDIRECT("Data_main"&amp;"["&amp;CF$8&amp;"]"),Data_main[Data],$A152, Data_main[Segment],$B152, Data_main[Scenario],$B$3)),SUMIFS(INDIRECT("Data_main"&amp;"["&amp;CF$8&amp;"]"),Data_main[Data],$A152, Data_main[Segment],$B152, Data_main[Scenario],$B$3))</f>
        <v>0</v>
      </c>
      <c r="CG152" s="390">
        <f ca="1">IF($B$6="ON", IF(CG150&gt;=covid_start, IF(CG150&lt;covid_recovery,NA(),SUMIFS(INDIRECT("Data_main"&amp;"["&amp;CG$8&amp;"]"),Data_main[Data],$A152, Data_main[Segment],$B152, Data_main[Scenario],$B$3)),SUMIFS(INDIRECT("Data_main"&amp;"["&amp;CG$8&amp;"]"),Data_main[Data],$A152, Data_main[Segment],$B152, Data_main[Scenario],$B$3)),SUMIFS(INDIRECT("Data_main"&amp;"["&amp;CG$8&amp;"]"),Data_main[Data],$A152, Data_main[Segment],$B152, Data_main[Scenario],$B$3))</f>
        <v>0</v>
      </c>
      <c r="CH152" s="390">
        <f ca="1">IF($B$6="ON", IF(CH150&gt;=covid_start, IF(CH150&lt;covid_recovery,NA(),SUMIFS(INDIRECT("Data_main"&amp;"["&amp;CH$8&amp;"]"),Data_main[Data],$A152, Data_main[Segment],$B152, Data_main[Scenario],$B$3)),SUMIFS(INDIRECT("Data_main"&amp;"["&amp;CH$8&amp;"]"),Data_main[Data],$A152, Data_main[Segment],$B152, Data_main[Scenario],$B$3)),SUMIFS(INDIRECT("Data_main"&amp;"["&amp;CH$8&amp;"]"),Data_main[Data],$A152, Data_main[Segment],$B152, Data_main[Scenario],$B$3))</f>
        <v>0</v>
      </c>
      <c r="CI152" s="390">
        <f ca="1">IF($B$6="ON", IF(CI150&gt;=covid_start, IF(CI150&lt;covid_recovery,NA(),SUMIFS(INDIRECT("Data_main"&amp;"["&amp;CI$8&amp;"]"),Data_main[Data],$A152, Data_main[Segment],$B152, Data_main[Scenario],$B$3)),SUMIFS(INDIRECT("Data_main"&amp;"["&amp;CI$8&amp;"]"),Data_main[Data],$A152, Data_main[Segment],$B152, Data_main[Scenario],$B$3)),SUMIFS(INDIRECT("Data_main"&amp;"["&amp;CI$8&amp;"]"),Data_main[Data],$A152, Data_main[Segment],$B152, Data_main[Scenario],$B$3))</f>
        <v>0</v>
      </c>
      <c r="CJ152" s="390">
        <f ca="1">IF($B$6="ON", IF(CJ150&gt;=covid_start, IF(CJ150&lt;covid_recovery,NA(),SUMIFS(INDIRECT("Data_main"&amp;"["&amp;CJ$8&amp;"]"),Data_main[Data],$A152, Data_main[Segment],$B152, Data_main[Scenario],$B$3)),SUMIFS(INDIRECT("Data_main"&amp;"["&amp;CJ$8&amp;"]"),Data_main[Data],$A152, Data_main[Segment],$B152, Data_main[Scenario],$B$3)),SUMIFS(INDIRECT("Data_main"&amp;"["&amp;CJ$8&amp;"]"),Data_main[Data],$A152, Data_main[Segment],$B152, Data_main[Scenario],$B$3))</f>
        <v>0</v>
      </c>
      <c r="CK152" s="390">
        <f ca="1">IF($B$6="ON", IF(CK150&gt;=covid_start, IF(CK150&lt;covid_recovery,NA(),SUMIFS(INDIRECT("Data_main"&amp;"["&amp;CK$8&amp;"]"),Data_main[Data],$A152, Data_main[Segment],$B152, Data_main[Scenario],$B$3)),SUMIFS(INDIRECT("Data_main"&amp;"["&amp;CK$8&amp;"]"),Data_main[Data],$A152, Data_main[Segment],$B152, Data_main[Scenario],$B$3)),SUMIFS(INDIRECT("Data_main"&amp;"["&amp;CK$8&amp;"]"),Data_main[Data],$A152, Data_main[Segment],$B152, Data_main[Scenario],$B$3))</f>
        <v>0</v>
      </c>
      <c r="CL152" s="390">
        <f ca="1">IF($B$6="ON", IF(CL150&gt;=covid_start, IF(CL150&lt;covid_recovery,NA(),SUMIFS(INDIRECT("Data_main"&amp;"["&amp;CL$8&amp;"]"),Data_main[Data],$A152, Data_main[Segment],$B152, Data_main[Scenario],$B$3)),SUMIFS(INDIRECT("Data_main"&amp;"["&amp;CL$8&amp;"]"),Data_main[Data],$A152, Data_main[Segment],$B152, Data_main[Scenario],$B$3)),SUMIFS(INDIRECT("Data_main"&amp;"["&amp;CL$8&amp;"]"),Data_main[Data],$A152, Data_main[Segment],$B152, Data_main[Scenario],$B$3))</f>
        <v>0</v>
      </c>
      <c r="CN152" s="391">
        <f ca="1">IFERROR((Y152/H152)^(1/17)-1,"")</f>
        <v>3.1704570247980568E-2</v>
      </c>
      <c r="CO152" s="391">
        <f ca="1">IFERROR((AN152/Y152)^(1/15)-1,"")</f>
        <v>4.4661228439600853E-2</v>
      </c>
      <c r="CP152" s="391">
        <f ca="1">IFERROR((AN152/H152)^(1/32)-1,"")</f>
        <v>3.7757872553640492E-2</v>
      </c>
    </row>
    <row r="153" spans="1:94">
      <c r="A153" s="392" t="s">
        <v>158</v>
      </c>
      <c r="B153" s="392" t="str">
        <f t="shared" si="1382"/>
        <v>Ded-long</v>
      </c>
      <c r="C153" s="393" t="s">
        <v>312</v>
      </c>
      <c r="D153" s="389" t="s">
        <v>313</v>
      </c>
      <c r="E153" s="390">
        <f ca="1">IF($B$6="ON", IF(E150&gt;=covid_start, IF(E150&lt;covid_recovery,NA(),SUMIFS(INDIRECT("Data_main"&amp;"["&amp;E$8&amp;"]"),Data_main[Data],$A153, Data_main[Segment],$B153, Data_main[Scenario],$B$3)),SUMIFS(INDIRECT("Data_main"&amp;"["&amp;E$8&amp;"]"),Data_main[Data],$A153, Data_main[Segment],$B153, Data_main[Scenario],$B$3)),SUMIFS(INDIRECT("Data_main"&amp;"["&amp;E$8&amp;"]"),Data_main[Data],$A153, Data_main[Segment],$B153, Data_main[Scenario],$B$3))</f>
        <v>617.74112327702801</v>
      </c>
      <c r="F153" s="390">
        <f ca="1">IF($B$6="ON", IF(F150&gt;=covid_start, IF(F150&lt;covid_recovery,NA(),SUMIFS(INDIRECT("Data_main"&amp;"["&amp;F$8&amp;"]"),Data_main[Data],$A153, Data_main[Segment],$B153, Data_main[Scenario],$B$3)),SUMIFS(INDIRECT("Data_main"&amp;"["&amp;F$8&amp;"]"),Data_main[Data],$A153, Data_main[Segment],$B153, Data_main[Scenario],$B$3)),SUMIFS(INDIRECT("Data_main"&amp;"["&amp;F$8&amp;"]"),Data_main[Data],$A153, Data_main[Segment],$B153, Data_main[Scenario],$B$3))</f>
        <v>595.94914412829348</v>
      </c>
      <c r="G153" s="390">
        <f ca="1">IF($B$6="ON", IF(G150&gt;=covid_start, IF(G150&lt;covid_recovery,NA(),SUMIFS(INDIRECT("Data_main"&amp;"["&amp;G$8&amp;"]"),Data_main[Data],$A153, Data_main[Segment],$B153, Data_main[Scenario],$B$3)),SUMIFS(INDIRECT("Data_main"&amp;"["&amp;G$8&amp;"]"),Data_main[Data],$A153, Data_main[Segment],$B153, Data_main[Scenario],$B$3)),SUMIFS(INDIRECT("Data_main"&amp;"["&amp;G$8&amp;"]"),Data_main[Data],$A153, Data_main[Segment],$B153, Data_main[Scenario],$B$3))</f>
        <v>576.62914325116969</v>
      </c>
      <c r="H153" s="390">
        <f ca="1">IF($B$6="ON", IF(H150&gt;=covid_start, IF(H150&lt;covid_recovery,NA(),SUMIFS(INDIRECT("Data_main"&amp;"["&amp;H$8&amp;"]"),Data_main[Data],$A153, Data_main[Segment],$B153, Data_main[Scenario],$B$3)),SUMIFS(INDIRECT("Data_main"&amp;"["&amp;H$8&amp;"]"),Data_main[Data],$A153, Data_main[Segment],$B153, Data_main[Scenario],$B$3)),SUMIFS(INDIRECT("Data_main"&amp;"["&amp;H$8&amp;"]"),Data_main[Data],$A153, Data_main[Segment],$B153, Data_main[Scenario],$B$3))</f>
        <v>559.38308227988705</v>
      </c>
      <c r="I153" s="390">
        <f ca="1">IF($B$6="ON", IF(I150&gt;=covid_start, IF(I150&lt;covid_recovery,NA(),SUMIFS(INDIRECT("Data_main"&amp;"["&amp;I$8&amp;"]"),Data_main[Data],$A153, Data_main[Segment],$B153, Data_main[Scenario],$B$3)),SUMIFS(INDIRECT("Data_main"&amp;"["&amp;I$8&amp;"]"),Data_main[Data],$A153, Data_main[Segment],$B153, Data_main[Scenario],$B$3)),SUMIFS(INDIRECT("Data_main"&amp;"["&amp;I$8&amp;"]"),Data_main[Data],$A153, Data_main[Segment],$B153, Data_main[Scenario],$B$3))</f>
        <v>584.95599084340938</v>
      </c>
      <c r="J153" s="390" t="e">
        <f ca="1">IF($B$6="ON", IF(J150&gt;=covid_start, IF(J150&lt;covid_recovery,NA(),SUMIFS(INDIRECT("Data_main"&amp;"["&amp;J$8&amp;"]"),Data_main[Data],$A153, Data_main[Segment],$B153, Data_main[Scenario],$B$3)),SUMIFS(INDIRECT("Data_main"&amp;"["&amp;J$8&amp;"]"),Data_main[Data],$A153, Data_main[Segment],$B153, Data_main[Scenario],$B$3)),SUMIFS(INDIRECT("Data_main"&amp;"["&amp;J$8&amp;"]"),Data_main[Data],$A153, Data_main[Segment],$B153, Data_main[Scenario],$B$3))</f>
        <v>#N/A</v>
      </c>
      <c r="K153" s="390" t="e">
        <f ca="1">IF($B$6="ON", IF(K150&gt;=covid_start, IF(K150&lt;covid_recovery,NA(),SUMIFS(INDIRECT("Data_main"&amp;"["&amp;K$8&amp;"]"),Data_main[Data],$A153, Data_main[Segment],$B153, Data_main[Scenario],$B$3)),SUMIFS(INDIRECT("Data_main"&amp;"["&amp;K$8&amp;"]"),Data_main[Data],$A153, Data_main[Segment],$B153, Data_main[Scenario],$B$3)),SUMIFS(INDIRECT("Data_main"&amp;"["&amp;K$8&amp;"]"),Data_main[Data],$A153, Data_main[Segment],$B153, Data_main[Scenario],$B$3))</f>
        <v>#N/A</v>
      </c>
      <c r="L153" s="390" t="e">
        <f ca="1">IF($B$6="ON", IF(L150&gt;=covid_start, IF(L150&lt;covid_recovery,NA(),SUMIFS(INDIRECT("Data_main"&amp;"["&amp;L$8&amp;"]"),Data_main[Data],$A153, Data_main[Segment],$B153, Data_main[Scenario],$B$3)),SUMIFS(INDIRECT("Data_main"&amp;"["&amp;L$8&amp;"]"),Data_main[Data],$A153, Data_main[Segment],$B153, Data_main[Scenario],$B$3)),SUMIFS(INDIRECT("Data_main"&amp;"["&amp;L$8&amp;"]"),Data_main[Data],$A153, Data_main[Segment],$B153, Data_main[Scenario],$B$3))</f>
        <v>#N/A</v>
      </c>
      <c r="M153" s="390">
        <f ca="1">IF($B$6="ON", IF(M150&gt;=covid_start, IF(M150&lt;covid_recovery,NA(),SUMIFS(INDIRECT("Data_main"&amp;"["&amp;M$8&amp;"]"),Data_main[Data],$A153, Data_main[Segment],$B153, Data_main[Scenario],$B$3)),SUMIFS(INDIRECT("Data_main"&amp;"["&amp;M$8&amp;"]"),Data_main[Data],$A153, Data_main[Segment],$B153, Data_main[Scenario],$B$3)),SUMIFS(INDIRECT("Data_main"&amp;"["&amp;M$8&amp;"]"),Data_main[Data],$A153, Data_main[Segment],$B153, Data_main[Scenario],$B$3))</f>
        <v>509.41309666663813</v>
      </c>
      <c r="N153" s="390">
        <f ca="1">IF($B$6="ON", IF(N150&gt;=covid_start, IF(N150&lt;covid_recovery,NA(),SUMIFS(INDIRECT("Data_main"&amp;"["&amp;N$8&amp;"]"),Data_main[Data],$A153, Data_main[Segment],$B153, Data_main[Scenario],$B$3)),SUMIFS(INDIRECT("Data_main"&amp;"["&amp;N$8&amp;"]"),Data_main[Data],$A153, Data_main[Segment],$B153, Data_main[Scenario],$B$3)),SUMIFS(INDIRECT("Data_main"&amp;"["&amp;N$8&amp;"]"),Data_main[Data],$A153, Data_main[Segment],$B153, Data_main[Scenario],$B$3))</f>
        <v>493.16723696776518</v>
      </c>
      <c r="O153" s="390">
        <f ca="1">IF($B$6="ON", IF(O150&gt;=covid_start, IF(O150&lt;covid_recovery,NA(),SUMIFS(INDIRECT("Data_main"&amp;"["&amp;O$8&amp;"]"),Data_main[Data],$A153, Data_main[Segment],$B153, Data_main[Scenario],$B$3)),SUMIFS(INDIRECT("Data_main"&amp;"["&amp;O$8&amp;"]"),Data_main[Data],$A153, Data_main[Segment],$B153, Data_main[Scenario],$B$3)),SUMIFS(INDIRECT("Data_main"&amp;"["&amp;O$8&amp;"]"),Data_main[Data],$A153, Data_main[Segment],$B153, Data_main[Scenario],$B$3))</f>
        <v>477.80501852840638</v>
      </c>
      <c r="P153" s="390">
        <f ca="1">IF($B$6="ON", IF(P150&gt;=covid_start, IF(P150&lt;covid_recovery,NA(),SUMIFS(INDIRECT("Data_main"&amp;"["&amp;P$8&amp;"]"),Data_main[Data],$A153, Data_main[Segment],$B153, Data_main[Scenario],$B$3)),SUMIFS(INDIRECT("Data_main"&amp;"["&amp;P$8&amp;"]"),Data_main[Data],$A153, Data_main[Segment],$B153, Data_main[Scenario],$B$3)),SUMIFS(INDIRECT("Data_main"&amp;"["&amp;P$8&amp;"]"),Data_main[Data],$A153, Data_main[Segment],$B153, Data_main[Scenario],$B$3))</f>
        <v>463.25625587100029</v>
      </c>
      <c r="Q153" s="390">
        <f ca="1">IF($B$6="ON", IF(Q150&gt;=covid_start, IF(Q150&lt;covid_recovery,NA(),SUMIFS(INDIRECT("Data_main"&amp;"["&amp;Q$8&amp;"]"),Data_main[Data],$A153, Data_main[Segment],$B153, Data_main[Scenario],$B$3)),SUMIFS(INDIRECT("Data_main"&amp;"["&amp;Q$8&amp;"]"),Data_main[Data],$A153, Data_main[Segment],$B153, Data_main[Scenario],$B$3)),SUMIFS(INDIRECT("Data_main"&amp;"["&amp;Q$8&amp;"]"),Data_main[Data],$A153, Data_main[Segment],$B153, Data_main[Scenario],$B$3))</f>
        <v>449.45800468442951</v>
      </c>
      <c r="R153" s="390">
        <f ca="1">IF($B$6="ON", IF(R150&gt;=covid_start, IF(R150&lt;covid_recovery,NA(),SUMIFS(INDIRECT("Data_main"&amp;"["&amp;R$8&amp;"]"),Data_main[Data],$A153, Data_main[Segment],$B153, Data_main[Scenario],$B$3)),SUMIFS(INDIRECT("Data_main"&amp;"["&amp;R$8&amp;"]"),Data_main[Data],$A153, Data_main[Segment],$B153, Data_main[Scenario],$B$3)),SUMIFS(INDIRECT("Data_main"&amp;"["&amp;R$8&amp;"]"),Data_main[Data],$A153, Data_main[Segment],$B153, Data_main[Scenario],$B$3))</f>
        <v>436.35365144949753</v>
      </c>
      <c r="S153" s="390">
        <f ca="1">IF($B$6="ON", IF(S150&gt;=covid_start, IF(S150&lt;covid_recovery,NA(),SUMIFS(INDIRECT("Data_main"&amp;"["&amp;S$8&amp;"]"),Data_main[Data],$A153, Data_main[Segment],$B153, Data_main[Scenario],$B$3)),SUMIFS(INDIRECT("Data_main"&amp;"["&amp;S$8&amp;"]"),Data_main[Data],$A153, Data_main[Segment],$B153, Data_main[Scenario],$B$3)),SUMIFS(INDIRECT("Data_main"&amp;"["&amp;S$8&amp;"]"),Data_main[Data],$A153, Data_main[Segment],$B153, Data_main[Scenario],$B$3))</f>
        <v>423.89213704066054</v>
      </c>
      <c r="T153" s="390">
        <f ca="1">IF($B$6="ON", IF(T150&gt;=covid_start, IF(T150&lt;covid_recovery,NA(),SUMIFS(INDIRECT("Data_main"&amp;"["&amp;T$8&amp;"]"),Data_main[Data],$A153, Data_main[Segment],$B153, Data_main[Scenario],$B$3)),SUMIFS(INDIRECT("Data_main"&amp;"["&amp;T$8&amp;"]"),Data_main[Data],$A153, Data_main[Segment],$B153, Data_main[Scenario],$B$3)),SUMIFS(INDIRECT("Data_main"&amp;"["&amp;T$8&amp;"]"),Data_main[Data],$A153, Data_main[Segment],$B153, Data_main[Scenario],$B$3))</f>
        <v>412.02729185183631</v>
      </c>
      <c r="U153" s="390">
        <f ca="1">IF($B$6="ON", IF(U150&gt;=covid_start, IF(U150&lt;covid_recovery,NA(),SUMIFS(INDIRECT("Data_main"&amp;"["&amp;U$8&amp;"]"),Data_main[Data],$A153, Data_main[Segment],$B153, Data_main[Scenario],$B$3)),SUMIFS(INDIRECT("Data_main"&amp;"["&amp;U$8&amp;"]"),Data_main[Data],$A153, Data_main[Segment],$B153, Data_main[Scenario],$B$3)),SUMIFS(INDIRECT("Data_main"&amp;"["&amp;U$8&amp;"]"),Data_main[Data],$A153, Data_main[Segment],$B153, Data_main[Scenario],$B$3))</f>
        <v>395.68554787465416</v>
      </c>
      <c r="V153" s="390">
        <f ca="1">IF($B$6="ON", IF(V150&gt;=covid_start, IF(V150&lt;covid_recovery,NA(),SUMIFS(INDIRECT("Data_main"&amp;"["&amp;V$8&amp;"]"),Data_main[Data],$A153, Data_main[Segment],$B153, Data_main[Scenario],$B$3)),SUMIFS(INDIRECT("Data_main"&amp;"["&amp;V$8&amp;"]"),Data_main[Data],$A153, Data_main[Segment],$B153, Data_main[Scenario],$B$3)),SUMIFS(INDIRECT("Data_main"&amp;"["&amp;V$8&amp;"]"),Data_main[Data],$A153, Data_main[Segment],$B153, Data_main[Scenario],$B$3))</f>
        <v>350.45627798388466</v>
      </c>
      <c r="W153" s="390">
        <f ca="1">IF($B$6="ON", IF(W150&gt;=covid_start, IF(W150&lt;covid_recovery,NA(),SUMIFS(INDIRECT("Data_main"&amp;"["&amp;W$8&amp;"]"),Data_main[Data],$A153, Data_main[Segment],$B153, Data_main[Scenario],$B$3)),SUMIFS(INDIRECT("Data_main"&amp;"["&amp;W$8&amp;"]"),Data_main[Data],$A153, Data_main[Segment],$B153, Data_main[Scenario],$B$3)),SUMIFS(INDIRECT("Data_main"&amp;"["&amp;W$8&amp;"]"),Data_main[Data],$A153, Data_main[Segment],$B153, Data_main[Scenario],$B$3))</f>
        <v>326.41200658504079</v>
      </c>
      <c r="X153" s="390">
        <f ca="1">IF($B$6="ON", IF(X150&gt;=covid_start, IF(X150&lt;covid_recovery,NA(),SUMIFS(INDIRECT("Data_main"&amp;"["&amp;X$8&amp;"]"),Data_main[Data],$A153, Data_main[Segment],$B153, Data_main[Scenario],$B$3)),SUMIFS(INDIRECT("Data_main"&amp;"["&amp;X$8&amp;"]"),Data_main[Data],$A153, Data_main[Segment],$B153, Data_main[Scenario],$B$3)),SUMIFS(INDIRECT("Data_main"&amp;"["&amp;X$8&amp;"]"),Data_main[Data],$A153, Data_main[Segment],$B153, Data_main[Scenario],$B$3))</f>
        <v>303.3810475320812</v>
      </c>
      <c r="Y153" s="390">
        <f ca="1">IF($B$6="ON", IF(Y150&gt;=covid_start, IF(Y150&lt;covid_recovery,NA(),SUMIFS(INDIRECT("Data_main"&amp;"["&amp;Y$8&amp;"]"),Data_main[Data],$A153, Data_main[Segment],$B153, Data_main[Scenario],$B$3)),SUMIFS(INDIRECT("Data_main"&amp;"["&amp;Y$8&amp;"]"),Data_main[Data],$A153, Data_main[Segment],$B153, Data_main[Scenario],$B$3)),SUMIFS(INDIRECT("Data_main"&amp;"["&amp;Y$8&amp;"]"),Data_main[Data],$A153, Data_main[Segment],$B153, Data_main[Scenario],$B$3))</f>
        <v>279.61963230474572</v>
      </c>
      <c r="Z153" s="390">
        <f ca="1">IF($B$6="ON", IF(Z150&gt;=covid_start, IF(Z150&lt;covid_recovery,NA(),SUMIFS(INDIRECT("Data_main"&amp;"["&amp;Z$8&amp;"]"),Data_main[Data],$A153, Data_main[Segment],$B153, Data_main[Scenario],$B$3)),SUMIFS(INDIRECT("Data_main"&amp;"["&amp;Z$8&amp;"]"),Data_main[Data],$A153, Data_main[Segment],$B153, Data_main[Scenario],$B$3)),SUMIFS(INDIRECT("Data_main"&amp;"["&amp;Z$8&amp;"]"),Data_main[Data],$A153, Data_main[Segment],$B153, Data_main[Scenario],$B$3))</f>
        <v>256.03516516963202</v>
      </c>
      <c r="AA153" s="390">
        <f ca="1">IF($B$6="ON", IF(AA150&gt;=covid_start, IF(AA150&lt;covid_recovery,NA(),SUMIFS(INDIRECT("Data_main"&amp;"["&amp;AA$8&amp;"]"),Data_main[Data],$A153, Data_main[Segment],$B153, Data_main[Scenario],$B$3)),SUMIFS(INDIRECT("Data_main"&amp;"["&amp;AA$8&amp;"]"),Data_main[Data],$A153, Data_main[Segment],$B153, Data_main[Scenario],$B$3)),SUMIFS(INDIRECT("Data_main"&amp;"["&amp;AA$8&amp;"]"),Data_main[Data],$A153, Data_main[Segment],$B153, Data_main[Scenario],$B$3))</f>
        <v>232.80749289317353</v>
      </c>
      <c r="AB153" s="390">
        <f ca="1">IF($B$6="ON", IF(AB150&gt;=covid_start, IF(AB150&lt;covid_recovery,NA(),SUMIFS(INDIRECT("Data_main"&amp;"["&amp;AB$8&amp;"]"),Data_main[Data],$A153, Data_main[Segment],$B153, Data_main[Scenario],$B$3)),SUMIFS(INDIRECT("Data_main"&amp;"["&amp;AB$8&amp;"]"),Data_main[Data],$A153, Data_main[Segment],$B153, Data_main[Scenario],$B$3)),SUMIFS(INDIRECT("Data_main"&amp;"["&amp;AB$8&amp;"]"),Data_main[Data],$A153, Data_main[Segment],$B153, Data_main[Scenario],$B$3))</f>
        <v>209.94764260841387</v>
      </c>
      <c r="AC153" s="390">
        <f ca="1">IF($B$6="ON", IF(AC150&gt;=covid_start, IF(AC150&lt;covid_recovery,NA(),SUMIFS(INDIRECT("Data_main"&amp;"["&amp;AC$8&amp;"]"),Data_main[Data],$A153, Data_main[Segment],$B153, Data_main[Scenario],$B$3)),SUMIFS(INDIRECT("Data_main"&amp;"["&amp;AC$8&amp;"]"),Data_main[Data],$A153, Data_main[Segment],$B153, Data_main[Scenario],$B$3)),SUMIFS(INDIRECT("Data_main"&amp;"["&amp;AC$8&amp;"]"),Data_main[Data],$A153, Data_main[Segment],$B153, Data_main[Scenario],$B$3))</f>
        <v>187.48834654412204</v>
      </c>
      <c r="AD153" s="390">
        <f ca="1">IF($B$6="ON", IF(AD150&gt;=covid_start, IF(AD150&lt;covid_recovery,NA(),SUMIFS(INDIRECT("Data_main"&amp;"["&amp;AD$8&amp;"]"),Data_main[Data],$A153, Data_main[Segment],$B153, Data_main[Scenario],$B$3)),SUMIFS(INDIRECT("Data_main"&amp;"["&amp;AD$8&amp;"]"),Data_main[Data],$A153, Data_main[Segment],$B153, Data_main[Scenario],$B$3)),SUMIFS(INDIRECT("Data_main"&amp;"["&amp;AD$8&amp;"]"),Data_main[Data],$A153, Data_main[Segment],$B153, Data_main[Scenario],$B$3))</f>
        <v>165.47362506251778</v>
      </c>
      <c r="AE153" s="390">
        <f ca="1">IF($B$6="ON", IF(AE150&gt;=covid_start, IF(AE150&lt;covid_recovery,NA(),SUMIFS(INDIRECT("Data_main"&amp;"["&amp;AE$8&amp;"]"),Data_main[Data],$A153, Data_main[Segment],$B153, Data_main[Scenario],$B$3)),SUMIFS(INDIRECT("Data_main"&amp;"["&amp;AE$8&amp;"]"),Data_main[Data],$A153, Data_main[Segment],$B153, Data_main[Scenario],$B$3)),SUMIFS(INDIRECT("Data_main"&amp;"["&amp;AE$8&amp;"]"),Data_main[Data],$A153, Data_main[Segment],$B153, Data_main[Scenario],$B$3))</f>
        <v>146.16746543394629</v>
      </c>
      <c r="AF153" s="390">
        <f ca="1">IF($B$6="ON", IF(AF150&gt;=covid_start, IF(AF150&lt;covid_recovery,NA(),SUMIFS(INDIRECT("Data_main"&amp;"["&amp;AF$8&amp;"]"),Data_main[Data],$A153, Data_main[Segment],$B153, Data_main[Scenario],$B$3)),SUMIFS(INDIRECT("Data_main"&amp;"["&amp;AF$8&amp;"]"),Data_main[Data],$A153, Data_main[Segment],$B153, Data_main[Scenario],$B$3)),SUMIFS(INDIRECT("Data_main"&amp;"["&amp;AF$8&amp;"]"),Data_main[Data],$A153, Data_main[Segment],$B153, Data_main[Scenario],$B$3))</f>
        <v>127.3650677794507</v>
      </c>
      <c r="AG153" s="390">
        <f ca="1">IF($B$6="ON", IF(AG150&gt;=covid_start, IF(AG150&lt;covid_recovery,NA(),SUMIFS(INDIRECT("Data_main"&amp;"["&amp;AG$8&amp;"]"),Data_main[Data],$A153, Data_main[Segment],$B153, Data_main[Scenario],$B$3)),SUMIFS(INDIRECT("Data_main"&amp;"["&amp;AG$8&amp;"]"),Data_main[Data],$A153, Data_main[Segment],$B153, Data_main[Scenario],$B$3)),SUMIFS(INDIRECT("Data_main"&amp;"["&amp;AG$8&amp;"]"),Data_main[Data],$A153, Data_main[Segment],$B153, Data_main[Scenario],$B$3))</f>
        <v>109.08036058360824</v>
      </c>
      <c r="AH153" s="390">
        <f ca="1">IF($B$6="ON", IF(AH150&gt;=covid_start, IF(AH150&lt;covid_recovery,NA(),SUMIFS(INDIRECT("Data_main"&amp;"["&amp;AH$8&amp;"]"),Data_main[Data],$A153, Data_main[Segment],$B153, Data_main[Scenario],$B$3)),SUMIFS(INDIRECT("Data_main"&amp;"["&amp;AH$8&amp;"]"),Data_main[Data],$A153, Data_main[Segment],$B153, Data_main[Scenario],$B$3)),SUMIFS(INDIRECT("Data_main"&amp;"["&amp;AH$8&amp;"]"),Data_main[Data],$A153, Data_main[Segment],$B153, Data_main[Scenario],$B$3))</f>
        <v>91.311496669777213</v>
      </c>
      <c r="AI153" s="390">
        <f ca="1">IF($B$6="ON", IF(AI150&gt;=covid_start, IF(AI150&lt;covid_recovery,NA(),SUMIFS(INDIRECT("Data_main"&amp;"["&amp;AI$8&amp;"]"),Data_main[Data],$A153, Data_main[Segment],$B153, Data_main[Scenario],$B$3)),SUMIFS(INDIRECT("Data_main"&amp;"["&amp;AI$8&amp;"]"),Data_main[Data],$A153, Data_main[Segment],$B153, Data_main[Scenario],$B$3)),SUMIFS(INDIRECT("Data_main"&amp;"["&amp;AI$8&amp;"]"),Data_main[Data],$A153, Data_main[Segment],$B153, Data_main[Scenario],$B$3))</f>
        <v>74.043415521258751</v>
      </c>
      <c r="AJ153" s="390">
        <f ca="1">IF($B$6="ON", IF(AJ150&gt;=covid_start, IF(AJ150&lt;covid_recovery,NA(),SUMIFS(INDIRECT("Data_main"&amp;"["&amp;AJ$8&amp;"]"),Data_main[Data],$A153, Data_main[Segment],$B153, Data_main[Scenario],$B$3)),SUMIFS(INDIRECT("Data_main"&amp;"["&amp;AJ$8&amp;"]"),Data_main[Data],$A153, Data_main[Segment],$B153, Data_main[Scenario],$B$3)),SUMIFS(INDIRECT("Data_main"&amp;"["&amp;AJ$8&amp;"]"),Data_main[Data],$A153, Data_main[Segment],$B153, Data_main[Scenario],$B$3))</f>
        <v>57.107716668383311</v>
      </c>
      <c r="AK153" s="390">
        <f ca="1">IF($B$6="ON", IF(AK150&gt;=covid_start, IF(AK150&lt;covid_recovery,NA(),SUMIFS(INDIRECT("Data_main"&amp;"["&amp;AK$8&amp;"]"),Data_main[Data],$A153, Data_main[Segment],$B153, Data_main[Scenario],$B$3)),SUMIFS(INDIRECT("Data_main"&amp;"["&amp;AK$8&amp;"]"),Data_main[Data],$A153, Data_main[Segment],$B153, Data_main[Scenario],$B$3)),SUMIFS(INDIRECT("Data_main"&amp;"["&amp;AK$8&amp;"]"),Data_main[Data],$A153, Data_main[Segment],$B153, Data_main[Scenario],$B$3))</f>
        <v>40.610327443166099</v>
      </c>
      <c r="AL153" s="390">
        <f ca="1">IF($B$6="ON", IF(AL150&gt;=covid_start, IF(AL150&lt;covid_recovery,NA(),SUMIFS(INDIRECT("Data_main"&amp;"["&amp;AL$8&amp;"]"),Data_main[Data],$A153, Data_main[Segment],$B153, Data_main[Scenario],$B$3)),SUMIFS(INDIRECT("Data_main"&amp;"["&amp;AL$8&amp;"]"),Data_main[Data],$A153, Data_main[Segment],$B153, Data_main[Scenario],$B$3)),SUMIFS(INDIRECT("Data_main"&amp;"["&amp;AL$8&amp;"]"),Data_main[Data],$A153, Data_main[Segment],$B153, Data_main[Scenario],$B$3))</f>
        <v>24.530860759502989</v>
      </c>
      <c r="AM153" s="390">
        <f ca="1">IF($B$6="ON", IF(AM150&gt;=covid_start, IF(AM150&lt;covid_recovery,NA(),SUMIFS(INDIRECT("Data_main"&amp;"["&amp;AM$8&amp;"]"),Data_main[Data],$A153, Data_main[Segment],$B153, Data_main[Scenario],$B$3)),SUMIFS(INDIRECT("Data_main"&amp;"["&amp;AM$8&amp;"]"),Data_main[Data],$A153, Data_main[Segment],$B153, Data_main[Scenario],$B$3)),SUMIFS(INDIRECT("Data_main"&amp;"["&amp;AM$8&amp;"]"),Data_main[Data],$A153, Data_main[Segment],$B153, Data_main[Scenario],$B$3))</f>
        <v>20.22098781332166</v>
      </c>
      <c r="AN153" s="390">
        <f ca="1">IF($B$6="ON", IF(AN150&gt;=covid_start, IF(AN150&lt;covid_recovery,NA(),SUMIFS(INDIRECT("Data_main"&amp;"["&amp;AN$8&amp;"]"),Data_main[Data],$A153, Data_main[Segment],$B153, Data_main[Scenario],$B$3)),SUMIFS(INDIRECT("Data_main"&amp;"["&amp;AN$8&amp;"]"),Data_main[Data],$A153, Data_main[Segment],$B153, Data_main[Scenario],$B$3)),SUMIFS(INDIRECT("Data_main"&amp;"["&amp;AN$8&amp;"]"),Data_main[Data],$A153, Data_main[Segment],$B153, Data_main[Scenario],$B$3))</f>
        <v>19.541854461001638</v>
      </c>
      <c r="AO153" s="390">
        <f ca="1">IF($B$6="ON", IF(AO150&gt;=covid_start, IF(AO150&lt;covid_recovery,NA(),SUMIFS(INDIRECT("Data_main"&amp;"["&amp;AO$8&amp;"]"),Data_main[Data],$A153, Data_main[Segment],$B153, Data_main[Scenario],$B$3)),SUMIFS(INDIRECT("Data_main"&amp;"["&amp;AO$8&amp;"]"),Data_main[Data],$A153, Data_main[Segment],$B153, Data_main[Scenario],$B$3)),SUMIFS(INDIRECT("Data_main"&amp;"["&amp;AO$8&amp;"]"),Data_main[Data],$A153, Data_main[Segment],$B153, Data_main[Scenario],$B$3))</f>
        <v>0</v>
      </c>
      <c r="AP153" s="390">
        <f ca="1">IF($B$6="ON", IF(AP150&gt;=covid_start, IF(AP150&lt;covid_recovery,NA(),SUMIFS(INDIRECT("Data_main"&amp;"["&amp;AP$8&amp;"]"),Data_main[Data],$A153, Data_main[Segment],$B153, Data_main[Scenario],$B$3)),SUMIFS(INDIRECT("Data_main"&amp;"["&amp;AP$8&amp;"]"),Data_main[Data],$A153, Data_main[Segment],$B153, Data_main[Scenario],$B$3)),SUMIFS(INDIRECT("Data_main"&amp;"["&amp;AP$8&amp;"]"),Data_main[Data],$A153, Data_main[Segment],$B153, Data_main[Scenario],$B$3))</f>
        <v>0</v>
      </c>
      <c r="AQ153" s="390">
        <f ca="1">IF($B$6="ON", IF(AQ150&gt;=covid_start, IF(AQ150&lt;covid_recovery,NA(),SUMIFS(INDIRECT("Data_main"&amp;"["&amp;AQ$8&amp;"]"),Data_main[Data],$A153, Data_main[Segment],$B153, Data_main[Scenario],$B$3)),SUMIFS(INDIRECT("Data_main"&amp;"["&amp;AQ$8&amp;"]"),Data_main[Data],$A153, Data_main[Segment],$B153, Data_main[Scenario],$B$3)),SUMIFS(INDIRECT("Data_main"&amp;"["&amp;AQ$8&amp;"]"),Data_main[Data],$A153, Data_main[Segment],$B153, Data_main[Scenario],$B$3))</f>
        <v>0</v>
      </c>
      <c r="AR153" s="390">
        <f ca="1">IF($B$6="ON", IF(AR150&gt;=covid_start, IF(AR150&lt;covid_recovery,NA(),SUMIFS(INDIRECT("Data_main"&amp;"["&amp;AR$8&amp;"]"),Data_main[Data],$A153, Data_main[Segment],$B153, Data_main[Scenario],$B$3)),SUMIFS(INDIRECT("Data_main"&amp;"["&amp;AR$8&amp;"]"),Data_main[Data],$A153, Data_main[Segment],$B153, Data_main[Scenario],$B$3)),SUMIFS(INDIRECT("Data_main"&amp;"["&amp;AR$8&amp;"]"),Data_main[Data],$A153, Data_main[Segment],$B153, Data_main[Scenario],$B$3))</f>
        <v>0</v>
      </c>
      <c r="AS153" s="390">
        <f ca="1">IF($B$6="ON", IF(AS150&gt;=covid_start, IF(AS150&lt;covid_recovery,NA(),SUMIFS(INDIRECT("Data_main"&amp;"["&amp;AS$8&amp;"]"),Data_main[Data],$A153, Data_main[Segment],$B153, Data_main[Scenario],$B$3)),SUMIFS(INDIRECT("Data_main"&amp;"["&amp;AS$8&amp;"]"),Data_main[Data],$A153, Data_main[Segment],$B153, Data_main[Scenario],$B$3)),SUMIFS(INDIRECT("Data_main"&amp;"["&amp;AS$8&amp;"]"),Data_main[Data],$A153, Data_main[Segment],$B153, Data_main[Scenario],$B$3))</f>
        <v>0</v>
      </c>
      <c r="AT153" s="390">
        <f ca="1">IF($B$6="ON", IF(AT150&gt;=covid_start, IF(AT150&lt;covid_recovery,NA(),SUMIFS(INDIRECT("Data_main"&amp;"["&amp;AT$8&amp;"]"),Data_main[Data],$A153, Data_main[Segment],$B153, Data_main[Scenario],$B$3)),SUMIFS(INDIRECT("Data_main"&amp;"["&amp;AT$8&amp;"]"),Data_main[Data],$A153, Data_main[Segment],$B153, Data_main[Scenario],$B$3)),SUMIFS(INDIRECT("Data_main"&amp;"["&amp;AT$8&amp;"]"),Data_main[Data],$A153, Data_main[Segment],$B153, Data_main[Scenario],$B$3))</f>
        <v>0</v>
      </c>
      <c r="AU153" s="390">
        <f ca="1">IF($B$6="ON", IF(AU150&gt;=covid_start, IF(AU150&lt;covid_recovery,NA(),SUMIFS(INDIRECT("Data_main"&amp;"["&amp;AU$8&amp;"]"),Data_main[Data],$A153, Data_main[Segment],$B153, Data_main[Scenario],$B$3)),SUMIFS(INDIRECT("Data_main"&amp;"["&amp;AU$8&amp;"]"),Data_main[Data],$A153, Data_main[Segment],$B153, Data_main[Scenario],$B$3)),SUMIFS(INDIRECT("Data_main"&amp;"["&amp;AU$8&amp;"]"),Data_main[Data],$A153, Data_main[Segment],$B153, Data_main[Scenario],$B$3))</f>
        <v>0</v>
      </c>
      <c r="AV153" s="390">
        <f ca="1">IF($B$6="ON", IF(AV150&gt;=covid_start, IF(AV150&lt;covid_recovery,NA(),SUMIFS(INDIRECT("Data_main"&amp;"["&amp;AV$8&amp;"]"),Data_main[Data],$A153, Data_main[Segment],$B153, Data_main[Scenario],$B$3)),SUMIFS(INDIRECT("Data_main"&amp;"["&amp;AV$8&amp;"]"),Data_main[Data],$A153, Data_main[Segment],$B153, Data_main[Scenario],$B$3)),SUMIFS(INDIRECT("Data_main"&amp;"["&amp;AV$8&amp;"]"),Data_main[Data],$A153, Data_main[Segment],$B153, Data_main[Scenario],$B$3))</f>
        <v>0</v>
      </c>
      <c r="AW153" s="390">
        <f ca="1">IF($B$6="ON", IF(AW150&gt;=covid_start, IF(AW150&lt;covid_recovery,NA(),SUMIFS(INDIRECT("Data_main"&amp;"["&amp;AW$8&amp;"]"),Data_main[Data],$A153, Data_main[Segment],$B153, Data_main[Scenario],$B$3)),SUMIFS(INDIRECT("Data_main"&amp;"["&amp;AW$8&amp;"]"),Data_main[Data],$A153, Data_main[Segment],$B153, Data_main[Scenario],$B$3)),SUMIFS(INDIRECT("Data_main"&amp;"["&amp;AW$8&amp;"]"),Data_main[Data],$A153, Data_main[Segment],$B153, Data_main[Scenario],$B$3))</f>
        <v>0</v>
      </c>
      <c r="AX153" s="390">
        <f ca="1">IF($B$6="ON", IF(AX150&gt;=covid_start, IF(AX150&lt;covid_recovery,NA(),SUMIFS(INDIRECT("Data_main"&amp;"["&amp;AX$8&amp;"]"),Data_main[Data],$A153, Data_main[Segment],$B153, Data_main[Scenario],$B$3)),SUMIFS(INDIRECT("Data_main"&amp;"["&amp;AX$8&amp;"]"),Data_main[Data],$A153, Data_main[Segment],$B153, Data_main[Scenario],$B$3)),SUMIFS(INDIRECT("Data_main"&amp;"["&amp;AX$8&amp;"]"),Data_main[Data],$A153, Data_main[Segment],$B153, Data_main[Scenario],$B$3))</f>
        <v>0</v>
      </c>
      <c r="AY153" s="390">
        <f ca="1">IF($B$6="ON", IF(AY150&gt;=covid_start, IF(AY150&lt;covid_recovery,NA(),SUMIFS(INDIRECT("Data_main"&amp;"["&amp;AY$8&amp;"]"),Data_main[Data],$A153, Data_main[Segment],$B153, Data_main[Scenario],$B$3)),SUMIFS(INDIRECT("Data_main"&amp;"["&amp;AY$8&amp;"]"),Data_main[Data],$A153, Data_main[Segment],$B153, Data_main[Scenario],$B$3)),SUMIFS(INDIRECT("Data_main"&amp;"["&amp;AY$8&amp;"]"),Data_main[Data],$A153, Data_main[Segment],$B153, Data_main[Scenario],$B$3))</f>
        <v>0</v>
      </c>
      <c r="AZ153" s="390">
        <f ca="1">IF($B$6="ON", IF(AZ150&gt;=covid_start, IF(AZ150&lt;covid_recovery,NA(),SUMIFS(INDIRECT("Data_main"&amp;"["&amp;AZ$8&amp;"]"),Data_main[Data],$A153, Data_main[Segment],$B153, Data_main[Scenario],$B$3)),SUMIFS(INDIRECT("Data_main"&amp;"["&amp;AZ$8&amp;"]"),Data_main[Data],$A153, Data_main[Segment],$B153, Data_main[Scenario],$B$3)),SUMIFS(INDIRECT("Data_main"&amp;"["&amp;AZ$8&amp;"]"),Data_main[Data],$A153, Data_main[Segment],$B153, Data_main[Scenario],$B$3))</f>
        <v>0</v>
      </c>
      <c r="BA153" s="390">
        <f ca="1">IF($B$6="ON", IF(BA150&gt;=covid_start, IF(BA150&lt;covid_recovery,NA(),SUMIFS(INDIRECT("Data_main"&amp;"["&amp;BA$8&amp;"]"),Data_main[Data],$A153, Data_main[Segment],$B153, Data_main[Scenario],$B$3)),SUMIFS(INDIRECT("Data_main"&amp;"["&amp;BA$8&amp;"]"),Data_main[Data],$A153, Data_main[Segment],$B153, Data_main[Scenario],$B$3)),SUMIFS(INDIRECT("Data_main"&amp;"["&amp;BA$8&amp;"]"),Data_main[Data],$A153, Data_main[Segment],$B153, Data_main[Scenario],$B$3))</f>
        <v>0</v>
      </c>
      <c r="BB153" s="390">
        <f ca="1">IF($B$6="ON", IF(BB150&gt;=covid_start, IF(BB150&lt;covid_recovery,NA(),SUMIFS(INDIRECT("Data_main"&amp;"["&amp;BB$8&amp;"]"),Data_main[Data],$A153, Data_main[Segment],$B153, Data_main[Scenario],$B$3)),SUMIFS(INDIRECT("Data_main"&amp;"["&amp;BB$8&amp;"]"),Data_main[Data],$A153, Data_main[Segment],$B153, Data_main[Scenario],$B$3)),SUMIFS(INDIRECT("Data_main"&amp;"["&amp;BB$8&amp;"]"),Data_main[Data],$A153, Data_main[Segment],$B153, Data_main[Scenario],$B$3))</f>
        <v>0</v>
      </c>
      <c r="BC153" s="390">
        <f ca="1">IF($B$6="ON", IF(BC150&gt;=covid_start, IF(BC150&lt;covid_recovery,NA(),SUMIFS(INDIRECT("Data_main"&amp;"["&amp;BC$8&amp;"]"),Data_main[Data],$A153, Data_main[Segment],$B153, Data_main[Scenario],$B$3)),SUMIFS(INDIRECT("Data_main"&amp;"["&amp;BC$8&amp;"]"),Data_main[Data],$A153, Data_main[Segment],$B153, Data_main[Scenario],$B$3)),SUMIFS(INDIRECT("Data_main"&amp;"["&amp;BC$8&amp;"]"),Data_main[Data],$A153, Data_main[Segment],$B153, Data_main[Scenario],$B$3))</f>
        <v>0</v>
      </c>
      <c r="BD153" s="390">
        <f ca="1">IF($B$6="ON", IF(BD150&gt;=covid_start, IF(BD150&lt;covid_recovery,NA(),SUMIFS(INDIRECT("Data_main"&amp;"["&amp;BD$8&amp;"]"),Data_main[Data],$A153, Data_main[Segment],$B153, Data_main[Scenario],$B$3)),SUMIFS(INDIRECT("Data_main"&amp;"["&amp;BD$8&amp;"]"),Data_main[Data],$A153, Data_main[Segment],$B153, Data_main[Scenario],$B$3)),SUMIFS(INDIRECT("Data_main"&amp;"["&amp;BD$8&amp;"]"),Data_main[Data],$A153, Data_main[Segment],$B153, Data_main[Scenario],$B$3))</f>
        <v>0</v>
      </c>
      <c r="BE153" s="390">
        <f ca="1">IF($B$6="ON", IF(BE150&gt;=covid_start, IF(BE150&lt;covid_recovery,NA(),SUMIFS(INDIRECT("Data_main"&amp;"["&amp;BE$8&amp;"]"),Data_main[Data],$A153, Data_main[Segment],$B153, Data_main[Scenario],$B$3)),SUMIFS(INDIRECT("Data_main"&amp;"["&amp;BE$8&amp;"]"),Data_main[Data],$A153, Data_main[Segment],$B153, Data_main[Scenario],$B$3)),SUMIFS(INDIRECT("Data_main"&amp;"["&amp;BE$8&amp;"]"),Data_main[Data],$A153, Data_main[Segment],$B153, Data_main[Scenario],$B$3))</f>
        <v>0</v>
      </c>
      <c r="BF153" s="390">
        <f ca="1">IF($B$6="ON", IF(BF150&gt;=covid_start, IF(BF150&lt;covid_recovery,NA(),SUMIFS(INDIRECT("Data_main"&amp;"["&amp;BF$8&amp;"]"),Data_main[Data],$A153, Data_main[Segment],$B153, Data_main[Scenario],$B$3)),SUMIFS(INDIRECT("Data_main"&amp;"["&amp;BF$8&amp;"]"),Data_main[Data],$A153, Data_main[Segment],$B153, Data_main[Scenario],$B$3)),SUMIFS(INDIRECT("Data_main"&amp;"["&amp;BF$8&amp;"]"),Data_main[Data],$A153, Data_main[Segment],$B153, Data_main[Scenario],$B$3))</f>
        <v>0</v>
      </c>
      <c r="BG153" s="390">
        <f ca="1">IF($B$6="ON", IF(BG150&gt;=covid_start, IF(BG150&lt;covid_recovery,NA(),SUMIFS(INDIRECT("Data_main"&amp;"["&amp;BG$8&amp;"]"),Data_main[Data],$A153, Data_main[Segment],$B153, Data_main[Scenario],$B$3)),SUMIFS(INDIRECT("Data_main"&amp;"["&amp;BG$8&amp;"]"),Data_main[Data],$A153, Data_main[Segment],$B153, Data_main[Scenario],$B$3)),SUMIFS(INDIRECT("Data_main"&amp;"["&amp;BG$8&amp;"]"),Data_main[Data],$A153, Data_main[Segment],$B153, Data_main[Scenario],$B$3))</f>
        <v>0</v>
      </c>
      <c r="BH153" s="390">
        <f ca="1">IF($B$6="ON", IF(BH150&gt;=covid_start, IF(BH150&lt;covid_recovery,NA(),SUMIFS(INDIRECT("Data_main"&amp;"["&amp;BH$8&amp;"]"),Data_main[Data],$A153, Data_main[Segment],$B153, Data_main[Scenario],$B$3)),SUMIFS(INDIRECT("Data_main"&amp;"["&amp;BH$8&amp;"]"),Data_main[Data],$A153, Data_main[Segment],$B153, Data_main[Scenario],$B$3)),SUMIFS(INDIRECT("Data_main"&amp;"["&amp;BH$8&amp;"]"),Data_main[Data],$A153, Data_main[Segment],$B153, Data_main[Scenario],$B$3))</f>
        <v>0</v>
      </c>
      <c r="BI153" s="390">
        <f ca="1">IF($B$6="ON", IF(BI150&gt;=covid_start, IF(BI150&lt;covid_recovery,NA(),SUMIFS(INDIRECT("Data_main"&amp;"["&amp;BI$8&amp;"]"),Data_main[Data],$A153, Data_main[Segment],$B153, Data_main[Scenario],$B$3)),SUMIFS(INDIRECT("Data_main"&amp;"["&amp;BI$8&amp;"]"),Data_main[Data],$A153, Data_main[Segment],$B153, Data_main[Scenario],$B$3)),SUMIFS(INDIRECT("Data_main"&amp;"["&amp;BI$8&amp;"]"),Data_main[Data],$A153, Data_main[Segment],$B153, Data_main[Scenario],$B$3))</f>
        <v>0</v>
      </c>
      <c r="BJ153" s="390">
        <f ca="1">IF($B$6="ON", IF(BJ150&gt;=covid_start, IF(BJ150&lt;covid_recovery,NA(),SUMIFS(INDIRECT("Data_main"&amp;"["&amp;BJ$8&amp;"]"),Data_main[Data],$A153, Data_main[Segment],$B153, Data_main[Scenario],$B$3)),SUMIFS(INDIRECT("Data_main"&amp;"["&amp;BJ$8&amp;"]"),Data_main[Data],$A153, Data_main[Segment],$B153, Data_main[Scenario],$B$3)),SUMIFS(INDIRECT("Data_main"&amp;"["&amp;BJ$8&amp;"]"),Data_main[Data],$A153, Data_main[Segment],$B153, Data_main[Scenario],$B$3))</f>
        <v>0</v>
      </c>
      <c r="BK153" s="390">
        <f ca="1">IF($B$6="ON", IF(BK150&gt;=covid_start, IF(BK150&lt;covid_recovery,NA(),SUMIFS(INDIRECT("Data_main"&amp;"["&amp;BK$8&amp;"]"),Data_main[Data],$A153, Data_main[Segment],$B153, Data_main[Scenario],$B$3)),SUMIFS(INDIRECT("Data_main"&amp;"["&amp;BK$8&amp;"]"),Data_main[Data],$A153, Data_main[Segment],$B153, Data_main[Scenario],$B$3)),SUMIFS(INDIRECT("Data_main"&amp;"["&amp;BK$8&amp;"]"),Data_main[Data],$A153, Data_main[Segment],$B153, Data_main[Scenario],$B$3))</f>
        <v>0</v>
      </c>
      <c r="BL153" s="390">
        <f ca="1">IF($B$6="ON", IF(BL150&gt;=covid_start, IF(BL150&lt;covid_recovery,NA(),SUMIFS(INDIRECT("Data_main"&amp;"["&amp;BL$8&amp;"]"),Data_main[Data],$A153, Data_main[Segment],$B153, Data_main[Scenario],$B$3)),SUMIFS(INDIRECT("Data_main"&amp;"["&amp;BL$8&amp;"]"),Data_main[Data],$A153, Data_main[Segment],$B153, Data_main[Scenario],$B$3)),SUMIFS(INDIRECT("Data_main"&amp;"["&amp;BL$8&amp;"]"),Data_main[Data],$A153, Data_main[Segment],$B153, Data_main[Scenario],$B$3))</f>
        <v>0</v>
      </c>
      <c r="BM153" s="390">
        <f ca="1">IF($B$6="ON", IF(BM150&gt;=covid_start, IF(BM150&lt;covid_recovery,NA(),SUMIFS(INDIRECT("Data_main"&amp;"["&amp;BM$8&amp;"]"),Data_main[Data],$A153, Data_main[Segment],$B153, Data_main[Scenario],$B$3)),SUMIFS(INDIRECT("Data_main"&amp;"["&amp;BM$8&amp;"]"),Data_main[Data],$A153, Data_main[Segment],$B153, Data_main[Scenario],$B$3)),SUMIFS(INDIRECT("Data_main"&amp;"["&amp;BM$8&amp;"]"),Data_main[Data],$A153, Data_main[Segment],$B153, Data_main[Scenario],$B$3))</f>
        <v>0</v>
      </c>
      <c r="BN153" s="390">
        <f ca="1">IF($B$6="ON", IF(BN150&gt;=covid_start, IF(BN150&lt;covid_recovery,NA(),SUMIFS(INDIRECT("Data_main"&amp;"["&amp;BN$8&amp;"]"),Data_main[Data],$A153, Data_main[Segment],$B153, Data_main[Scenario],$B$3)),SUMIFS(INDIRECT("Data_main"&amp;"["&amp;BN$8&amp;"]"),Data_main[Data],$A153, Data_main[Segment],$B153, Data_main[Scenario],$B$3)),SUMIFS(INDIRECT("Data_main"&amp;"["&amp;BN$8&amp;"]"),Data_main[Data],$A153, Data_main[Segment],$B153, Data_main[Scenario],$B$3))</f>
        <v>0</v>
      </c>
      <c r="BO153" s="390">
        <f ca="1">IF($B$6="ON", IF(BO150&gt;=covid_start, IF(BO150&lt;covid_recovery,NA(),SUMIFS(INDIRECT("Data_main"&amp;"["&amp;BO$8&amp;"]"),Data_main[Data],$A153, Data_main[Segment],$B153, Data_main[Scenario],$B$3)),SUMIFS(INDIRECT("Data_main"&amp;"["&amp;BO$8&amp;"]"),Data_main[Data],$A153, Data_main[Segment],$B153, Data_main[Scenario],$B$3)),SUMIFS(INDIRECT("Data_main"&amp;"["&amp;BO$8&amp;"]"),Data_main[Data],$A153, Data_main[Segment],$B153, Data_main[Scenario],$B$3))</f>
        <v>0</v>
      </c>
      <c r="BP153" s="390">
        <f ca="1">IF($B$6="ON", IF(BP150&gt;=covid_start, IF(BP150&lt;covid_recovery,NA(),SUMIFS(INDIRECT("Data_main"&amp;"["&amp;BP$8&amp;"]"),Data_main[Data],$A153, Data_main[Segment],$B153, Data_main[Scenario],$B$3)),SUMIFS(INDIRECT("Data_main"&amp;"["&amp;BP$8&amp;"]"),Data_main[Data],$A153, Data_main[Segment],$B153, Data_main[Scenario],$B$3)),SUMIFS(INDIRECT("Data_main"&amp;"["&amp;BP$8&amp;"]"),Data_main[Data],$A153, Data_main[Segment],$B153, Data_main[Scenario],$B$3))</f>
        <v>0</v>
      </c>
      <c r="BQ153" s="390">
        <f ca="1">IF($B$6="ON", IF(BQ150&gt;=covid_start, IF(BQ150&lt;covid_recovery,NA(),SUMIFS(INDIRECT("Data_main"&amp;"["&amp;BQ$8&amp;"]"),Data_main[Data],$A153, Data_main[Segment],$B153, Data_main[Scenario],$B$3)),SUMIFS(INDIRECT("Data_main"&amp;"["&amp;BQ$8&amp;"]"),Data_main[Data],$A153, Data_main[Segment],$B153, Data_main[Scenario],$B$3)),SUMIFS(INDIRECT("Data_main"&amp;"["&amp;BQ$8&amp;"]"),Data_main[Data],$A153, Data_main[Segment],$B153, Data_main[Scenario],$B$3))</f>
        <v>0</v>
      </c>
      <c r="BR153" s="390">
        <f ca="1">IF($B$6="ON", IF(BR150&gt;=covid_start, IF(BR150&lt;covid_recovery,NA(),SUMIFS(INDIRECT("Data_main"&amp;"["&amp;BR$8&amp;"]"),Data_main[Data],$A153, Data_main[Segment],$B153, Data_main[Scenario],$B$3)),SUMIFS(INDIRECT("Data_main"&amp;"["&amp;BR$8&amp;"]"),Data_main[Data],$A153, Data_main[Segment],$B153, Data_main[Scenario],$B$3)),SUMIFS(INDIRECT("Data_main"&amp;"["&amp;BR$8&amp;"]"),Data_main[Data],$A153, Data_main[Segment],$B153, Data_main[Scenario],$B$3))</f>
        <v>0</v>
      </c>
      <c r="BS153" s="390">
        <f ca="1">IF($B$6="ON", IF(BS150&gt;=covid_start, IF(BS150&lt;covid_recovery,NA(),SUMIFS(INDIRECT("Data_main"&amp;"["&amp;BS$8&amp;"]"),Data_main[Data],$A153, Data_main[Segment],$B153, Data_main[Scenario],$B$3)),SUMIFS(INDIRECT("Data_main"&amp;"["&amp;BS$8&amp;"]"),Data_main[Data],$A153, Data_main[Segment],$B153, Data_main[Scenario],$B$3)),SUMIFS(INDIRECT("Data_main"&amp;"["&amp;BS$8&amp;"]"),Data_main[Data],$A153, Data_main[Segment],$B153, Data_main[Scenario],$B$3))</f>
        <v>0</v>
      </c>
      <c r="BT153" s="390">
        <f ca="1">IF($B$6="ON", IF(BT150&gt;=covid_start, IF(BT150&lt;covid_recovery,NA(),SUMIFS(INDIRECT("Data_main"&amp;"["&amp;BT$8&amp;"]"),Data_main[Data],$A153, Data_main[Segment],$B153, Data_main[Scenario],$B$3)),SUMIFS(INDIRECT("Data_main"&amp;"["&amp;BT$8&amp;"]"),Data_main[Data],$A153, Data_main[Segment],$B153, Data_main[Scenario],$B$3)),SUMIFS(INDIRECT("Data_main"&amp;"["&amp;BT$8&amp;"]"),Data_main[Data],$A153, Data_main[Segment],$B153, Data_main[Scenario],$B$3))</f>
        <v>0</v>
      </c>
      <c r="BU153" s="390">
        <f ca="1">IF($B$6="ON", IF(BU150&gt;=covid_start, IF(BU150&lt;covid_recovery,NA(),SUMIFS(INDIRECT("Data_main"&amp;"["&amp;BU$8&amp;"]"),Data_main[Data],$A153, Data_main[Segment],$B153, Data_main[Scenario],$B$3)),SUMIFS(INDIRECT("Data_main"&amp;"["&amp;BU$8&amp;"]"),Data_main[Data],$A153, Data_main[Segment],$B153, Data_main[Scenario],$B$3)),SUMIFS(INDIRECT("Data_main"&amp;"["&amp;BU$8&amp;"]"),Data_main[Data],$A153, Data_main[Segment],$B153, Data_main[Scenario],$B$3))</f>
        <v>0</v>
      </c>
      <c r="BV153" s="390">
        <f ca="1">IF($B$6="ON", IF(BV150&gt;=covid_start, IF(BV150&lt;covid_recovery,NA(),SUMIFS(INDIRECT("Data_main"&amp;"["&amp;BV$8&amp;"]"),Data_main[Data],$A153, Data_main[Segment],$B153, Data_main[Scenario],$B$3)),SUMIFS(INDIRECT("Data_main"&amp;"["&amp;BV$8&amp;"]"),Data_main[Data],$A153, Data_main[Segment],$B153, Data_main[Scenario],$B$3)),SUMIFS(INDIRECT("Data_main"&amp;"["&amp;BV$8&amp;"]"),Data_main[Data],$A153, Data_main[Segment],$B153, Data_main[Scenario],$B$3))</f>
        <v>0</v>
      </c>
      <c r="BW153" s="390">
        <f ca="1">IF($B$6="ON", IF(BW150&gt;=covid_start, IF(BW150&lt;covid_recovery,NA(),SUMIFS(INDIRECT("Data_main"&amp;"["&amp;BW$8&amp;"]"),Data_main[Data],$A153, Data_main[Segment],$B153, Data_main[Scenario],$B$3)),SUMIFS(INDIRECT("Data_main"&amp;"["&amp;BW$8&amp;"]"),Data_main[Data],$A153, Data_main[Segment],$B153, Data_main[Scenario],$B$3)),SUMIFS(INDIRECT("Data_main"&amp;"["&amp;BW$8&amp;"]"),Data_main[Data],$A153, Data_main[Segment],$B153, Data_main[Scenario],$B$3))</f>
        <v>0</v>
      </c>
      <c r="BX153" s="390">
        <f ca="1">IF($B$6="ON", IF(BX150&gt;=covid_start, IF(BX150&lt;covid_recovery,NA(),SUMIFS(INDIRECT("Data_main"&amp;"["&amp;BX$8&amp;"]"),Data_main[Data],$A153, Data_main[Segment],$B153, Data_main[Scenario],$B$3)),SUMIFS(INDIRECT("Data_main"&amp;"["&amp;BX$8&amp;"]"),Data_main[Data],$A153, Data_main[Segment],$B153, Data_main[Scenario],$B$3)),SUMIFS(INDIRECT("Data_main"&amp;"["&amp;BX$8&amp;"]"),Data_main[Data],$A153, Data_main[Segment],$B153, Data_main[Scenario],$B$3))</f>
        <v>0</v>
      </c>
      <c r="BY153" s="390">
        <f ca="1">IF($B$6="ON", IF(BY150&gt;=covid_start, IF(BY150&lt;covid_recovery,NA(),SUMIFS(INDIRECT("Data_main"&amp;"["&amp;BY$8&amp;"]"),Data_main[Data],$A153, Data_main[Segment],$B153, Data_main[Scenario],$B$3)),SUMIFS(INDIRECT("Data_main"&amp;"["&amp;BY$8&amp;"]"),Data_main[Data],$A153, Data_main[Segment],$B153, Data_main[Scenario],$B$3)),SUMIFS(INDIRECT("Data_main"&amp;"["&amp;BY$8&amp;"]"),Data_main[Data],$A153, Data_main[Segment],$B153, Data_main[Scenario],$B$3))</f>
        <v>0</v>
      </c>
      <c r="BZ153" s="390">
        <f ca="1">IF($B$6="ON", IF(BZ150&gt;=covid_start, IF(BZ150&lt;covid_recovery,NA(),SUMIFS(INDIRECT("Data_main"&amp;"["&amp;BZ$8&amp;"]"),Data_main[Data],$A153, Data_main[Segment],$B153, Data_main[Scenario],$B$3)),SUMIFS(INDIRECT("Data_main"&amp;"["&amp;BZ$8&amp;"]"),Data_main[Data],$A153, Data_main[Segment],$B153, Data_main[Scenario],$B$3)),SUMIFS(INDIRECT("Data_main"&amp;"["&amp;BZ$8&amp;"]"),Data_main[Data],$A153, Data_main[Segment],$B153, Data_main[Scenario],$B$3))</f>
        <v>0</v>
      </c>
      <c r="CA153" s="390">
        <f ca="1">IF($B$6="ON", IF(CA150&gt;=covid_start, IF(CA150&lt;covid_recovery,NA(),SUMIFS(INDIRECT("Data_main"&amp;"["&amp;CA$8&amp;"]"),Data_main[Data],$A153, Data_main[Segment],$B153, Data_main[Scenario],$B$3)),SUMIFS(INDIRECT("Data_main"&amp;"["&amp;CA$8&amp;"]"),Data_main[Data],$A153, Data_main[Segment],$B153, Data_main[Scenario],$B$3)),SUMIFS(INDIRECT("Data_main"&amp;"["&amp;CA$8&amp;"]"),Data_main[Data],$A153, Data_main[Segment],$B153, Data_main[Scenario],$B$3))</f>
        <v>0</v>
      </c>
      <c r="CB153" s="390">
        <f ca="1">IF($B$6="ON", IF(CB150&gt;=covid_start, IF(CB150&lt;covid_recovery,NA(),SUMIFS(INDIRECT("Data_main"&amp;"["&amp;CB$8&amp;"]"),Data_main[Data],$A153, Data_main[Segment],$B153, Data_main[Scenario],$B$3)),SUMIFS(INDIRECT("Data_main"&amp;"["&amp;CB$8&amp;"]"),Data_main[Data],$A153, Data_main[Segment],$B153, Data_main[Scenario],$B$3)),SUMIFS(INDIRECT("Data_main"&amp;"["&amp;CB$8&amp;"]"),Data_main[Data],$A153, Data_main[Segment],$B153, Data_main[Scenario],$B$3))</f>
        <v>0</v>
      </c>
      <c r="CC153" s="390">
        <f ca="1">IF($B$6="ON", IF(CC150&gt;=covid_start, IF(CC150&lt;covid_recovery,NA(),SUMIFS(INDIRECT("Data_main"&amp;"["&amp;CC$8&amp;"]"),Data_main[Data],$A153, Data_main[Segment],$B153, Data_main[Scenario],$B$3)),SUMIFS(INDIRECT("Data_main"&amp;"["&amp;CC$8&amp;"]"),Data_main[Data],$A153, Data_main[Segment],$B153, Data_main[Scenario],$B$3)),SUMIFS(INDIRECT("Data_main"&amp;"["&amp;CC$8&amp;"]"),Data_main[Data],$A153, Data_main[Segment],$B153, Data_main[Scenario],$B$3))</f>
        <v>0</v>
      </c>
      <c r="CD153" s="390">
        <f ca="1">IF($B$6="ON", IF(CD150&gt;=covid_start, IF(CD150&lt;covid_recovery,NA(),SUMIFS(INDIRECT("Data_main"&amp;"["&amp;CD$8&amp;"]"),Data_main[Data],$A153, Data_main[Segment],$B153, Data_main[Scenario],$B$3)),SUMIFS(INDIRECT("Data_main"&amp;"["&amp;CD$8&amp;"]"),Data_main[Data],$A153, Data_main[Segment],$B153, Data_main[Scenario],$B$3)),SUMIFS(INDIRECT("Data_main"&amp;"["&amp;CD$8&amp;"]"),Data_main[Data],$A153, Data_main[Segment],$B153, Data_main[Scenario],$B$3))</f>
        <v>0</v>
      </c>
      <c r="CE153" s="390">
        <f ca="1">IF($B$6="ON", IF(CE150&gt;=covid_start, IF(CE150&lt;covid_recovery,NA(),SUMIFS(INDIRECT("Data_main"&amp;"["&amp;CE$8&amp;"]"),Data_main[Data],$A153, Data_main[Segment],$B153, Data_main[Scenario],$B$3)),SUMIFS(INDIRECT("Data_main"&amp;"["&amp;CE$8&amp;"]"),Data_main[Data],$A153, Data_main[Segment],$B153, Data_main[Scenario],$B$3)),SUMIFS(INDIRECT("Data_main"&amp;"["&amp;CE$8&amp;"]"),Data_main[Data],$A153, Data_main[Segment],$B153, Data_main[Scenario],$B$3))</f>
        <v>0</v>
      </c>
      <c r="CF153" s="390">
        <f ca="1">IF($B$6="ON", IF(CF150&gt;=covid_start, IF(CF150&lt;covid_recovery,NA(),SUMIFS(INDIRECT("Data_main"&amp;"["&amp;CF$8&amp;"]"),Data_main[Data],$A153, Data_main[Segment],$B153, Data_main[Scenario],$B$3)),SUMIFS(INDIRECT("Data_main"&amp;"["&amp;CF$8&amp;"]"),Data_main[Data],$A153, Data_main[Segment],$B153, Data_main[Scenario],$B$3)),SUMIFS(INDIRECT("Data_main"&amp;"["&amp;CF$8&amp;"]"),Data_main[Data],$A153, Data_main[Segment],$B153, Data_main[Scenario],$B$3))</f>
        <v>0</v>
      </c>
      <c r="CG153" s="390">
        <f ca="1">IF($B$6="ON", IF(CG150&gt;=covid_start, IF(CG150&lt;covid_recovery,NA(),SUMIFS(INDIRECT("Data_main"&amp;"["&amp;CG$8&amp;"]"),Data_main[Data],$A153, Data_main[Segment],$B153, Data_main[Scenario],$B$3)),SUMIFS(INDIRECT("Data_main"&amp;"["&amp;CG$8&amp;"]"),Data_main[Data],$A153, Data_main[Segment],$B153, Data_main[Scenario],$B$3)),SUMIFS(INDIRECT("Data_main"&amp;"["&amp;CG$8&amp;"]"),Data_main[Data],$A153, Data_main[Segment],$B153, Data_main[Scenario],$B$3))</f>
        <v>0</v>
      </c>
      <c r="CH153" s="390">
        <f ca="1">IF($B$6="ON", IF(CH150&gt;=covid_start, IF(CH150&lt;covid_recovery,NA(),SUMIFS(INDIRECT("Data_main"&amp;"["&amp;CH$8&amp;"]"),Data_main[Data],$A153, Data_main[Segment],$B153, Data_main[Scenario],$B$3)),SUMIFS(INDIRECT("Data_main"&amp;"["&amp;CH$8&amp;"]"),Data_main[Data],$A153, Data_main[Segment],$B153, Data_main[Scenario],$B$3)),SUMIFS(INDIRECT("Data_main"&amp;"["&amp;CH$8&amp;"]"),Data_main[Data],$A153, Data_main[Segment],$B153, Data_main[Scenario],$B$3))</f>
        <v>0</v>
      </c>
      <c r="CI153" s="390">
        <f ca="1">IF($B$6="ON", IF(CI150&gt;=covid_start, IF(CI150&lt;covid_recovery,NA(),SUMIFS(INDIRECT("Data_main"&amp;"["&amp;CI$8&amp;"]"),Data_main[Data],$A153, Data_main[Segment],$B153, Data_main[Scenario],$B$3)),SUMIFS(INDIRECT("Data_main"&amp;"["&amp;CI$8&amp;"]"),Data_main[Data],$A153, Data_main[Segment],$B153, Data_main[Scenario],$B$3)),SUMIFS(INDIRECT("Data_main"&amp;"["&amp;CI$8&amp;"]"),Data_main[Data],$A153, Data_main[Segment],$B153, Data_main[Scenario],$B$3))</f>
        <v>0</v>
      </c>
      <c r="CJ153" s="390">
        <f ca="1">IF($B$6="ON", IF(CJ150&gt;=covid_start, IF(CJ150&lt;covid_recovery,NA(),SUMIFS(INDIRECT("Data_main"&amp;"["&amp;CJ$8&amp;"]"),Data_main[Data],$A153, Data_main[Segment],$B153, Data_main[Scenario],$B$3)),SUMIFS(INDIRECT("Data_main"&amp;"["&amp;CJ$8&amp;"]"),Data_main[Data],$A153, Data_main[Segment],$B153, Data_main[Scenario],$B$3)),SUMIFS(INDIRECT("Data_main"&amp;"["&amp;CJ$8&amp;"]"),Data_main[Data],$A153, Data_main[Segment],$B153, Data_main[Scenario],$B$3))</f>
        <v>0</v>
      </c>
      <c r="CK153" s="390">
        <f ca="1">IF($B$6="ON", IF(CK150&gt;=covid_start, IF(CK150&lt;covid_recovery,NA(),SUMIFS(INDIRECT("Data_main"&amp;"["&amp;CK$8&amp;"]"),Data_main[Data],$A153, Data_main[Segment],$B153, Data_main[Scenario],$B$3)),SUMIFS(INDIRECT("Data_main"&amp;"["&amp;CK$8&amp;"]"),Data_main[Data],$A153, Data_main[Segment],$B153, Data_main[Scenario],$B$3)),SUMIFS(INDIRECT("Data_main"&amp;"["&amp;CK$8&amp;"]"),Data_main[Data],$A153, Data_main[Segment],$B153, Data_main[Scenario],$B$3))</f>
        <v>0</v>
      </c>
      <c r="CL153" s="390">
        <f ca="1">IF($B$6="ON", IF(CL150&gt;=covid_start, IF(CL150&lt;covid_recovery,NA(),SUMIFS(INDIRECT("Data_main"&amp;"["&amp;CL$8&amp;"]"),Data_main[Data],$A153, Data_main[Segment],$B153, Data_main[Scenario],$B$3)),SUMIFS(INDIRECT("Data_main"&amp;"["&amp;CL$8&amp;"]"),Data_main[Data],$A153, Data_main[Segment],$B153, Data_main[Scenario],$B$3)),SUMIFS(INDIRECT("Data_main"&amp;"["&amp;CL$8&amp;"]"),Data_main[Data],$A153, Data_main[Segment],$B153, Data_main[Scenario],$B$3))</f>
        <v>0</v>
      </c>
      <c r="CN153" s="391">
        <f ca="1">IFERROR((Y153/H153)^(1/17)-1,"")</f>
        <v>-3.9967834224736931E-2</v>
      </c>
      <c r="CO153" s="391">
        <f ca="1">IFERROR((AN153/Y153)^(1/15)-1,"")</f>
        <v>-0.16254809603935938</v>
      </c>
      <c r="CP153" s="391">
        <f ca="1">IFERROR((AN153/H153)^(1/32)-1,"")</f>
        <v>-9.9514417170442848E-2</v>
      </c>
    </row>
    <row r="154" spans="1:94">
      <c r="A154" s="394"/>
      <c r="B154" s="394" t="s">
        <v>26</v>
      </c>
      <c r="C154" s="394" t="s">
        <v>314</v>
      </c>
      <c r="D154" s="394" t="s">
        <v>315</v>
      </c>
      <c r="E154" s="396">
        <f t="shared" ref="E154:BP154" ca="1" si="1383">(E153-INDEX($E150:$CL153,4,MATCH($B$5,$E150:$CL150,0)))/(INDEX($E150:$CL153,4,MATCH($B$4,$E150:$CL150,0))-INDEX($E150:$CL153,4,MATCH($B$5,$E150:$CL150,0)))</f>
        <v>1.0579842814744289</v>
      </c>
      <c r="F154" s="397">
        <f t="shared" ca="1" si="1383"/>
        <v>1.019442657297569</v>
      </c>
      <c r="G154" s="397">
        <f t="shared" ca="1" si="1383"/>
        <v>0.98527301130899214</v>
      </c>
      <c r="H154" s="397">
        <f ca="1">(H153-INDEX($E150:$CL153,4,MATCH($B$5,$E150:$CL150,0)))/(INDEX($E150:$CL153,4,MATCH($B$4,$E150:$CL150,0))-INDEX($E150:$CL153,4,MATCH($B$5,$E150:$CL150,0)))</f>
        <v>0.95477136683008834</v>
      </c>
      <c r="I154" s="397">
        <f t="shared" ca="1" si="1383"/>
        <v>1</v>
      </c>
      <c r="J154" s="397" t="e">
        <f t="shared" ca="1" si="1383"/>
        <v>#N/A</v>
      </c>
      <c r="K154" s="397" t="e">
        <f t="shared" ca="1" si="1383"/>
        <v>#N/A</v>
      </c>
      <c r="L154" s="397" t="e">
        <f t="shared" ca="1" si="1383"/>
        <v>#N/A</v>
      </c>
      <c r="M154" s="397">
        <f t="shared" ca="1" si="1383"/>
        <v>0.86639369390354404</v>
      </c>
      <c r="N154" s="397">
        <f t="shared" ca="1" si="1383"/>
        <v>0.83766102053457592</v>
      </c>
      <c r="O154" s="397">
        <f t="shared" ca="1" si="1383"/>
        <v>0.81049116847242508</v>
      </c>
      <c r="P154" s="397">
        <f t="shared" ca="1" si="1383"/>
        <v>0.78476000661911349</v>
      </c>
      <c r="Q154" s="397">
        <f t="shared" ca="1" si="1383"/>
        <v>0.76035621071324222</v>
      </c>
      <c r="R154" s="397">
        <f t="shared" ca="1" si="1383"/>
        <v>0.73717965322782919</v>
      </c>
      <c r="S154" s="397">
        <f t="shared" ca="1" si="1383"/>
        <v>0.71514003022058126</v>
      </c>
      <c r="T154" s="397">
        <f t="shared" ca="1" si="1383"/>
        <v>0.69415568542733452</v>
      </c>
      <c r="U154" s="397">
        <f t="shared" ca="1" si="1383"/>
        <v>0.66525342967239587</v>
      </c>
      <c r="V154" s="397">
        <f t="shared" ca="1" si="1383"/>
        <v>0.58526025833049733</v>
      </c>
      <c r="W154" s="397">
        <f t="shared" ca="1" si="1383"/>
        <v>0.54273519598826048</v>
      </c>
      <c r="X154" s="397">
        <f t="shared" ca="1" si="1383"/>
        <v>0.50200229319896239</v>
      </c>
      <c r="Y154" s="397">
        <f t="shared" ca="1" si="1383"/>
        <v>0.45997749456310927</v>
      </c>
      <c r="Z154" s="397">
        <f t="shared" ca="1" si="1383"/>
        <v>0.41826564900153534</v>
      </c>
      <c r="AA154" s="397">
        <f t="shared" ca="1" si="1383"/>
        <v>0.37718483622760629</v>
      </c>
      <c r="AB154" s="397">
        <f t="shared" ca="1" si="1383"/>
        <v>0.33675455899573531</v>
      </c>
      <c r="AC154" s="397">
        <f t="shared" ca="1" si="1383"/>
        <v>0.29703270802117476</v>
      </c>
      <c r="AD154" s="397">
        <f t="shared" ca="1" si="1383"/>
        <v>0.25809713838286102</v>
      </c>
      <c r="AE154" s="397">
        <f t="shared" ca="1" si="1383"/>
        <v>0.2239519722359819</v>
      </c>
      <c r="AF154" s="397">
        <f t="shared" ca="1" si="1383"/>
        <v>0.19069776714164918</v>
      </c>
      <c r="AG154" s="397">
        <f t="shared" ca="1" si="1383"/>
        <v>0.15835915722851479</v>
      </c>
      <c r="AH154" s="397">
        <f t="shared" ca="1" si="1383"/>
        <v>0.12693287555201038</v>
      </c>
      <c r="AI154" s="397">
        <f t="shared" ca="1" si="1383"/>
        <v>9.6392285854338747E-2</v>
      </c>
      <c r="AJ154" s="397">
        <f t="shared" ca="1" si="1383"/>
        <v>6.6439552515847738E-2</v>
      </c>
      <c r="AK154" s="397">
        <f t="shared" ca="1" si="1383"/>
        <v>3.7262020219309085E-2</v>
      </c>
      <c r="AL154" s="397">
        <f t="shared" ca="1" si="1383"/>
        <v>8.823632055649783E-3</v>
      </c>
      <c r="AM154" s="397">
        <f t="shared" ca="1" si="1383"/>
        <v>1.2011255266187802E-3</v>
      </c>
      <c r="AN154" s="397">
        <f t="shared" ca="1" si="1383"/>
        <v>0</v>
      </c>
      <c r="AO154" s="397">
        <f t="shared" ca="1" si="1383"/>
        <v>-3.4562019595111175E-2</v>
      </c>
      <c r="AP154" s="397">
        <f t="shared" ca="1" si="1383"/>
        <v>-3.4562019595111175E-2</v>
      </c>
      <c r="AQ154" s="397">
        <f t="shared" ca="1" si="1383"/>
        <v>-3.4562019595111175E-2</v>
      </c>
      <c r="AR154" s="397">
        <f t="shared" ca="1" si="1383"/>
        <v>-3.4562019595111175E-2</v>
      </c>
      <c r="AS154" s="397">
        <f t="shared" ca="1" si="1383"/>
        <v>-3.4562019595111175E-2</v>
      </c>
      <c r="AT154" s="397">
        <f t="shared" ca="1" si="1383"/>
        <v>-3.4562019595111175E-2</v>
      </c>
      <c r="AU154" s="397">
        <f t="shared" ca="1" si="1383"/>
        <v>-3.4562019595111175E-2</v>
      </c>
      <c r="AV154" s="397">
        <f t="shared" ca="1" si="1383"/>
        <v>-3.4562019595111175E-2</v>
      </c>
      <c r="AW154" s="397">
        <f t="shared" ca="1" si="1383"/>
        <v>-3.4562019595111175E-2</v>
      </c>
      <c r="AX154" s="397">
        <f t="shared" ca="1" si="1383"/>
        <v>-3.4562019595111175E-2</v>
      </c>
      <c r="AY154" s="397">
        <f t="shared" ca="1" si="1383"/>
        <v>-3.4562019595111175E-2</v>
      </c>
      <c r="AZ154" s="397">
        <f t="shared" ca="1" si="1383"/>
        <v>-3.4562019595111175E-2</v>
      </c>
      <c r="BA154" s="397">
        <f t="shared" ca="1" si="1383"/>
        <v>-3.4562019595111175E-2</v>
      </c>
      <c r="BB154" s="397">
        <f t="shared" ca="1" si="1383"/>
        <v>-3.4562019595111175E-2</v>
      </c>
      <c r="BC154" s="397">
        <f t="shared" ca="1" si="1383"/>
        <v>-3.4562019595111175E-2</v>
      </c>
      <c r="BD154" s="397">
        <f t="shared" ca="1" si="1383"/>
        <v>-3.4562019595111175E-2</v>
      </c>
      <c r="BE154" s="397">
        <f t="shared" ca="1" si="1383"/>
        <v>-3.4562019595111175E-2</v>
      </c>
      <c r="BF154" s="397">
        <f t="shared" ca="1" si="1383"/>
        <v>-3.4562019595111175E-2</v>
      </c>
      <c r="BG154" s="397">
        <f t="shared" ca="1" si="1383"/>
        <v>-3.4562019595111175E-2</v>
      </c>
      <c r="BH154" s="397">
        <f t="shared" ca="1" si="1383"/>
        <v>-3.4562019595111175E-2</v>
      </c>
      <c r="BI154" s="397">
        <f t="shared" ca="1" si="1383"/>
        <v>-3.4562019595111175E-2</v>
      </c>
      <c r="BJ154" s="397">
        <f t="shared" ca="1" si="1383"/>
        <v>-3.4562019595111175E-2</v>
      </c>
      <c r="BK154" s="397">
        <f t="shared" ca="1" si="1383"/>
        <v>-3.4562019595111175E-2</v>
      </c>
      <c r="BL154" s="397">
        <f t="shared" ca="1" si="1383"/>
        <v>-3.4562019595111175E-2</v>
      </c>
      <c r="BM154" s="397">
        <f t="shared" ca="1" si="1383"/>
        <v>-3.4562019595111175E-2</v>
      </c>
      <c r="BN154" s="397">
        <f t="shared" ca="1" si="1383"/>
        <v>-3.4562019595111175E-2</v>
      </c>
      <c r="BO154" s="397">
        <f t="shared" ca="1" si="1383"/>
        <v>-3.4562019595111175E-2</v>
      </c>
      <c r="BP154" s="397">
        <f t="shared" ca="1" si="1383"/>
        <v>-3.4562019595111175E-2</v>
      </c>
      <c r="BQ154" s="397">
        <f t="shared" ref="BQ154:CL154" ca="1" si="1384">(BQ153-INDEX($E150:$CL153,4,MATCH($B$5,$E150:$CL150,0)))/(INDEX($E150:$CL153,4,MATCH($B$4,$E150:$CL150,0))-INDEX($E150:$CL153,4,MATCH($B$5,$E150:$CL150,0)))</f>
        <v>-3.4562019595111175E-2</v>
      </c>
      <c r="BR154" s="397">
        <f t="shared" ca="1" si="1384"/>
        <v>-3.4562019595111175E-2</v>
      </c>
      <c r="BS154" s="397">
        <f t="shared" ca="1" si="1384"/>
        <v>-3.4562019595111175E-2</v>
      </c>
      <c r="BT154" s="397">
        <f t="shared" ca="1" si="1384"/>
        <v>-3.4562019595111175E-2</v>
      </c>
      <c r="BU154" s="397">
        <f t="shared" ca="1" si="1384"/>
        <v>-3.4562019595111175E-2</v>
      </c>
      <c r="BV154" s="397">
        <f t="shared" ca="1" si="1384"/>
        <v>-3.4562019595111175E-2</v>
      </c>
      <c r="BW154" s="397">
        <f t="shared" ca="1" si="1384"/>
        <v>-3.4562019595111175E-2</v>
      </c>
      <c r="BX154" s="397">
        <f t="shared" ca="1" si="1384"/>
        <v>-3.4562019595111175E-2</v>
      </c>
      <c r="BY154" s="397">
        <f t="shared" ca="1" si="1384"/>
        <v>-3.4562019595111175E-2</v>
      </c>
      <c r="BZ154" s="397">
        <f t="shared" ca="1" si="1384"/>
        <v>-3.4562019595111175E-2</v>
      </c>
      <c r="CA154" s="397">
        <f t="shared" ca="1" si="1384"/>
        <v>-3.4562019595111175E-2</v>
      </c>
      <c r="CB154" s="397">
        <f t="shared" ca="1" si="1384"/>
        <v>-3.4562019595111175E-2</v>
      </c>
      <c r="CC154" s="397">
        <f t="shared" ca="1" si="1384"/>
        <v>-3.4562019595111175E-2</v>
      </c>
      <c r="CD154" s="397">
        <f t="shared" ca="1" si="1384"/>
        <v>-3.4562019595111175E-2</v>
      </c>
      <c r="CE154" s="397">
        <f t="shared" ca="1" si="1384"/>
        <v>-3.4562019595111175E-2</v>
      </c>
      <c r="CF154" s="397">
        <f t="shared" ca="1" si="1384"/>
        <v>-3.4562019595111175E-2</v>
      </c>
      <c r="CG154" s="397">
        <f t="shared" ca="1" si="1384"/>
        <v>-3.4562019595111175E-2</v>
      </c>
      <c r="CH154" s="397">
        <f t="shared" ca="1" si="1384"/>
        <v>-3.4562019595111175E-2</v>
      </c>
      <c r="CI154" s="397">
        <f t="shared" ca="1" si="1384"/>
        <v>-3.4562019595111175E-2</v>
      </c>
      <c r="CJ154" s="397">
        <f t="shared" ca="1" si="1384"/>
        <v>-3.4562019595111175E-2</v>
      </c>
      <c r="CK154" s="397">
        <f t="shared" ca="1" si="1384"/>
        <v>-3.4562019595111175E-2</v>
      </c>
      <c r="CL154" s="397">
        <f t="shared" ca="1" si="1384"/>
        <v>-3.4562019595111175E-2</v>
      </c>
      <c r="CN154" s="398"/>
      <c r="CO154" s="398"/>
      <c r="CP154" s="398"/>
    </row>
    <row r="155" spans="1:94">
      <c r="A155" s="399"/>
      <c r="B155" s="399" t="s">
        <v>28</v>
      </c>
      <c r="C155" s="399" t="s">
        <v>316</v>
      </c>
      <c r="D155" s="399" t="s">
        <v>317</v>
      </c>
      <c r="E155" s="401">
        <f t="shared" ref="E155:BP155" ca="1" si="1385">INDEX($E150:$CL153,4,MATCH($B$5,$E150:$CL150,0))</f>
        <v>19.541854461001638</v>
      </c>
      <c r="F155" s="402">
        <f t="shared" ca="1" si="1385"/>
        <v>19.541854461001638</v>
      </c>
      <c r="G155" s="402">
        <f t="shared" ca="1" si="1385"/>
        <v>19.541854461001638</v>
      </c>
      <c r="H155" s="402">
        <f t="shared" ca="1" si="1385"/>
        <v>19.541854461001638</v>
      </c>
      <c r="I155" s="402">
        <f t="shared" ca="1" si="1385"/>
        <v>19.541854461001638</v>
      </c>
      <c r="J155" s="402">
        <f t="shared" ca="1" si="1385"/>
        <v>19.541854461001638</v>
      </c>
      <c r="K155" s="402">
        <f t="shared" ca="1" si="1385"/>
        <v>19.541854461001638</v>
      </c>
      <c r="L155" s="402">
        <f t="shared" ca="1" si="1385"/>
        <v>19.541854461001638</v>
      </c>
      <c r="M155" s="402">
        <f t="shared" ca="1" si="1385"/>
        <v>19.541854461001638</v>
      </c>
      <c r="N155" s="402">
        <f t="shared" ca="1" si="1385"/>
        <v>19.541854461001638</v>
      </c>
      <c r="O155" s="402">
        <f t="shared" ca="1" si="1385"/>
        <v>19.541854461001638</v>
      </c>
      <c r="P155" s="402">
        <f t="shared" ca="1" si="1385"/>
        <v>19.541854461001638</v>
      </c>
      <c r="Q155" s="402">
        <f t="shared" ca="1" si="1385"/>
        <v>19.541854461001638</v>
      </c>
      <c r="R155" s="402">
        <f t="shared" ca="1" si="1385"/>
        <v>19.541854461001638</v>
      </c>
      <c r="S155" s="402">
        <f t="shared" ca="1" si="1385"/>
        <v>19.541854461001638</v>
      </c>
      <c r="T155" s="402">
        <f t="shared" ca="1" si="1385"/>
        <v>19.541854461001638</v>
      </c>
      <c r="U155" s="402">
        <f t="shared" ca="1" si="1385"/>
        <v>19.541854461001638</v>
      </c>
      <c r="V155" s="402">
        <f t="shared" ca="1" si="1385"/>
        <v>19.541854461001638</v>
      </c>
      <c r="W155" s="402">
        <f t="shared" ca="1" si="1385"/>
        <v>19.541854461001638</v>
      </c>
      <c r="X155" s="402">
        <f t="shared" ca="1" si="1385"/>
        <v>19.541854461001638</v>
      </c>
      <c r="Y155" s="402">
        <f t="shared" ca="1" si="1385"/>
        <v>19.541854461001638</v>
      </c>
      <c r="Z155" s="402">
        <f t="shared" ca="1" si="1385"/>
        <v>19.541854461001638</v>
      </c>
      <c r="AA155" s="402">
        <f t="shared" ca="1" si="1385"/>
        <v>19.541854461001638</v>
      </c>
      <c r="AB155" s="402">
        <f t="shared" ca="1" si="1385"/>
        <v>19.541854461001638</v>
      </c>
      <c r="AC155" s="402">
        <f t="shared" ca="1" si="1385"/>
        <v>19.541854461001638</v>
      </c>
      <c r="AD155" s="402">
        <f t="shared" ca="1" si="1385"/>
        <v>19.541854461001638</v>
      </c>
      <c r="AE155" s="402">
        <f t="shared" ca="1" si="1385"/>
        <v>19.541854461001638</v>
      </c>
      <c r="AF155" s="402">
        <f t="shared" ca="1" si="1385"/>
        <v>19.541854461001638</v>
      </c>
      <c r="AG155" s="402">
        <f t="shared" ca="1" si="1385"/>
        <v>19.541854461001638</v>
      </c>
      <c r="AH155" s="402">
        <f t="shared" ca="1" si="1385"/>
        <v>19.541854461001638</v>
      </c>
      <c r="AI155" s="402">
        <f t="shared" ca="1" si="1385"/>
        <v>19.541854461001638</v>
      </c>
      <c r="AJ155" s="402">
        <f t="shared" ca="1" si="1385"/>
        <v>19.541854461001638</v>
      </c>
      <c r="AK155" s="402">
        <f t="shared" ca="1" si="1385"/>
        <v>19.541854461001638</v>
      </c>
      <c r="AL155" s="402">
        <f t="shared" ca="1" si="1385"/>
        <v>19.541854461001638</v>
      </c>
      <c r="AM155" s="402">
        <f t="shared" ca="1" si="1385"/>
        <v>19.541854461001638</v>
      </c>
      <c r="AN155" s="402">
        <f t="shared" ca="1" si="1385"/>
        <v>19.541854461001638</v>
      </c>
      <c r="AO155" s="402">
        <f t="shared" ca="1" si="1385"/>
        <v>19.541854461001638</v>
      </c>
      <c r="AP155" s="402">
        <f t="shared" ca="1" si="1385"/>
        <v>19.541854461001638</v>
      </c>
      <c r="AQ155" s="402">
        <f t="shared" ca="1" si="1385"/>
        <v>19.541854461001638</v>
      </c>
      <c r="AR155" s="402">
        <f t="shared" ca="1" si="1385"/>
        <v>19.541854461001638</v>
      </c>
      <c r="AS155" s="402">
        <f t="shared" ca="1" si="1385"/>
        <v>19.541854461001638</v>
      </c>
      <c r="AT155" s="402">
        <f t="shared" ca="1" si="1385"/>
        <v>19.541854461001638</v>
      </c>
      <c r="AU155" s="402">
        <f t="shared" ca="1" si="1385"/>
        <v>19.541854461001638</v>
      </c>
      <c r="AV155" s="402">
        <f t="shared" ca="1" si="1385"/>
        <v>19.541854461001638</v>
      </c>
      <c r="AW155" s="402">
        <f t="shared" ca="1" si="1385"/>
        <v>19.541854461001638</v>
      </c>
      <c r="AX155" s="402">
        <f t="shared" ca="1" si="1385"/>
        <v>19.541854461001638</v>
      </c>
      <c r="AY155" s="402">
        <f t="shared" ca="1" si="1385"/>
        <v>19.541854461001638</v>
      </c>
      <c r="AZ155" s="402">
        <f t="shared" ca="1" si="1385"/>
        <v>19.541854461001638</v>
      </c>
      <c r="BA155" s="402">
        <f t="shared" ca="1" si="1385"/>
        <v>19.541854461001638</v>
      </c>
      <c r="BB155" s="402">
        <f t="shared" ca="1" si="1385"/>
        <v>19.541854461001638</v>
      </c>
      <c r="BC155" s="402">
        <f t="shared" ca="1" si="1385"/>
        <v>19.541854461001638</v>
      </c>
      <c r="BD155" s="402">
        <f t="shared" ca="1" si="1385"/>
        <v>19.541854461001638</v>
      </c>
      <c r="BE155" s="402">
        <f t="shared" ca="1" si="1385"/>
        <v>19.541854461001638</v>
      </c>
      <c r="BF155" s="402">
        <f t="shared" ca="1" si="1385"/>
        <v>19.541854461001638</v>
      </c>
      <c r="BG155" s="402">
        <f t="shared" ca="1" si="1385"/>
        <v>19.541854461001638</v>
      </c>
      <c r="BH155" s="402">
        <f t="shared" ca="1" si="1385"/>
        <v>19.541854461001638</v>
      </c>
      <c r="BI155" s="402">
        <f t="shared" ca="1" si="1385"/>
        <v>19.541854461001638</v>
      </c>
      <c r="BJ155" s="402">
        <f t="shared" ca="1" si="1385"/>
        <v>19.541854461001638</v>
      </c>
      <c r="BK155" s="402">
        <f t="shared" ca="1" si="1385"/>
        <v>19.541854461001638</v>
      </c>
      <c r="BL155" s="402">
        <f t="shared" ca="1" si="1385"/>
        <v>19.541854461001638</v>
      </c>
      <c r="BM155" s="402">
        <f t="shared" ca="1" si="1385"/>
        <v>19.541854461001638</v>
      </c>
      <c r="BN155" s="402">
        <f t="shared" ca="1" si="1385"/>
        <v>19.541854461001638</v>
      </c>
      <c r="BO155" s="402">
        <f t="shared" ca="1" si="1385"/>
        <v>19.541854461001638</v>
      </c>
      <c r="BP155" s="402">
        <f t="shared" ca="1" si="1385"/>
        <v>19.541854461001638</v>
      </c>
      <c r="BQ155" s="402">
        <f t="shared" ref="BQ155:CL155" ca="1" si="1386">INDEX($E150:$CL153,4,MATCH($B$5,$E150:$CL150,0))</f>
        <v>19.541854461001638</v>
      </c>
      <c r="BR155" s="402">
        <f t="shared" ca="1" si="1386"/>
        <v>19.541854461001638</v>
      </c>
      <c r="BS155" s="402">
        <f t="shared" ca="1" si="1386"/>
        <v>19.541854461001638</v>
      </c>
      <c r="BT155" s="402">
        <f t="shared" ca="1" si="1386"/>
        <v>19.541854461001638</v>
      </c>
      <c r="BU155" s="402">
        <f t="shared" ca="1" si="1386"/>
        <v>19.541854461001638</v>
      </c>
      <c r="BV155" s="402">
        <f t="shared" ca="1" si="1386"/>
        <v>19.541854461001638</v>
      </c>
      <c r="BW155" s="402">
        <f t="shared" ca="1" si="1386"/>
        <v>19.541854461001638</v>
      </c>
      <c r="BX155" s="402">
        <f t="shared" ca="1" si="1386"/>
        <v>19.541854461001638</v>
      </c>
      <c r="BY155" s="402">
        <f t="shared" ca="1" si="1386"/>
        <v>19.541854461001638</v>
      </c>
      <c r="BZ155" s="402">
        <f t="shared" ca="1" si="1386"/>
        <v>19.541854461001638</v>
      </c>
      <c r="CA155" s="402">
        <f t="shared" ca="1" si="1386"/>
        <v>19.541854461001638</v>
      </c>
      <c r="CB155" s="402">
        <f t="shared" ca="1" si="1386"/>
        <v>19.541854461001638</v>
      </c>
      <c r="CC155" s="402">
        <f t="shared" ca="1" si="1386"/>
        <v>19.541854461001638</v>
      </c>
      <c r="CD155" s="402">
        <f t="shared" ca="1" si="1386"/>
        <v>19.541854461001638</v>
      </c>
      <c r="CE155" s="402">
        <f t="shared" ca="1" si="1386"/>
        <v>19.541854461001638</v>
      </c>
      <c r="CF155" s="402">
        <f t="shared" ca="1" si="1386"/>
        <v>19.541854461001638</v>
      </c>
      <c r="CG155" s="402">
        <f t="shared" ca="1" si="1386"/>
        <v>19.541854461001638</v>
      </c>
      <c r="CH155" s="402">
        <f t="shared" ca="1" si="1386"/>
        <v>19.541854461001638</v>
      </c>
      <c r="CI155" s="402">
        <f t="shared" ca="1" si="1386"/>
        <v>19.541854461001638</v>
      </c>
      <c r="CJ155" s="402">
        <f t="shared" ca="1" si="1386"/>
        <v>19.541854461001638</v>
      </c>
      <c r="CK155" s="402">
        <f t="shared" ca="1" si="1386"/>
        <v>19.541854461001638</v>
      </c>
      <c r="CL155" s="402">
        <f t="shared" ca="1" si="1386"/>
        <v>19.541854461001638</v>
      </c>
      <c r="CN155" s="398"/>
      <c r="CO155" s="398"/>
      <c r="CP155" s="398"/>
    </row>
    <row r="156" spans="1:94">
      <c r="A156" s="403" t="s">
        <v>255</v>
      </c>
      <c r="B156" s="403" t="s">
        <v>260</v>
      </c>
      <c r="C156" s="403" t="s">
        <v>318</v>
      </c>
      <c r="D156" s="403"/>
      <c r="E156" s="404" t="str">
        <f t="shared" ref="E156:AJ156" si="1387">IF(E150=S34_base,cfe,"")</f>
        <v/>
      </c>
      <c r="F156" s="405" t="str">
        <f t="shared" si="1387"/>
        <v/>
      </c>
      <c r="G156" s="405" t="str">
        <f t="shared" si="1387"/>
        <v/>
      </c>
      <c r="H156" s="405" t="str">
        <f t="shared" si="1387"/>
        <v/>
      </c>
      <c r="I156" s="405" t="str">
        <f t="shared" si="1387"/>
        <v/>
      </c>
      <c r="J156" s="405" t="str">
        <f t="shared" si="1387"/>
        <v/>
      </c>
      <c r="K156" s="405" t="str">
        <f t="shared" si="1387"/>
        <v/>
      </c>
      <c r="L156" s="405" t="str">
        <f t="shared" si="1387"/>
        <v/>
      </c>
      <c r="M156" s="405" t="str">
        <f t="shared" si="1387"/>
        <v/>
      </c>
      <c r="N156" s="405" t="str">
        <f t="shared" si="1387"/>
        <v/>
      </c>
      <c r="O156" s="405" t="str">
        <f t="shared" si="1387"/>
        <v/>
      </c>
      <c r="P156" s="405" t="str">
        <f t="shared" si="1387"/>
        <v/>
      </c>
      <c r="Q156" s="405" t="str">
        <f t="shared" si="1387"/>
        <v/>
      </c>
      <c r="R156" s="405" t="str">
        <f t="shared" si="1387"/>
        <v/>
      </c>
      <c r="S156" s="405" t="str">
        <f t="shared" si="1387"/>
        <v/>
      </c>
      <c r="T156" s="405" t="str">
        <f t="shared" si="1387"/>
        <v/>
      </c>
      <c r="U156" s="405" t="str">
        <f t="shared" si="1387"/>
        <v/>
      </c>
      <c r="V156" s="405" t="str">
        <f t="shared" si="1387"/>
        <v/>
      </c>
      <c r="W156" s="405" t="str">
        <f t="shared" si="1387"/>
        <v/>
      </c>
      <c r="X156" s="405" t="str">
        <f t="shared" si="1387"/>
        <v/>
      </c>
      <c r="Y156" s="405" t="str">
        <f t="shared" si="1387"/>
        <v/>
      </c>
      <c r="Z156" s="405" t="str">
        <f t="shared" si="1387"/>
        <v/>
      </c>
      <c r="AA156" s="405" t="str">
        <f t="shared" si="1387"/>
        <v/>
      </c>
      <c r="AB156" s="405" t="str">
        <f t="shared" si="1387"/>
        <v/>
      </c>
      <c r="AC156" s="405" t="str">
        <f t="shared" si="1387"/>
        <v/>
      </c>
      <c r="AD156" s="405" t="str">
        <f t="shared" si="1387"/>
        <v/>
      </c>
      <c r="AE156" s="405" t="str">
        <f t="shared" si="1387"/>
        <v/>
      </c>
      <c r="AF156" s="405" t="str">
        <f t="shared" si="1387"/>
        <v/>
      </c>
      <c r="AG156" s="405" t="str">
        <f t="shared" si="1387"/>
        <v/>
      </c>
      <c r="AH156" s="405" t="str">
        <f t="shared" si="1387"/>
        <v/>
      </c>
      <c r="AI156" s="405" t="str">
        <f t="shared" si="1387"/>
        <v/>
      </c>
      <c r="AJ156" s="405" t="str">
        <f t="shared" si="1387"/>
        <v/>
      </c>
      <c r="AK156" s="405" t="str">
        <f t="shared" ref="AK156:BP156" si="1388">IF(AK150=S34_base,cfe,"")</f>
        <v/>
      </c>
      <c r="AL156" s="405" t="str">
        <f t="shared" si="1388"/>
        <v/>
      </c>
      <c r="AM156" s="405" t="str">
        <f t="shared" si="1388"/>
        <v/>
      </c>
      <c r="AN156" s="405" t="str">
        <f t="shared" si="1388"/>
        <v/>
      </c>
      <c r="AO156" s="405" t="str">
        <f t="shared" si="1388"/>
        <v/>
      </c>
      <c r="AP156" s="405" t="str">
        <f t="shared" si="1388"/>
        <v/>
      </c>
      <c r="AQ156" s="405" t="str">
        <f t="shared" si="1388"/>
        <v/>
      </c>
      <c r="AR156" s="405" t="str">
        <f t="shared" si="1388"/>
        <v/>
      </c>
      <c r="AS156" s="405" t="str">
        <f t="shared" si="1388"/>
        <v/>
      </c>
      <c r="AT156" s="405" t="str">
        <f t="shared" si="1388"/>
        <v/>
      </c>
      <c r="AU156" s="405" t="str">
        <f t="shared" si="1388"/>
        <v/>
      </c>
      <c r="AV156" s="405" t="str">
        <f t="shared" si="1388"/>
        <v/>
      </c>
      <c r="AW156" s="405" t="str">
        <f t="shared" si="1388"/>
        <v/>
      </c>
      <c r="AX156" s="405" t="str">
        <f t="shared" si="1388"/>
        <v/>
      </c>
      <c r="AY156" s="405" t="str">
        <f t="shared" si="1388"/>
        <v/>
      </c>
      <c r="AZ156" s="405" t="str">
        <f t="shared" si="1388"/>
        <v/>
      </c>
      <c r="BA156" s="405" t="str">
        <f t="shared" si="1388"/>
        <v/>
      </c>
      <c r="BB156" s="405" t="str">
        <f t="shared" si="1388"/>
        <v/>
      </c>
      <c r="BC156" s="405" t="str">
        <f t="shared" si="1388"/>
        <v/>
      </c>
      <c r="BD156" s="405" t="str">
        <f t="shared" si="1388"/>
        <v/>
      </c>
      <c r="BE156" s="405" t="str">
        <f t="shared" si="1388"/>
        <v/>
      </c>
      <c r="BF156" s="405" t="str">
        <f t="shared" si="1388"/>
        <v/>
      </c>
      <c r="BG156" s="405" t="str">
        <f t="shared" si="1388"/>
        <v/>
      </c>
      <c r="BH156" s="405" t="str">
        <f t="shared" si="1388"/>
        <v/>
      </c>
      <c r="BI156" s="405" t="str">
        <f t="shared" si="1388"/>
        <v/>
      </c>
      <c r="BJ156" s="405" t="str">
        <f t="shared" si="1388"/>
        <v/>
      </c>
      <c r="BK156" s="405" t="str">
        <f t="shared" si="1388"/>
        <v/>
      </c>
      <c r="BL156" s="405" t="str">
        <f t="shared" si="1388"/>
        <v/>
      </c>
      <c r="BM156" s="405" t="str">
        <f t="shared" si="1388"/>
        <v/>
      </c>
      <c r="BN156" s="405" t="str">
        <f t="shared" si="1388"/>
        <v/>
      </c>
      <c r="BO156" s="405" t="str">
        <f t="shared" si="1388"/>
        <v/>
      </c>
      <c r="BP156" s="405" t="str">
        <f t="shared" si="1388"/>
        <v/>
      </c>
      <c r="BQ156" s="405" t="str">
        <f t="shared" ref="BQ156:CL156" si="1389">IF(BQ150=S34_base,cfe,"")</f>
        <v/>
      </c>
      <c r="BR156" s="405" t="str">
        <f t="shared" si="1389"/>
        <v/>
      </c>
      <c r="BS156" s="405" t="str">
        <f t="shared" si="1389"/>
        <v/>
      </c>
      <c r="BT156" s="405" t="str">
        <f t="shared" si="1389"/>
        <v/>
      </c>
      <c r="BU156" s="405" t="str">
        <f t="shared" si="1389"/>
        <v/>
      </c>
      <c r="BV156" s="405" t="str">
        <f t="shared" si="1389"/>
        <v/>
      </c>
      <c r="BW156" s="405" t="str">
        <f t="shared" si="1389"/>
        <v/>
      </c>
      <c r="BX156" s="405" t="str">
        <f t="shared" si="1389"/>
        <v/>
      </c>
      <c r="BY156" s="405" t="str">
        <f t="shared" si="1389"/>
        <v/>
      </c>
      <c r="BZ156" s="405" t="str">
        <f t="shared" si="1389"/>
        <v/>
      </c>
      <c r="CA156" s="405" t="str">
        <f t="shared" si="1389"/>
        <v/>
      </c>
      <c r="CB156" s="405" t="str">
        <f t="shared" si="1389"/>
        <v/>
      </c>
      <c r="CC156" s="405" t="str">
        <f t="shared" si="1389"/>
        <v/>
      </c>
      <c r="CD156" s="405" t="str">
        <f t="shared" si="1389"/>
        <v/>
      </c>
      <c r="CE156" s="405" t="str">
        <f t="shared" si="1389"/>
        <v/>
      </c>
      <c r="CF156" s="405" t="str">
        <f t="shared" si="1389"/>
        <v/>
      </c>
      <c r="CG156" s="405" t="str">
        <f t="shared" si="1389"/>
        <v/>
      </c>
      <c r="CH156" s="405" t="str">
        <f t="shared" si="1389"/>
        <v/>
      </c>
      <c r="CI156" s="405" t="str">
        <f t="shared" si="1389"/>
        <v/>
      </c>
      <c r="CJ156" s="405" t="str">
        <f t="shared" si="1389"/>
        <v/>
      </c>
      <c r="CK156" s="405" t="str">
        <f t="shared" si="1389"/>
        <v/>
      </c>
      <c r="CL156" s="405" t="str">
        <f t="shared" si="1389"/>
        <v/>
      </c>
      <c r="CN156" s="406" t="str">
        <f t="shared" ref="CN156:CN158" si="1390">IFERROR((Y156/H156)^(1/17)-1,"")</f>
        <v/>
      </c>
      <c r="CO156" s="406" t="str">
        <f t="shared" ref="CO156:CO158" si="1391">IFERROR((AN156/Y156)^(1/15)-1,"")</f>
        <v/>
      </c>
      <c r="CP156" s="406" t="str">
        <f t="shared" ref="CP156:CP158" si="1392">IFERROR((AN156/H156)^(1/32)-1,"")</f>
        <v/>
      </c>
    </row>
    <row r="157" spans="1:94">
      <c r="A157" s="400" t="s">
        <v>255</v>
      </c>
      <c r="B157" s="400" t="s">
        <v>259</v>
      </c>
      <c r="C157" s="400" t="s">
        <v>319</v>
      </c>
      <c r="D157" s="400"/>
      <c r="E157" s="413">
        <f t="shared" ref="E157:AJ157" si="1393">IF(E8&lt;S34_base,NA(),IFERROR(IF(cf_forecast_select="Input Activity Data Manually",IF(E8=S34_base,cfa,IF(E8=S34_target,cff,D157+((cff-cfa)/(S34_target-S34_base)))),cfa*(1+C_CAGR)^(E8-S34_base)),""))</f>
        <v>1.4724405753444594E+27</v>
      </c>
      <c r="F157" s="407">
        <f t="shared" si="1393"/>
        <v>1.5166137926047932E+27</v>
      </c>
      <c r="G157" s="407">
        <f t="shared" si="1393"/>
        <v>1.5621122063829368E+27</v>
      </c>
      <c r="H157" s="407">
        <f t="shared" si="1393"/>
        <v>1.6089755725744246E+27</v>
      </c>
      <c r="I157" s="407">
        <f t="shared" si="1393"/>
        <v>1.6572448397516575E+27</v>
      </c>
      <c r="J157" s="407">
        <f t="shared" si="1393"/>
        <v>1.7069621849442073E+27</v>
      </c>
      <c r="K157" s="407">
        <f t="shared" si="1393"/>
        <v>1.758171050492533E+27</v>
      </c>
      <c r="L157" s="407">
        <f t="shared" si="1393"/>
        <v>1.8109161820073092E+27</v>
      </c>
      <c r="M157" s="407">
        <f t="shared" si="1393"/>
        <v>1.8652436674675288E+27</v>
      </c>
      <c r="N157" s="407">
        <f t="shared" si="1393"/>
        <v>1.9212009774915544E+27</v>
      </c>
      <c r="O157" s="407">
        <f t="shared" si="1393"/>
        <v>1.9788370068163014E+27</v>
      </c>
      <c r="P157" s="407">
        <f t="shared" si="1393"/>
        <v>2.0382021170207904E+27</v>
      </c>
      <c r="Q157" s="407">
        <f t="shared" si="1393"/>
        <v>2.0993481805314138E+27</v>
      </c>
      <c r="R157" s="407">
        <f t="shared" si="1393"/>
        <v>2.162328625947356E+27</v>
      </c>
      <c r="S157" s="407">
        <f t="shared" si="1393"/>
        <v>2.2271984847257768E+27</v>
      </c>
      <c r="T157" s="407">
        <f t="shared" si="1393"/>
        <v>2.2940144392675505E+27</v>
      </c>
      <c r="U157" s="407">
        <f t="shared" si="1393"/>
        <v>2.3628348724455767E+27</v>
      </c>
      <c r="V157" s="407">
        <f t="shared" si="1393"/>
        <v>2.4337199186189444E+27</v>
      </c>
      <c r="W157" s="407">
        <f t="shared" si="1393"/>
        <v>2.5067315161775114E+27</v>
      </c>
      <c r="X157" s="407">
        <f t="shared" si="1393"/>
        <v>2.5819334616628374E+27</v>
      </c>
      <c r="Y157" s="407">
        <f t="shared" si="1393"/>
        <v>2.6593914655127224E+27</v>
      </c>
      <c r="Z157" s="407">
        <f t="shared" si="1393"/>
        <v>2.7391732094781047E+27</v>
      </c>
      <c r="AA157" s="407">
        <f t="shared" si="1393"/>
        <v>2.8213484057624462E+27</v>
      </c>
      <c r="AB157" s="407">
        <f t="shared" si="1393"/>
        <v>2.9059888579353209E+27</v>
      </c>
      <c r="AC157" s="407">
        <f t="shared" si="1393"/>
        <v>2.9931685236733804E+27</v>
      </c>
      <c r="AD157" s="407">
        <f t="shared" si="1393"/>
        <v>3.0829635793835811E+27</v>
      </c>
      <c r="AE157" s="407">
        <f t="shared" si="1393"/>
        <v>3.175452486765089E+27</v>
      </c>
      <c r="AF157" s="407">
        <f t="shared" si="1393"/>
        <v>3.2707160613680422E+27</v>
      </c>
      <c r="AG157" s="407">
        <f t="shared" si="1393"/>
        <v>3.3688375432090833E+27</v>
      </c>
      <c r="AH157" s="407">
        <f t="shared" si="1393"/>
        <v>3.4699026695053551E+27</v>
      </c>
      <c r="AI157" s="407">
        <f t="shared" si="1393"/>
        <v>3.5739997495905154E+27</v>
      </c>
      <c r="AJ157" s="407">
        <f t="shared" si="1393"/>
        <v>3.6812197420782304E+27</v>
      </c>
      <c r="AK157" s="407">
        <f t="shared" ref="AK157:BP157" si="1394">IF(AK8&lt;S34_base,NA(),IFERROR(IF(cf_forecast_select="Input Activity Data Manually",IF(AK8=S34_base,cfa,IF(AK8=S34_target,cff,AJ157+((cff-cfa)/(S34_target-S34_base)))),cfa*(1+C_CAGR)^(AK8-S34_base)),""))</f>
        <v>3.7916563343405777E+27</v>
      </c>
      <c r="AL157" s="407">
        <f t="shared" si="1394"/>
        <v>3.9054060243707955E+27</v>
      </c>
      <c r="AM157" s="407">
        <f t="shared" si="1394"/>
        <v>4.0225682051019189E+27</v>
      </c>
      <c r="AN157" s="407">
        <f t="shared" si="1394"/>
        <v>4.1432452512549765E+27</v>
      </c>
      <c r="AO157" s="407">
        <f t="shared" si="1394"/>
        <v>4.2675426087926265E+27</v>
      </c>
      <c r="AP157" s="407">
        <f t="shared" si="1394"/>
        <v>4.3955688870564048E+27</v>
      </c>
      <c r="AQ157" s="407">
        <f t="shared" si="1394"/>
        <v>4.5274359536680961E+27</v>
      </c>
      <c r="AR157" s="407">
        <f t="shared" si="1394"/>
        <v>4.6632590322781396E+27</v>
      </c>
      <c r="AS157" s="407">
        <f t="shared" si="1394"/>
        <v>4.8031568032464842E+27</v>
      </c>
      <c r="AT157" s="407">
        <f t="shared" si="1394"/>
        <v>4.947251507343878E+27</v>
      </c>
      <c r="AU157" s="407">
        <f t="shared" si="1394"/>
        <v>5.0956690525641947E+27</v>
      </c>
      <c r="AV157" s="407">
        <f t="shared" si="1394"/>
        <v>5.2485391241411201E+27</v>
      </c>
      <c r="AW157" s="407">
        <f t="shared" si="1394"/>
        <v>5.4059952978653535E+27</v>
      </c>
      <c r="AX157" s="407">
        <f t="shared" si="1394"/>
        <v>5.568175156801314E+27</v>
      </c>
      <c r="AY157" s="407">
        <f t="shared" si="1394"/>
        <v>5.7352204115053532E+27</v>
      </c>
      <c r="AZ157" s="407">
        <f t="shared" si="1394"/>
        <v>5.9072770238505136E+27</v>
      </c>
      <c r="BA157" s="407">
        <f t="shared" si="1394"/>
        <v>6.0844953345660293E+27</v>
      </c>
      <c r="BB157" s="407">
        <f t="shared" si="1394"/>
        <v>6.26703019460301E+27</v>
      </c>
      <c r="BC157" s="407">
        <f t="shared" si="1394"/>
        <v>6.4550411004410992E+27</v>
      </c>
      <c r="BD157" s="407">
        <f t="shared" si="1394"/>
        <v>6.648692333454332E+27</v>
      </c>
      <c r="BE157" s="407">
        <f t="shared" si="1394"/>
        <v>6.8481531034579619E+27</v>
      </c>
      <c r="BF157" s="407">
        <f t="shared" si="1394"/>
        <v>7.0535976965617023E+27</v>
      </c>
      <c r="BG157" s="407">
        <f t="shared" si="1394"/>
        <v>7.2652056274585512E+27</v>
      </c>
      <c r="BH157" s="407">
        <f t="shared" si="1394"/>
        <v>7.4831617962823094E+27</v>
      </c>
      <c r="BI157" s="407">
        <f t="shared" si="1394"/>
        <v>7.7076566501707793E+27</v>
      </c>
      <c r="BJ157" s="407">
        <f t="shared" si="1394"/>
        <v>7.9388863496759016E+27</v>
      </c>
      <c r="BK157" s="407">
        <f t="shared" si="1394"/>
        <v>8.1770529401661779E+27</v>
      </c>
      <c r="BL157" s="407">
        <f t="shared" si="1394"/>
        <v>8.4223645283711638E+27</v>
      </c>
      <c r="BM157" s="407">
        <f t="shared" si="1394"/>
        <v>8.675035464222298E+27</v>
      </c>
      <c r="BN157" s="407">
        <f t="shared" si="1394"/>
        <v>8.935286528148968E+27</v>
      </c>
      <c r="BO157" s="407">
        <f t="shared" si="1394"/>
        <v>9.2033451239934345E+27</v>
      </c>
      <c r="BP157" s="407">
        <f t="shared" si="1394"/>
        <v>9.4794454777132384E+27</v>
      </c>
      <c r="BQ157" s="407">
        <f t="shared" ref="BQ157:CL157" si="1395">IF(BQ8&lt;S34_base,NA(),IFERROR(IF(cf_forecast_select="Input Activity Data Manually",IF(BQ8=S34_base,cfa,IF(BQ8=S34_target,cff,BP157+((cff-cfa)/(S34_target-S34_base)))),cfa*(1+C_CAGR)^(BQ8-S34_base)),""))</f>
        <v>9.7638288420446366E+27</v>
      </c>
      <c r="BR157" s="407">
        <f t="shared" si="1395"/>
        <v>1.0056743707305975E+28</v>
      </c>
      <c r="BS157" s="407">
        <f t="shared" si="1395"/>
        <v>1.0358446018525155E+28</v>
      </c>
      <c r="BT157" s="407">
        <f t="shared" si="1395"/>
        <v>1.0669199399080908E+28</v>
      </c>
      <c r="BU157" s="407">
        <f t="shared" si="1395"/>
        <v>1.0989275381053336E+28</v>
      </c>
      <c r="BV157" s="407">
        <f t="shared" si="1395"/>
        <v>1.1318953642484935E+28</v>
      </c>
      <c r="BW157" s="407">
        <f t="shared" si="1395"/>
        <v>1.1658522251759482E+28</v>
      </c>
      <c r="BX157" s="407">
        <f t="shared" si="1395"/>
        <v>1.2008277919312265E+28</v>
      </c>
      <c r="BY157" s="407">
        <f t="shared" si="1395"/>
        <v>1.2368526256891637E+28</v>
      </c>
      <c r="BZ157" s="407">
        <f t="shared" si="1395"/>
        <v>1.2739582044598383E+28</v>
      </c>
      <c r="CA157" s="407">
        <f t="shared" si="1395"/>
        <v>1.3121769505936334E+28</v>
      </c>
      <c r="CB157" s="407">
        <f t="shared" si="1395"/>
        <v>1.3515422591114426E+28</v>
      </c>
      <c r="CC157" s="407">
        <f t="shared" si="1395"/>
        <v>1.3920885268847857E+28</v>
      </c>
      <c r="CD157" s="407">
        <f t="shared" si="1395"/>
        <v>1.4338511826913293E+28</v>
      </c>
      <c r="CE157" s="407">
        <f t="shared" si="1395"/>
        <v>1.4768667181720691E+28</v>
      </c>
      <c r="CF157" s="407">
        <f t="shared" si="1395"/>
        <v>1.521172719717231E+28</v>
      </c>
      <c r="CG157" s="407">
        <f t="shared" si="1395"/>
        <v>1.5668079013087485E+28</v>
      </c>
      <c r="CH157" s="407">
        <f t="shared" si="1395"/>
        <v>1.6138121383480107E+28</v>
      </c>
      <c r="CI157" s="407">
        <f t="shared" si="1395"/>
        <v>1.6622265024984507E+28</v>
      </c>
      <c r="CJ157" s="407">
        <f t="shared" si="1395"/>
        <v>1.7120932975734041E+28</v>
      </c>
      <c r="CK157" s="407">
        <f t="shared" si="1395"/>
        <v>1.7634560965006064E+28</v>
      </c>
      <c r="CL157" s="407">
        <f t="shared" si="1395"/>
        <v>1.8163597793956245E+28</v>
      </c>
      <c r="CN157" s="408">
        <f t="shared" si="1390"/>
        <v>3.0000000000000027E-2</v>
      </c>
      <c r="CO157" s="408">
        <f t="shared" si="1391"/>
        <v>3.0000000000000027E-2</v>
      </c>
      <c r="CP157" s="408">
        <f t="shared" si="1392"/>
        <v>3.0000000000000027E-2</v>
      </c>
    </row>
    <row r="158" spans="1:94">
      <c r="A158" s="400" t="s">
        <v>255</v>
      </c>
      <c r="B158" s="400" t="s">
        <v>258</v>
      </c>
      <c r="C158" s="400" t="s">
        <v>320</v>
      </c>
      <c r="D158" s="400" t="s">
        <v>321</v>
      </c>
      <c r="E158" s="409" t="str">
        <f>IFERROR((E156/E157)*1000,"")</f>
        <v/>
      </c>
      <c r="F158" s="390" t="str">
        <f t="shared" ref="F158:BQ158" si="1396">IFERROR((F156/F157)*1000,"")</f>
        <v/>
      </c>
      <c r="G158" s="390" t="str">
        <f t="shared" si="1396"/>
        <v/>
      </c>
      <c r="H158" s="390" t="str">
        <f t="shared" si="1396"/>
        <v/>
      </c>
      <c r="I158" s="390" t="str">
        <f t="shared" si="1396"/>
        <v/>
      </c>
      <c r="J158" s="390" t="str">
        <f t="shared" si="1396"/>
        <v/>
      </c>
      <c r="K158" s="390" t="str">
        <f t="shared" si="1396"/>
        <v/>
      </c>
      <c r="L158" s="390" t="str">
        <f t="shared" si="1396"/>
        <v/>
      </c>
      <c r="M158" s="390" t="str">
        <f t="shared" si="1396"/>
        <v/>
      </c>
      <c r="N158" s="390" t="str">
        <f t="shared" si="1396"/>
        <v/>
      </c>
      <c r="O158" s="390" t="str">
        <f t="shared" si="1396"/>
        <v/>
      </c>
      <c r="P158" s="390" t="str">
        <f t="shared" si="1396"/>
        <v/>
      </c>
      <c r="Q158" s="390" t="str">
        <f t="shared" si="1396"/>
        <v/>
      </c>
      <c r="R158" s="390" t="str">
        <f t="shared" si="1396"/>
        <v/>
      </c>
      <c r="S158" s="390" t="str">
        <f t="shared" si="1396"/>
        <v/>
      </c>
      <c r="T158" s="390" t="str">
        <f t="shared" si="1396"/>
        <v/>
      </c>
      <c r="U158" s="390" t="str">
        <f t="shared" si="1396"/>
        <v/>
      </c>
      <c r="V158" s="390" t="str">
        <f t="shared" si="1396"/>
        <v/>
      </c>
      <c r="W158" s="390" t="str">
        <f t="shared" si="1396"/>
        <v/>
      </c>
      <c r="X158" s="390" t="str">
        <f t="shared" si="1396"/>
        <v/>
      </c>
      <c r="Y158" s="390" t="str">
        <f t="shared" si="1396"/>
        <v/>
      </c>
      <c r="Z158" s="390" t="str">
        <f t="shared" si="1396"/>
        <v/>
      </c>
      <c r="AA158" s="390" t="str">
        <f t="shared" si="1396"/>
        <v/>
      </c>
      <c r="AB158" s="390" t="str">
        <f t="shared" si="1396"/>
        <v/>
      </c>
      <c r="AC158" s="390" t="str">
        <f t="shared" si="1396"/>
        <v/>
      </c>
      <c r="AD158" s="390" t="str">
        <f t="shared" si="1396"/>
        <v/>
      </c>
      <c r="AE158" s="390" t="str">
        <f t="shared" si="1396"/>
        <v/>
      </c>
      <c r="AF158" s="390" t="str">
        <f t="shared" si="1396"/>
        <v/>
      </c>
      <c r="AG158" s="390" t="str">
        <f t="shared" si="1396"/>
        <v/>
      </c>
      <c r="AH158" s="390" t="str">
        <f t="shared" si="1396"/>
        <v/>
      </c>
      <c r="AI158" s="390" t="str">
        <f t="shared" si="1396"/>
        <v/>
      </c>
      <c r="AJ158" s="390" t="str">
        <f t="shared" si="1396"/>
        <v/>
      </c>
      <c r="AK158" s="390" t="str">
        <f t="shared" si="1396"/>
        <v/>
      </c>
      <c r="AL158" s="390" t="str">
        <f t="shared" si="1396"/>
        <v/>
      </c>
      <c r="AM158" s="390" t="str">
        <f t="shared" si="1396"/>
        <v/>
      </c>
      <c r="AN158" s="390" t="str">
        <f t="shared" si="1396"/>
        <v/>
      </c>
      <c r="AO158" s="390" t="str">
        <f t="shared" si="1396"/>
        <v/>
      </c>
      <c r="AP158" s="390" t="str">
        <f t="shared" si="1396"/>
        <v/>
      </c>
      <c r="AQ158" s="390" t="str">
        <f t="shared" si="1396"/>
        <v/>
      </c>
      <c r="AR158" s="390" t="str">
        <f t="shared" si="1396"/>
        <v/>
      </c>
      <c r="AS158" s="390" t="str">
        <f t="shared" si="1396"/>
        <v/>
      </c>
      <c r="AT158" s="390" t="str">
        <f t="shared" si="1396"/>
        <v/>
      </c>
      <c r="AU158" s="390" t="str">
        <f t="shared" si="1396"/>
        <v/>
      </c>
      <c r="AV158" s="390" t="str">
        <f t="shared" si="1396"/>
        <v/>
      </c>
      <c r="AW158" s="390" t="str">
        <f t="shared" si="1396"/>
        <v/>
      </c>
      <c r="AX158" s="390" t="str">
        <f t="shared" si="1396"/>
        <v/>
      </c>
      <c r="AY158" s="390" t="str">
        <f t="shared" si="1396"/>
        <v/>
      </c>
      <c r="AZ158" s="390" t="str">
        <f t="shared" si="1396"/>
        <v/>
      </c>
      <c r="BA158" s="390" t="str">
        <f t="shared" si="1396"/>
        <v/>
      </c>
      <c r="BB158" s="390" t="str">
        <f t="shared" si="1396"/>
        <v/>
      </c>
      <c r="BC158" s="390" t="str">
        <f t="shared" si="1396"/>
        <v/>
      </c>
      <c r="BD158" s="390" t="str">
        <f t="shared" si="1396"/>
        <v/>
      </c>
      <c r="BE158" s="390" t="str">
        <f t="shared" si="1396"/>
        <v/>
      </c>
      <c r="BF158" s="390" t="str">
        <f t="shared" si="1396"/>
        <v/>
      </c>
      <c r="BG158" s="390" t="str">
        <f t="shared" si="1396"/>
        <v/>
      </c>
      <c r="BH158" s="390" t="str">
        <f t="shared" si="1396"/>
        <v/>
      </c>
      <c r="BI158" s="390" t="str">
        <f t="shared" si="1396"/>
        <v/>
      </c>
      <c r="BJ158" s="390" t="str">
        <f t="shared" si="1396"/>
        <v/>
      </c>
      <c r="BK158" s="390" t="str">
        <f t="shared" si="1396"/>
        <v/>
      </c>
      <c r="BL158" s="390" t="str">
        <f t="shared" si="1396"/>
        <v/>
      </c>
      <c r="BM158" s="390" t="str">
        <f t="shared" si="1396"/>
        <v/>
      </c>
      <c r="BN158" s="390" t="str">
        <f t="shared" si="1396"/>
        <v/>
      </c>
      <c r="BO158" s="390" t="str">
        <f t="shared" si="1396"/>
        <v/>
      </c>
      <c r="BP158" s="390" t="str">
        <f t="shared" si="1396"/>
        <v/>
      </c>
      <c r="BQ158" s="390" t="str">
        <f t="shared" si="1396"/>
        <v/>
      </c>
      <c r="BR158" s="390" t="str">
        <f t="shared" ref="BR158:CL158" si="1397">IFERROR((BR156/BR157)*1000,"")</f>
        <v/>
      </c>
      <c r="BS158" s="390" t="str">
        <f t="shared" si="1397"/>
        <v/>
      </c>
      <c r="BT158" s="390" t="str">
        <f t="shared" si="1397"/>
        <v/>
      </c>
      <c r="BU158" s="390" t="str">
        <f t="shared" si="1397"/>
        <v/>
      </c>
      <c r="BV158" s="390" t="str">
        <f t="shared" si="1397"/>
        <v/>
      </c>
      <c r="BW158" s="390" t="str">
        <f t="shared" si="1397"/>
        <v/>
      </c>
      <c r="BX158" s="390" t="str">
        <f t="shared" si="1397"/>
        <v/>
      </c>
      <c r="BY158" s="390" t="str">
        <f t="shared" si="1397"/>
        <v/>
      </c>
      <c r="BZ158" s="390" t="str">
        <f t="shared" si="1397"/>
        <v/>
      </c>
      <c r="CA158" s="390" t="str">
        <f t="shared" si="1397"/>
        <v/>
      </c>
      <c r="CB158" s="390" t="str">
        <f t="shared" si="1397"/>
        <v/>
      </c>
      <c r="CC158" s="390" t="str">
        <f t="shared" si="1397"/>
        <v/>
      </c>
      <c r="CD158" s="390" t="str">
        <f t="shared" si="1397"/>
        <v/>
      </c>
      <c r="CE158" s="390" t="str">
        <f t="shared" si="1397"/>
        <v/>
      </c>
      <c r="CF158" s="390" t="str">
        <f t="shared" si="1397"/>
        <v/>
      </c>
      <c r="CG158" s="390" t="str">
        <f t="shared" si="1397"/>
        <v/>
      </c>
      <c r="CH158" s="390" t="str">
        <f t="shared" si="1397"/>
        <v/>
      </c>
      <c r="CI158" s="390" t="str">
        <f t="shared" si="1397"/>
        <v/>
      </c>
      <c r="CJ158" s="390" t="str">
        <f t="shared" si="1397"/>
        <v/>
      </c>
      <c r="CK158" s="390" t="str">
        <f t="shared" si="1397"/>
        <v/>
      </c>
      <c r="CL158" s="390" t="str">
        <f t="shared" si="1397"/>
        <v/>
      </c>
      <c r="CN158" s="391" t="str">
        <f t="shared" si="1390"/>
        <v/>
      </c>
      <c r="CO158" s="391" t="str">
        <f t="shared" si="1391"/>
        <v/>
      </c>
      <c r="CP158" s="391" t="str">
        <f t="shared" si="1392"/>
        <v/>
      </c>
    </row>
    <row r="159" spans="1:94">
      <c r="A159" s="410"/>
      <c r="B159" s="410" t="s">
        <v>124</v>
      </c>
      <c r="C159" s="410" t="s">
        <v>322</v>
      </c>
      <c r="D159" s="410" t="s">
        <v>323</v>
      </c>
      <c r="E159" s="411" t="str">
        <f t="shared" ref="E159:AJ159" ca="1" si="1398">IFERROR(IF((INDEX($E150:$CL157,8,MATCH(S34_base,$E150:$CL150,0))/INDEX($E150:$CL157,3,MATCH(S34_base,$E150:$CL150,0))/(E157/E152))&gt;=1,1,(INDEX($E150:$CL157,8,MATCH(S34_base,$E150:$CL150,0))/INDEX($E150:$CL157,3,MATCH(S34_base,$E150:$CL150,0))/(E157/E152))),"")</f>
        <v/>
      </c>
      <c r="F159" s="412" t="str">
        <f t="shared" ca="1" si="1398"/>
        <v/>
      </c>
      <c r="G159" s="412" t="str">
        <f t="shared" ca="1" si="1398"/>
        <v/>
      </c>
      <c r="H159" s="412" t="str">
        <f t="shared" ca="1" si="1398"/>
        <v/>
      </c>
      <c r="I159" s="412" t="str">
        <f t="shared" ca="1" si="1398"/>
        <v/>
      </c>
      <c r="J159" s="412" t="str">
        <f t="shared" ca="1" si="1398"/>
        <v/>
      </c>
      <c r="K159" s="412" t="str">
        <f t="shared" ca="1" si="1398"/>
        <v/>
      </c>
      <c r="L159" s="412" t="str">
        <f t="shared" ca="1" si="1398"/>
        <v/>
      </c>
      <c r="M159" s="412" t="str">
        <f t="shared" ca="1" si="1398"/>
        <v/>
      </c>
      <c r="N159" s="412" t="str">
        <f t="shared" ca="1" si="1398"/>
        <v/>
      </c>
      <c r="O159" s="412" t="str">
        <f t="shared" ca="1" si="1398"/>
        <v/>
      </c>
      <c r="P159" s="412" t="str">
        <f t="shared" ca="1" si="1398"/>
        <v/>
      </c>
      <c r="Q159" s="412" t="str">
        <f t="shared" ca="1" si="1398"/>
        <v/>
      </c>
      <c r="R159" s="412" t="str">
        <f t="shared" ca="1" si="1398"/>
        <v/>
      </c>
      <c r="S159" s="412" t="str">
        <f t="shared" ca="1" si="1398"/>
        <v/>
      </c>
      <c r="T159" s="412" t="str">
        <f t="shared" ca="1" si="1398"/>
        <v/>
      </c>
      <c r="U159" s="412" t="str">
        <f t="shared" ca="1" si="1398"/>
        <v/>
      </c>
      <c r="V159" s="412" t="str">
        <f t="shared" ca="1" si="1398"/>
        <v/>
      </c>
      <c r="W159" s="412" t="str">
        <f t="shared" ca="1" si="1398"/>
        <v/>
      </c>
      <c r="X159" s="412" t="str">
        <f t="shared" ca="1" si="1398"/>
        <v/>
      </c>
      <c r="Y159" s="412" t="str">
        <f t="shared" ca="1" si="1398"/>
        <v/>
      </c>
      <c r="Z159" s="412" t="str">
        <f t="shared" ca="1" si="1398"/>
        <v/>
      </c>
      <c r="AA159" s="412" t="str">
        <f t="shared" ca="1" si="1398"/>
        <v/>
      </c>
      <c r="AB159" s="412" t="str">
        <f t="shared" ca="1" si="1398"/>
        <v/>
      </c>
      <c r="AC159" s="412" t="str">
        <f t="shared" ca="1" si="1398"/>
        <v/>
      </c>
      <c r="AD159" s="412" t="str">
        <f t="shared" ca="1" si="1398"/>
        <v/>
      </c>
      <c r="AE159" s="412" t="str">
        <f t="shared" ca="1" si="1398"/>
        <v/>
      </c>
      <c r="AF159" s="412" t="str">
        <f t="shared" ca="1" si="1398"/>
        <v/>
      </c>
      <c r="AG159" s="412" t="str">
        <f t="shared" ca="1" si="1398"/>
        <v/>
      </c>
      <c r="AH159" s="412" t="str">
        <f t="shared" ca="1" si="1398"/>
        <v/>
      </c>
      <c r="AI159" s="412" t="str">
        <f t="shared" ca="1" si="1398"/>
        <v/>
      </c>
      <c r="AJ159" s="412" t="str">
        <f t="shared" ca="1" si="1398"/>
        <v/>
      </c>
      <c r="AK159" s="412" t="str">
        <f t="shared" ref="AK159:BP159" ca="1" si="1399">IFERROR(IF((INDEX($E150:$CL157,8,MATCH(S34_base,$E150:$CL150,0))/INDEX($E150:$CL157,3,MATCH(S34_base,$E150:$CL150,0))/(AK157/AK152))&gt;=1,1,(INDEX($E150:$CL157,8,MATCH(S34_base,$E150:$CL150,0))/INDEX($E150:$CL157,3,MATCH(S34_base,$E150:$CL150,0))/(AK157/AK152))),"")</f>
        <v/>
      </c>
      <c r="AL159" s="412" t="str">
        <f t="shared" ca="1" si="1399"/>
        <v/>
      </c>
      <c r="AM159" s="412" t="str">
        <f t="shared" ca="1" si="1399"/>
        <v/>
      </c>
      <c r="AN159" s="412" t="str">
        <f t="shared" ca="1" si="1399"/>
        <v/>
      </c>
      <c r="AO159" s="412" t="str">
        <f t="shared" ca="1" si="1399"/>
        <v/>
      </c>
      <c r="AP159" s="412" t="str">
        <f t="shared" ca="1" si="1399"/>
        <v/>
      </c>
      <c r="AQ159" s="412" t="str">
        <f t="shared" ca="1" si="1399"/>
        <v/>
      </c>
      <c r="AR159" s="412" t="str">
        <f t="shared" ca="1" si="1399"/>
        <v/>
      </c>
      <c r="AS159" s="412" t="str">
        <f t="shared" ca="1" si="1399"/>
        <v/>
      </c>
      <c r="AT159" s="412" t="str">
        <f t="shared" ca="1" si="1399"/>
        <v/>
      </c>
      <c r="AU159" s="412" t="str">
        <f t="shared" ca="1" si="1399"/>
        <v/>
      </c>
      <c r="AV159" s="412" t="str">
        <f t="shared" ca="1" si="1399"/>
        <v/>
      </c>
      <c r="AW159" s="412" t="str">
        <f t="shared" ca="1" si="1399"/>
        <v/>
      </c>
      <c r="AX159" s="412" t="str">
        <f t="shared" ca="1" si="1399"/>
        <v/>
      </c>
      <c r="AY159" s="412" t="str">
        <f t="shared" ca="1" si="1399"/>
        <v/>
      </c>
      <c r="AZ159" s="412" t="str">
        <f t="shared" ca="1" si="1399"/>
        <v/>
      </c>
      <c r="BA159" s="412" t="str">
        <f t="shared" ca="1" si="1399"/>
        <v/>
      </c>
      <c r="BB159" s="412" t="str">
        <f t="shared" ca="1" si="1399"/>
        <v/>
      </c>
      <c r="BC159" s="412" t="str">
        <f t="shared" ca="1" si="1399"/>
        <v/>
      </c>
      <c r="BD159" s="412" t="str">
        <f t="shared" ca="1" si="1399"/>
        <v/>
      </c>
      <c r="BE159" s="412" t="str">
        <f t="shared" ca="1" si="1399"/>
        <v/>
      </c>
      <c r="BF159" s="412" t="str">
        <f t="shared" ca="1" si="1399"/>
        <v/>
      </c>
      <c r="BG159" s="412" t="str">
        <f t="shared" ca="1" si="1399"/>
        <v/>
      </c>
      <c r="BH159" s="412" t="str">
        <f t="shared" ca="1" si="1399"/>
        <v/>
      </c>
      <c r="BI159" s="412" t="str">
        <f t="shared" ca="1" si="1399"/>
        <v/>
      </c>
      <c r="BJ159" s="412" t="str">
        <f t="shared" ca="1" si="1399"/>
        <v/>
      </c>
      <c r="BK159" s="412" t="str">
        <f t="shared" ca="1" si="1399"/>
        <v/>
      </c>
      <c r="BL159" s="412" t="str">
        <f t="shared" ca="1" si="1399"/>
        <v/>
      </c>
      <c r="BM159" s="412" t="str">
        <f t="shared" ca="1" si="1399"/>
        <v/>
      </c>
      <c r="BN159" s="412" t="str">
        <f t="shared" ca="1" si="1399"/>
        <v/>
      </c>
      <c r="BO159" s="412" t="str">
        <f t="shared" ca="1" si="1399"/>
        <v/>
      </c>
      <c r="BP159" s="412" t="str">
        <f t="shared" ca="1" si="1399"/>
        <v/>
      </c>
      <c r="BQ159" s="412" t="str">
        <f t="shared" ref="BQ159:CL159" ca="1" si="1400">IFERROR(IF((INDEX($E150:$CL157,8,MATCH(S34_base,$E150:$CL150,0))/INDEX($E150:$CL157,3,MATCH(S34_base,$E150:$CL150,0))/(BQ157/BQ152))&gt;=1,1,(INDEX($E150:$CL157,8,MATCH(S34_base,$E150:$CL150,0))/INDEX($E150:$CL157,3,MATCH(S34_base,$E150:$CL150,0))/(BQ157/BQ152))),"")</f>
        <v/>
      </c>
      <c r="BR159" s="412" t="str">
        <f t="shared" ca="1" si="1400"/>
        <v/>
      </c>
      <c r="BS159" s="412" t="str">
        <f t="shared" ca="1" si="1400"/>
        <v/>
      </c>
      <c r="BT159" s="412" t="str">
        <f t="shared" ca="1" si="1400"/>
        <v/>
      </c>
      <c r="BU159" s="412" t="str">
        <f t="shared" ca="1" si="1400"/>
        <v/>
      </c>
      <c r="BV159" s="412" t="str">
        <f t="shared" ca="1" si="1400"/>
        <v/>
      </c>
      <c r="BW159" s="412" t="str">
        <f t="shared" ca="1" si="1400"/>
        <v/>
      </c>
      <c r="BX159" s="412" t="str">
        <f t="shared" ca="1" si="1400"/>
        <v/>
      </c>
      <c r="BY159" s="412" t="str">
        <f t="shared" ca="1" si="1400"/>
        <v/>
      </c>
      <c r="BZ159" s="412" t="str">
        <f t="shared" ca="1" si="1400"/>
        <v/>
      </c>
      <c r="CA159" s="412" t="str">
        <f t="shared" ca="1" si="1400"/>
        <v/>
      </c>
      <c r="CB159" s="412" t="str">
        <f t="shared" ca="1" si="1400"/>
        <v/>
      </c>
      <c r="CC159" s="412" t="str">
        <f t="shared" ca="1" si="1400"/>
        <v/>
      </c>
      <c r="CD159" s="412" t="str">
        <f t="shared" ca="1" si="1400"/>
        <v/>
      </c>
      <c r="CE159" s="412" t="str">
        <f t="shared" ca="1" si="1400"/>
        <v/>
      </c>
      <c r="CF159" s="412" t="str">
        <f t="shared" ca="1" si="1400"/>
        <v/>
      </c>
      <c r="CG159" s="412" t="str">
        <f t="shared" ca="1" si="1400"/>
        <v/>
      </c>
      <c r="CH159" s="412" t="str">
        <f t="shared" ca="1" si="1400"/>
        <v/>
      </c>
      <c r="CI159" s="412" t="str">
        <f t="shared" ca="1" si="1400"/>
        <v/>
      </c>
      <c r="CJ159" s="412" t="str">
        <f t="shared" ca="1" si="1400"/>
        <v/>
      </c>
      <c r="CK159" s="412" t="str">
        <f t="shared" ca="1" si="1400"/>
        <v/>
      </c>
      <c r="CL159" s="412" t="str">
        <f t="shared" ca="1" si="1400"/>
        <v/>
      </c>
      <c r="CN159" s="406" t="str">
        <f ca="1">IFERROR((Y159/H159)^(1/17)-1,"")</f>
        <v/>
      </c>
      <c r="CO159" s="406" t="str">
        <f ca="1">IFERROR((AN159/Y159)^(1/15)-1,"")</f>
        <v/>
      </c>
      <c r="CP159" s="406" t="str">
        <f ca="1">IFERROR((AN159/H159)^(1/32)-1,"")</f>
        <v/>
      </c>
    </row>
    <row r="160" spans="1:94">
      <c r="A160" s="399"/>
      <c r="B160" s="399" t="s">
        <v>27</v>
      </c>
      <c r="C160" s="399" t="s">
        <v>324</v>
      </c>
      <c r="D160" s="399" t="s">
        <v>325</v>
      </c>
      <c r="E160" s="401" t="str">
        <f t="shared" ref="E160:AJ160" ca="1" si="1401">IFERROR(IF(INDEX($E150:$CL159,9,MATCH(S34_base,$E150:$CL150,0))-E155&lt;0,"N/A",INDEX($E150:$CL159,9,MATCH(S34_base,$E150:$CL150,0))-E155),"")</f>
        <v/>
      </c>
      <c r="F160" s="402" t="str">
        <f t="shared" ca="1" si="1401"/>
        <v/>
      </c>
      <c r="G160" s="402" t="str">
        <f t="shared" ca="1" si="1401"/>
        <v/>
      </c>
      <c r="H160" s="402" t="str">
        <f t="shared" ca="1" si="1401"/>
        <v/>
      </c>
      <c r="I160" s="402" t="str">
        <f t="shared" ca="1" si="1401"/>
        <v/>
      </c>
      <c r="J160" s="402" t="str">
        <f t="shared" ca="1" si="1401"/>
        <v/>
      </c>
      <c r="K160" s="402" t="str">
        <f t="shared" ca="1" si="1401"/>
        <v/>
      </c>
      <c r="L160" s="402" t="str">
        <f t="shared" ca="1" si="1401"/>
        <v/>
      </c>
      <c r="M160" s="402" t="str">
        <f t="shared" ca="1" si="1401"/>
        <v/>
      </c>
      <c r="N160" s="402" t="str">
        <f t="shared" ca="1" si="1401"/>
        <v/>
      </c>
      <c r="O160" s="402" t="str">
        <f t="shared" ca="1" si="1401"/>
        <v/>
      </c>
      <c r="P160" s="402" t="str">
        <f t="shared" ca="1" si="1401"/>
        <v/>
      </c>
      <c r="Q160" s="402" t="str">
        <f t="shared" ca="1" si="1401"/>
        <v/>
      </c>
      <c r="R160" s="402" t="str">
        <f t="shared" ca="1" si="1401"/>
        <v/>
      </c>
      <c r="S160" s="402" t="str">
        <f t="shared" ca="1" si="1401"/>
        <v/>
      </c>
      <c r="T160" s="402" t="str">
        <f t="shared" ca="1" si="1401"/>
        <v/>
      </c>
      <c r="U160" s="402" t="str">
        <f t="shared" ca="1" si="1401"/>
        <v/>
      </c>
      <c r="V160" s="402" t="str">
        <f t="shared" ca="1" si="1401"/>
        <v/>
      </c>
      <c r="W160" s="402" t="str">
        <f t="shared" ca="1" si="1401"/>
        <v/>
      </c>
      <c r="X160" s="402" t="str">
        <f t="shared" ca="1" si="1401"/>
        <v/>
      </c>
      <c r="Y160" s="402" t="str">
        <f t="shared" ca="1" si="1401"/>
        <v/>
      </c>
      <c r="Z160" s="402" t="str">
        <f t="shared" ca="1" si="1401"/>
        <v/>
      </c>
      <c r="AA160" s="402" t="str">
        <f t="shared" ca="1" si="1401"/>
        <v/>
      </c>
      <c r="AB160" s="402" t="str">
        <f t="shared" ca="1" si="1401"/>
        <v/>
      </c>
      <c r="AC160" s="402" t="str">
        <f t="shared" ca="1" si="1401"/>
        <v/>
      </c>
      <c r="AD160" s="402" t="str">
        <f t="shared" ca="1" si="1401"/>
        <v/>
      </c>
      <c r="AE160" s="402" t="str">
        <f t="shared" ca="1" si="1401"/>
        <v/>
      </c>
      <c r="AF160" s="402" t="str">
        <f t="shared" ca="1" si="1401"/>
        <v/>
      </c>
      <c r="AG160" s="402" t="str">
        <f t="shared" ca="1" si="1401"/>
        <v/>
      </c>
      <c r="AH160" s="402" t="str">
        <f t="shared" ca="1" si="1401"/>
        <v/>
      </c>
      <c r="AI160" s="402" t="str">
        <f t="shared" ca="1" si="1401"/>
        <v/>
      </c>
      <c r="AJ160" s="402" t="str">
        <f t="shared" ca="1" si="1401"/>
        <v/>
      </c>
      <c r="AK160" s="402" t="str">
        <f t="shared" ref="AK160:BP160" ca="1" si="1402">IFERROR(IF(INDEX($E150:$CL159,9,MATCH(S34_base,$E150:$CL150,0))-AK155&lt;0,"N/A",INDEX($E150:$CL159,9,MATCH(S34_base,$E150:$CL150,0))-AK155),"")</f>
        <v/>
      </c>
      <c r="AL160" s="402" t="str">
        <f t="shared" ca="1" si="1402"/>
        <v/>
      </c>
      <c r="AM160" s="402" t="str">
        <f t="shared" ca="1" si="1402"/>
        <v/>
      </c>
      <c r="AN160" s="402" t="str">
        <f t="shared" ca="1" si="1402"/>
        <v/>
      </c>
      <c r="AO160" s="402" t="str">
        <f t="shared" ca="1" si="1402"/>
        <v/>
      </c>
      <c r="AP160" s="402" t="str">
        <f t="shared" ca="1" si="1402"/>
        <v/>
      </c>
      <c r="AQ160" s="402" t="str">
        <f t="shared" ca="1" si="1402"/>
        <v/>
      </c>
      <c r="AR160" s="402" t="str">
        <f t="shared" ca="1" si="1402"/>
        <v/>
      </c>
      <c r="AS160" s="402" t="str">
        <f t="shared" ca="1" si="1402"/>
        <v/>
      </c>
      <c r="AT160" s="402" t="str">
        <f t="shared" ca="1" si="1402"/>
        <v/>
      </c>
      <c r="AU160" s="402" t="str">
        <f t="shared" ca="1" si="1402"/>
        <v/>
      </c>
      <c r="AV160" s="402" t="str">
        <f t="shared" ca="1" si="1402"/>
        <v/>
      </c>
      <c r="AW160" s="402" t="str">
        <f t="shared" ca="1" si="1402"/>
        <v/>
      </c>
      <c r="AX160" s="402" t="str">
        <f t="shared" ca="1" si="1402"/>
        <v/>
      </c>
      <c r="AY160" s="402" t="str">
        <f t="shared" ca="1" si="1402"/>
        <v/>
      </c>
      <c r="AZ160" s="402" t="str">
        <f t="shared" ca="1" si="1402"/>
        <v/>
      </c>
      <c r="BA160" s="402" t="str">
        <f t="shared" ca="1" si="1402"/>
        <v/>
      </c>
      <c r="BB160" s="402" t="str">
        <f t="shared" ca="1" si="1402"/>
        <v/>
      </c>
      <c r="BC160" s="402" t="str">
        <f t="shared" ca="1" si="1402"/>
        <v/>
      </c>
      <c r="BD160" s="402" t="str">
        <f t="shared" ca="1" si="1402"/>
        <v/>
      </c>
      <c r="BE160" s="402" t="str">
        <f t="shared" ca="1" si="1402"/>
        <v/>
      </c>
      <c r="BF160" s="402" t="str">
        <f t="shared" ca="1" si="1402"/>
        <v/>
      </c>
      <c r="BG160" s="402" t="str">
        <f t="shared" ca="1" si="1402"/>
        <v/>
      </c>
      <c r="BH160" s="402" t="str">
        <f t="shared" ca="1" si="1402"/>
        <v/>
      </c>
      <c r="BI160" s="402" t="str">
        <f t="shared" ca="1" si="1402"/>
        <v/>
      </c>
      <c r="BJ160" s="402" t="str">
        <f t="shared" ca="1" si="1402"/>
        <v/>
      </c>
      <c r="BK160" s="402" t="str">
        <f t="shared" ca="1" si="1402"/>
        <v/>
      </c>
      <c r="BL160" s="402" t="str">
        <f t="shared" ca="1" si="1402"/>
        <v/>
      </c>
      <c r="BM160" s="402" t="str">
        <f t="shared" ca="1" si="1402"/>
        <v/>
      </c>
      <c r="BN160" s="402" t="str">
        <f t="shared" ca="1" si="1402"/>
        <v/>
      </c>
      <c r="BO160" s="402" t="str">
        <f t="shared" ca="1" si="1402"/>
        <v/>
      </c>
      <c r="BP160" s="402" t="str">
        <f t="shared" ca="1" si="1402"/>
        <v/>
      </c>
      <c r="BQ160" s="402" t="str">
        <f t="shared" ref="BQ160:CL160" ca="1" si="1403">IFERROR(IF(INDEX($E150:$CL159,9,MATCH(S34_base,$E150:$CL150,0))-BQ155&lt;0,"N/A",INDEX($E150:$CL159,9,MATCH(S34_base,$E150:$CL150,0))-BQ155),"")</f>
        <v/>
      </c>
      <c r="BR160" s="402" t="str">
        <f t="shared" ca="1" si="1403"/>
        <v/>
      </c>
      <c r="BS160" s="402" t="str">
        <f t="shared" ca="1" si="1403"/>
        <v/>
      </c>
      <c r="BT160" s="402" t="str">
        <f t="shared" ca="1" si="1403"/>
        <v/>
      </c>
      <c r="BU160" s="402" t="str">
        <f t="shared" ca="1" si="1403"/>
        <v/>
      </c>
      <c r="BV160" s="402" t="str">
        <f t="shared" ca="1" si="1403"/>
        <v/>
      </c>
      <c r="BW160" s="402" t="str">
        <f t="shared" ca="1" si="1403"/>
        <v/>
      </c>
      <c r="BX160" s="402" t="str">
        <f t="shared" ca="1" si="1403"/>
        <v/>
      </c>
      <c r="BY160" s="402" t="str">
        <f t="shared" ca="1" si="1403"/>
        <v/>
      </c>
      <c r="BZ160" s="402" t="str">
        <f t="shared" ca="1" si="1403"/>
        <v/>
      </c>
      <c r="CA160" s="402" t="str">
        <f t="shared" ca="1" si="1403"/>
        <v/>
      </c>
      <c r="CB160" s="402" t="str">
        <f t="shared" ca="1" si="1403"/>
        <v/>
      </c>
      <c r="CC160" s="402" t="str">
        <f t="shared" ca="1" si="1403"/>
        <v/>
      </c>
      <c r="CD160" s="402" t="str">
        <f t="shared" ca="1" si="1403"/>
        <v/>
      </c>
      <c r="CE160" s="402" t="str">
        <f t="shared" ca="1" si="1403"/>
        <v/>
      </c>
      <c r="CF160" s="402" t="str">
        <f t="shared" ca="1" si="1403"/>
        <v/>
      </c>
      <c r="CG160" s="402" t="str">
        <f t="shared" ca="1" si="1403"/>
        <v/>
      </c>
      <c r="CH160" s="402" t="str">
        <f t="shared" ca="1" si="1403"/>
        <v/>
      </c>
      <c r="CI160" s="402" t="str">
        <f t="shared" ca="1" si="1403"/>
        <v/>
      </c>
      <c r="CJ160" s="402" t="str">
        <f t="shared" ca="1" si="1403"/>
        <v/>
      </c>
      <c r="CK160" s="402" t="str">
        <f t="shared" ca="1" si="1403"/>
        <v/>
      </c>
      <c r="CL160" s="402" t="str">
        <f t="shared" ca="1" si="1403"/>
        <v/>
      </c>
      <c r="CN160" s="398" t="str">
        <f ca="1">IFERROR((Y160/H160)^(1/17)-1,"")</f>
        <v/>
      </c>
      <c r="CO160" s="398" t="str">
        <f ca="1">IFERROR((AN160/Y160)^(1/15)-1,"")</f>
        <v/>
      </c>
      <c r="CP160" s="398" t="str">
        <f ca="1">IFERROR((AN160/H160)^(1/32)-1,"")</f>
        <v/>
      </c>
    </row>
    <row r="161" spans="1:94">
      <c r="A161" s="393" t="s">
        <v>255</v>
      </c>
      <c r="B161" s="393" t="s">
        <v>256</v>
      </c>
      <c r="C161" s="403" t="s">
        <v>326</v>
      </c>
      <c r="D161" s="403" t="s">
        <v>327</v>
      </c>
      <c r="E161" s="405">
        <f t="shared" ref="E161:AJ161" ca="1" si="1404">IF(E8&lt;S34_base,NA(),IF($B$6="ON", IF(E8&gt;=covid_start, IF(E8&lt;covid_recovery,NA(),IFERROR(E155+(E154*E160*E159),0)),IFERROR(E155+(E154*E160*E159),0)),IFERROR(E155+(E154*E160*E159),0)))</f>
        <v>0</v>
      </c>
      <c r="F161" s="405">
        <f t="shared" ca="1" si="1404"/>
        <v>0</v>
      </c>
      <c r="G161" s="405">
        <f t="shared" ca="1" si="1404"/>
        <v>0</v>
      </c>
      <c r="H161" s="405">
        <f t="shared" ca="1" si="1404"/>
        <v>0</v>
      </c>
      <c r="I161" s="405">
        <f t="shared" ca="1" si="1404"/>
        <v>0</v>
      </c>
      <c r="J161" s="405" t="e">
        <f t="shared" si="1404"/>
        <v>#N/A</v>
      </c>
      <c r="K161" s="405" t="e">
        <f t="shared" si="1404"/>
        <v>#N/A</v>
      </c>
      <c r="L161" s="405" t="e">
        <f t="shared" si="1404"/>
        <v>#N/A</v>
      </c>
      <c r="M161" s="405">
        <f t="shared" ca="1" si="1404"/>
        <v>0</v>
      </c>
      <c r="N161" s="405">
        <f t="shared" ca="1" si="1404"/>
        <v>0</v>
      </c>
      <c r="O161" s="405">
        <f t="shared" ca="1" si="1404"/>
        <v>0</v>
      </c>
      <c r="P161" s="405">
        <f t="shared" ca="1" si="1404"/>
        <v>0</v>
      </c>
      <c r="Q161" s="405">
        <f t="shared" ca="1" si="1404"/>
        <v>0</v>
      </c>
      <c r="R161" s="405">
        <f t="shared" ca="1" si="1404"/>
        <v>0</v>
      </c>
      <c r="S161" s="405">
        <f t="shared" ca="1" si="1404"/>
        <v>0</v>
      </c>
      <c r="T161" s="405">
        <f t="shared" ca="1" si="1404"/>
        <v>0</v>
      </c>
      <c r="U161" s="405">
        <f t="shared" ca="1" si="1404"/>
        <v>0</v>
      </c>
      <c r="V161" s="405">
        <f t="shared" ca="1" si="1404"/>
        <v>0</v>
      </c>
      <c r="W161" s="405">
        <f t="shared" ca="1" si="1404"/>
        <v>0</v>
      </c>
      <c r="X161" s="405">
        <f t="shared" ca="1" si="1404"/>
        <v>0</v>
      </c>
      <c r="Y161" s="405">
        <f t="shared" ca="1" si="1404"/>
        <v>0</v>
      </c>
      <c r="Z161" s="405">
        <f t="shared" ca="1" si="1404"/>
        <v>0</v>
      </c>
      <c r="AA161" s="405">
        <f t="shared" ca="1" si="1404"/>
        <v>0</v>
      </c>
      <c r="AB161" s="405">
        <f t="shared" ca="1" si="1404"/>
        <v>0</v>
      </c>
      <c r="AC161" s="405">
        <f t="shared" ca="1" si="1404"/>
        <v>0</v>
      </c>
      <c r="AD161" s="405">
        <f t="shared" ca="1" si="1404"/>
        <v>0</v>
      </c>
      <c r="AE161" s="405">
        <f t="shared" ca="1" si="1404"/>
        <v>0</v>
      </c>
      <c r="AF161" s="405">
        <f t="shared" ca="1" si="1404"/>
        <v>0</v>
      </c>
      <c r="AG161" s="405">
        <f t="shared" ca="1" si="1404"/>
        <v>0</v>
      </c>
      <c r="AH161" s="405">
        <f t="shared" ca="1" si="1404"/>
        <v>0</v>
      </c>
      <c r="AI161" s="405">
        <f t="shared" ca="1" si="1404"/>
        <v>0</v>
      </c>
      <c r="AJ161" s="405">
        <f t="shared" ca="1" si="1404"/>
        <v>0</v>
      </c>
      <c r="AK161" s="405">
        <f t="shared" ref="AK161:BP161" ca="1" si="1405">IF(AK8&lt;S34_base,NA(),IF($B$6="ON", IF(AK8&gt;=covid_start, IF(AK8&lt;covid_recovery,NA(),IFERROR(AK155+(AK154*AK160*AK159),0)),IFERROR(AK155+(AK154*AK160*AK159),0)),IFERROR(AK155+(AK154*AK160*AK159),0)))</f>
        <v>0</v>
      </c>
      <c r="AL161" s="405">
        <f t="shared" ca="1" si="1405"/>
        <v>0</v>
      </c>
      <c r="AM161" s="405">
        <f t="shared" ca="1" si="1405"/>
        <v>0</v>
      </c>
      <c r="AN161" s="405">
        <f t="shared" ca="1" si="1405"/>
        <v>0</v>
      </c>
      <c r="AO161" s="405">
        <f t="shared" ca="1" si="1405"/>
        <v>0</v>
      </c>
      <c r="AP161" s="405">
        <f t="shared" ca="1" si="1405"/>
        <v>0</v>
      </c>
      <c r="AQ161" s="405">
        <f t="shared" ca="1" si="1405"/>
        <v>0</v>
      </c>
      <c r="AR161" s="405">
        <f t="shared" ca="1" si="1405"/>
        <v>0</v>
      </c>
      <c r="AS161" s="405">
        <f t="shared" ca="1" si="1405"/>
        <v>0</v>
      </c>
      <c r="AT161" s="405">
        <f t="shared" ca="1" si="1405"/>
        <v>0</v>
      </c>
      <c r="AU161" s="405">
        <f t="shared" ca="1" si="1405"/>
        <v>0</v>
      </c>
      <c r="AV161" s="405">
        <f t="shared" ca="1" si="1405"/>
        <v>0</v>
      </c>
      <c r="AW161" s="405">
        <f t="shared" ca="1" si="1405"/>
        <v>0</v>
      </c>
      <c r="AX161" s="405">
        <f t="shared" ca="1" si="1405"/>
        <v>0</v>
      </c>
      <c r="AY161" s="405">
        <f t="shared" ca="1" si="1405"/>
        <v>0</v>
      </c>
      <c r="AZ161" s="405">
        <f t="shared" ca="1" si="1405"/>
        <v>0</v>
      </c>
      <c r="BA161" s="405">
        <f t="shared" ca="1" si="1405"/>
        <v>0</v>
      </c>
      <c r="BB161" s="405">
        <f t="shared" ca="1" si="1405"/>
        <v>0</v>
      </c>
      <c r="BC161" s="405">
        <f t="shared" ca="1" si="1405"/>
        <v>0</v>
      </c>
      <c r="BD161" s="405">
        <f t="shared" ca="1" si="1405"/>
        <v>0</v>
      </c>
      <c r="BE161" s="405">
        <f t="shared" ca="1" si="1405"/>
        <v>0</v>
      </c>
      <c r="BF161" s="405">
        <f t="shared" ca="1" si="1405"/>
        <v>0</v>
      </c>
      <c r="BG161" s="405">
        <f t="shared" ca="1" si="1405"/>
        <v>0</v>
      </c>
      <c r="BH161" s="405">
        <f t="shared" ca="1" si="1405"/>
        <v>0</v>
      </c>
      <c r="BI161" s="405">
        <f t="shared" ca="1" si="1405"/>
        <v>0</v>
      </c>
      <c r="BJ161" s="405">
        <f t="shared" ca="1" si="1405"/>
        <v>0</v>
      </c>
      <c r="BK161" s="405">
        <f t="shared" ca="1" si="1405"/>
        <v>0</v>
      </c>
      <c r="BL161" s="405">
        <f t="shared" ca="1" si="1405"/>
        <v>0</v>
      </c>
      <c r="BM161" s="405">
        <f t="shared" ca="1" si="1405"/>
        <v>0</v>
      </c>
      <c r="BN161" s="405">
        <f t="shared" ca="1" si="1405"/>
        <v>0</v>
      </c>
      <c r="BO161" s="405">
        <f t="shared" ca="1" si="1405"/>
        <v>0</v>
      </c>
      <c r="BP161" s="405">
        <f t="shared" ca="1" si="1405"/>
        <v>0</v>
      </c>
      <c r="BQ161" s="405">
        <f t="shared" ref="BQ161:CL161" ca="1" si="1406">IF(BQ8&lt;S34_base,NA(),IF($B$6="ON", IF(BQ8&gt;=covid_start, IF(BQ8&lt;covid_recovery,NA(),IFERROR(BQ155+(BQ154*BQ160*BQ159),0)),IFERROR(BQ155+(BQ154*BQ160*BQ159),0)),IFERROR(BQ155+(BQ154*BQ160*BQ159),0)))</f>
        <v>0</v>
      </c>
      <c r="BR161" s="405">
        <f t="shared" ca="1" si="1406"/>
        <v>0</v>
      </c>
      <c r="BS161" s="405">
        <f t="shared" ca="1" si="1406"/>
        <v>0</v>
      </c>
      <c r="BT161" s="405">
        <f t="shared" ca="1" si="1406"/>
        <v>0</v>
      </c>
      <c r="BU161" s="405">
        <f t="shared" ca="1" si="1406"/>
        <v>0</v>
      </c>
      <c r="BV161" s="405">
        <f t="shared" ca="1" si="1406"/>
        <v>0</v>
      </c>
      <c r="BW161" s="405">
        <f t="shared" ca="1" si="1406"/>
        <v>0</v>
      </c>
      <c r="BX161" s="405">
        <f t="shared" ca="1" si="1406"/>
        <v>0</v>
      </c>
      <c r="BY161" s="405">
        <f t="shared" ca="1" si="1406"/>
        <v>0</v>
      </c>
      <c r="BZ161" s="405">
        <f t="shared" ca="1" si="1406"/>
        <v>0</v>
      </c>
      <c r="CA161" s="405">
        <f t="shared" ca="1" si="1406"/>
        <v>0</v>
      </c>
      <c r="CB161" s="405">
        <f t="shared" ca="1" si="1406"/>
        <v>0</v>
      </c>
      <c r="CC161" s="405">
        <f t="shared" ca="1" si="1406"/>
        <v>0</v>
      </c>
      <c r="CD161" s="405">
        <f t="shared" ca="1" si="1406"/>
        <v>0</v>
      </c>
      <c r="CE161" s="405">
        <f t="shared" ca="1" si="1406"/>
        <v>0</v>
      </c>
      <c r="CF161" s="405">
        <f t="shared" ca="1" si="1406"/>
        <v>0</v>
      </c>
      <c r="CG161" s="405">
        <f t="shared" ca="1" si="1406"/>
        <v>0</v>
      </c>
      <c r="CH161" s="405">
        <f t="shared" ca="1" si="1406"/>
        <v>0</v>
      </c>
      <c r="CI161" s="405">
        <f t="shared" ca="1" si="1406"/>
        <v>0</v>
      </c>
      <c r="CJ161" s="405">
        <f t="shared" ca="1" si="1406"/>
        <v>0</v>
      </c>
      <c r="CK161" s="405">
        <f t="shared" ca="1" si="1406"/>
        <v>0</v>
      </c>
      <c r="CL161" s="405">
        <f t="shared" ca="1" si="1406"/>
        <v>0</v>
      </c>
      <c r="CN161" s="406" t="str">
        <f ca="1">IFERROR((Y161/H161)^(1/17)-1,"")</f>
        <v/>
      </c>
      <c r="CO161" s="406" t="str">
        <f ca="1">IFERROR((AN161/Y161)^(1/15)-1,"")</f>
        <v/>
      </c>
      <c r="CP161" s="406" t="str">
        <f ca="1">IFERROR((AN161/H161)^(1/32)-1,"")</f>
        <v/>
      </c>
    </row>
    <row r="162" spans="1:94">
      <c r="A162" s="400" t="s">
        <v>255</v>
      </c>
      <c r="B162" s="400" t="s">
        <v>129</v>
      </c>
      <c r="C162" s="400" t="s">
        <v>328</v>
      </c>
      <c r="D162" s="400"/>
      <c r="E162" s="413" t="e">
        <f t="shared" ref="E162:AJ162" si="1407">IF(E150=S34_base,E161, IF(E150=target,E161,#N/A))</f>
        <v>#N/A</v>
      </c>
      <c r="F162" s="407" t="e">
        <f t="shared" si="1407"/>
        <v>#N/A</v>
      </c>
      <c r="G162" s="407" t="e">
        <f t="shared" si="1407"/>
        <v>#N/A</v>
      </c>
      <c r="H162" s="407" t="e">
        <f t="shared" si="1407"/>
        <v>#N/A</v>
      </c>
      <c r="I162" s="407" t="e">
        <f t="shared" si="1407"/>
        <v>#N/A</v>
      </c>
      <c r="J162" s="407" t="e">
        <f t="shared" si="1407"/>
        <v>#N/A</v>
      </c>
      <c r="K162" s="407" t="e">
        <f t="shared" si="1407"/>
        <v>#N/A</v>
      </c>
      <c r="L162" s="407" t="e">
        <f t="shared" si="1407"/>
        <v>#N/A</v>
      </c>
      <c r="M162" s="407" t="e">
        <f t="shared" si="1407"/>
        <v>#N/A</v>
      </c>
      <c r="N162" s="407" t="e">
        <f t="shared" si="1407"/>
        <v>#N/A</v>
      </c>
      <c r="O162" s="407" t="e">
        <f t="shared" si="1407"/>
        <v>#N/A</v>
      </c>
      <c r="P162" s="407" t="e">
        <f t="shared" si="1407"/>
        <v>#N/A</v>
      </c>
      <c r="Q162" s="407" t="e">
        <f t="shared" si="1407"/>
        <v>#N/A</v>
      </c>
      <c r="R162" s="407" t="e">
        <f t="shared" si="1407"/>
        <v>#N/A</v>
      </c>
      <c r="S162" s="407" t="e">
        <f t="shared" si="1407"/>
        <v>#N/A</v>
      </c>
      <c r="T162" s="407" t="e">
        <f t="shared" si="1407"/>
        <v>#N/A</v>
      </c>
      <c r="U162" s="407" t="e">
        <f t="shared" si="1407"/>
        <v>#N/A</v>
      </c>
      <c r="V162" s="407" t="e">
        <f t="shared" si="1407"/>
        <v>#N/A</v>
      </c>
      <c r="W162" s="407" t="e">
        <f t="shared" si="1407"/>
        <v>#N/A</v>
      </c>
      <c r="X162" s="407" t="e">
        <f t="shared" si="1407"/>
        <v>#N/A</v>
      </c>
      <c r="Y162" s="407" t="e">
        <f t="shared" si="1407"/>
        <v>#N/A</v>
      </c>
      <c r="Z162" s="407" t="e">
        <f t="shared" si="1407"/>
        <v>#N/A</v>
      </c>
      <c r="AA162" s="407" t="e">
        <f t="shared" si="1407"/>
        <v>#N/A</v>
      </c>
      <c r="AB162" s="407" t="e">
        <f t="shared" si="1407"/>
        <v>#N/A</v>
      </c>
      <c r="AC162" s="407" t="e">
        <f t="shared" si="1407"/>
        <v>#N/A</v>
      </c>
      <c r="AD162" s="407" t="e">
        <f t="shared" si="1407"/>
        <v>#N/A</v>
      </c>
      <c r="AE162" s="407" t="e">
        <f t="shared" si="1407"/>
        <v>#N/A</v>
      </c>
      <c r="AF162" s="407" t="e">
        <f t="shared" si="1407"/>
        <v>#N/A</v>
      </c>
      <c r="AG162" s="407" t="e">
        <f t="shared" si="1407"/>
        <v>#N/A</v>
      </c>
      <c r="AH162" s="407" t="e">
        <f t="shared" si="1407"/>
        <v>#N/A</v>
      </c>
      <c r="AI162" s="407" t="e">
        <f t="shared" si="1407"/>
        <v>#N/A</v>
      </c>
      <c r="AJ162" s="407" t="e">
        <f t="shared" si="1407"/>
        <v>#N/A</v>
      </c>
      <c r="AK162" s="407" t="e">
        <f t="shared" ref="AK162:BP162" si="1408">IF(AK150=S34_base,AK161, IF(AK150=target,AK161,#N/A))</f>
        <v>#N/A</v>
      </c>
      <c r="AL162" s="407" t="e">
        <f t="shared" si="1408"/>
        <v>#N/A</v>
      </c>
      <c r="AM162" s="407" t="e">
        <f t="shared" si="1408"/>
        <v>#N/A</v>
      </c>
      <c r="AN162" s="407" t="e">
        <f t="shared" si="1408"/>
        <v>#N/A</v>
      </c>
      <c r="AO162" s="407" t="e">
        <f t="shared" si="1408"/>
        <v>#N/A</v>
      </c>
      <c r="AP162" s="407" t="e">
        <f t="shared" si="1408"/>
        <v>#N/A</v>
      </c>
      <c r="AQ162" s="407" t="e">
        <f t="shared" si="1408"/>
        <v>#N/A</v>
      </c>
      <c r="AR162" s="407" t="e">
        <f t="shared" si="1408"/>
        <v>#N/A</v>
      </c>
      <c r="AS162" s="407" t="e">
        <f t="shared" si="1408"/>
        <v>#N/A</v>
      </c>
      <c r="AT162" s="407" t="e">
        <f t="shared" si="1408"/>
        <v>#N/A</v>
      </c>
      <c r="AU162" s="407" t="e">
        <f t="shared" si="1408"/>
        <v>#N/A</v>
      </c>
      <c r="AV162" s="407" t="e">
        <f t="shared" si="1408"/>
        <v>#N/A</v>
      </c>
      <c r="AW162" s="407" t="e">
        <f t="shared" si="1408"/>
        <v>#N/A</v>
      </c>
      <c r="AX162" s="407" t="e">
        <f t="shared" si="1408"/>
        <v>#N/A</v>
      </c>
      <c r="AY162" s="407" t="e">
        <f t="shared" si="1408"/>
        <v>#N/A</v>
      </c>
      <c r="AZ162" s="407" t="e">
        <f t="shared" si="1408"/>
        <v>#N/A</v>
      </c>
      <c r="BA162" s="407" t="e">
        <f t="shared" si="1408"/>
        <v>#N/A</v>
      </c>
      <c r="BB162" s="407" t="e">
        <f t="shared" si="1408"/>
        <v>#N/A</v>
      </c>
      <c r="BC162" s="407" t="e">
        <f t="shared" si="1408"/>
        <v>#N/A</v>
      </c>
      <c r="BD162" s="407" t="e">
        <f t="shared" si="1408"/>
        <v>#N/A</v>
      </c>
      <c r="BE162" s="407" t="e">
        <f t="shared" si="1408"/>
        <v>#N/A</v>
      </c>
      <c r="BF162" s="407" t="e">
        <f t="shared" si="1408"/>
        <v>#N/A</v>
      </c>
      <c r="BG162" s="407" t="e">
        <f t="shared" si="1408"/>
        <v>#N/A</v>
      </c>
      <c r="BH162" s="407" t="e">
        <f t="shared" si="1408"/>
        <v>#N/A</v>
      </c>
      <c r="BI162" s="407" t="e">
        <f t="shared" si="1408"/>
        <v>#N/A</v>
      </c>
      <c r="BJ162" s="407" t="e">
        <f t="shared" si="1408"/>
        <v>#N/A</v>
      </c>
      <c r="BK162" s="407" t="e">
        <f t="shared" si="1408"/>
        <v>#N/A</v>
      </c>
      <c r="BL162" s="407" t="e">
        <f t="shared" si="1408"/>
        <v>#N/A</v>
      </c>
      <c r="BM162" s="407" t="e">
        <f t="shared" si="1408"/>
        <v>#N/A</v>
      </c>
      <c r="BN162" s="407" t="e">
        <f t="shared" si="1408"/>
        <v>#N/A</v>
      </c>
      <c r="BO162" s="407" t="e">
        <f t="shared" si="1408"/>
        <v>#N/A</v>
      </c>
      <c r="BP162" s="407" t="e">
        <f t="shared" si="1408"/>
        <v>#N/A</v>
      </c>
      <c r="BQ162" s="407" t="e">
        <f t="shared" ref="BQ162:CL162" si="1409">IF(BQ150=S34_base,BQ161, IF(BQ150=target,BQ161,#N/A))</f>
        <v>#N/A</v>
      </c>
      <c r="BR162" s="407" t="e">
        <f t="shared" si="1409"/>
        <v>#N/A</v>
      </c>
      <c r="BS162" s="407" t="e">
        <f t="shared" si="1409"/>
        <v>#N/A</v>
      </c>
      <c r="BT162" s="407" t="e">
        <f t="shared" si="1409"/>
        <v>#N/A</v>
      </c>
      <c r="BU162" s="407" t="e">
        <f t="shared" si="1409"/>
        <v>#N/A</v>
      </c>
      <c r="BV162" s="407" t="e">
        <f t="shared" si="1409"/>
        <v>#N/A</v>
      </c>
      <c r="BW162" s="407" t="e">
        <f t="shared" si="1409"/>
        <v>#N/A</v>
      </c>
      <c r="BX162" s="407" t="e">
        <f t="shared" si="1409"/>
        <v>#N/A</v>
      </c>
      <c r="BY162" s="407" t="e">
        <f t="shared" si="1409"/>
        <v>#N/A</v>
      </c>
      <c r="BZ162" s="407" t="e">
        <f t="shared" si="1409"/>
        <v>#N/A</v>
      </c>
      <c r="CA162" s="407" t="e">
        <f t="shared" si="1409"/>
        <v>#N/A</v>
      </c>
      <c r="CB162" s="407" t="e">
        <f t="shared" si="1409"/>
        <v>#N/A</v>
      </c>
      <c r="CC162" s="407" t="e">
        <f t="shared" si="1409"/>
        <v>#N/A</v>
      </c>
      <c r="CD162" s="407" t="e">
        <f t="shared" si="1409"/>
        <v>#N/A</v>
      </c>
      <c r="CE162" s="407" t="e">
        <f t="shared" si="1409"/>
        <v>#N/A</v>
      </c>
      <c r="CF162" s="407" t="e">
        <f t="shared" si="1409"/>
        <v>#N/A</v>
      </c>
      <c r="CG162" s="407" t="e">
        <f t="shared" si="1409"/>
        <v>#N/A</v>
      </c>
      <c r="CH162" s="407" t="e">
        <f t="shared" si="1409"/>
        <v>#N/A</v>
      </c>
      <c r="CI162" s="407" t="e">
        <f t="shared" si="1409"/>
        <v>#N/A</v>
      </c>
      <c r="CJ162" s="407" t="e">
        <f t="shared" si="1409"/>
        <v>#N/A</v>
      </c>
      <c r="CK162" s="407" t="e">
        <f t="shared" si="1409"/>
        <v>#N/A</v>
      </c>
      <c r="CL162" s="407" t="e">
        <f t="shared" si="1409"/>
        <v>#N/A</v>
      </c>
      <c r="CN162" s="408" t="str">
        <f>IFERROR((Y162/H162)^(1/17)-1,"")</f>
        <v/>
      </c>
      <c r="CO162" s="408" t="str">
        <f>IFERROR((AN162/Y162)^(1/15)-1,"")</f>
        <v/>
      </c>
      <c r="CP162" s="408" t="str">
        <f>IFERROR((AN162/H162)^(1/32)-1,"")</f>
        <v/>
      </c>
    </row>
    <row r="163" spans="1:94">
      <c r="A163" s="403" t="s">
        <v>255</v>
      </c>
      <c r="B163" s="403" t="s">
        <v>257</v>
      </c>
      <c r="C163" s="403" t="s">
        <v>329</v>
      </c>
      <c r="D163" s="403" t="s">
        <v>330</v>
      </c>
      <c r="E163" s="404">
        <f ca="1">IFERROR((E161*E157)/1000,0)</f>
        <v>0</v>
      </c>
      <c r="F163" s="405">
        <f t="shared" ref="F163:G163" ca="1" si="1410">IFERROR((F161*F157)/1000,0)</f>
        <v>0</v>
      </c>
      <c r="G163" s="405">
        <f t="shared" ca="1" si="1410"/>
        <v>0</v>
      </c>
      <c r="H163" s="405">
        <f ca="1">IFERROR((H161*H157)/1000,0)</f>
        <v>0</v>
      </c>
      <c r="I163" s="405">
        <f ca="1">IFERROR((I161*I157)/1000,0)</f>
        <v>0</v>
      </c>
      <c r="J163" s="405">
        <f t="shared" ref="J163:BU163" si="1411">IFERROR((J161*J157)/1000,0)</f>
        <v>0</v>
      </c>
      <c r="K163" s="405">
        <f t="shared" si="1411"/>
        <v>0</v>
      </c>
      <c r="L163" s="405">
        <f t="shared" si="1411"/>
        <v>0</v>
      </c>
      <c r="M163" s="405">
        <f t="shared" ca="1" si="1411"/>
        <v>0</v>
      </c>
      <c r="N163" s="405">
        <f t="shared" ca="1" si="1411"/>
        <v>0</v>
      </c>
      <c r="O163" s="405">
        <f t="shared" ca="1" si="1411"/>
        <v>0</v>
      </c>
      <c r="P163" s="405">
        <f t="shared" ca="1" si="1411"/>
        <v>0</v>
      </c>
      <c r="Q163" s="405">
        <f t="shared" ca="1" si="1411"/>
        <v>0</v>
      </c>
      <c r="R163" s="405">
        <f t="shared" ca="1" si="1411"/>
        <v>0</v>
      </c>
      <c r="S163" s="405">
        <f t="shared" ca="1" si="1411"/>
        <v>0</v>
      </c>
      <c r="T163" s="405">
        <f t="shared" ca="1" si="1411"/>
        <v>0</v>
      </c>
      <c r="U163" s="405">
        <f t="shared" ca="1" si="1411"/>
        <v>0</v>
      </c>
      <c r="V163" s="405">
        <f t="shared" ca="1" si="1411"/>
        <v>0</v>
      </c>
      <c r="W163" s="405">
        <f t="shared" ca="1" si="1411"/>
        <v>0</v>
      </c>
      <c r="X163" s="405">
        <f t="shared" ca="1" si="1411"/>
        <v>0</v>
      </c>
      <c r="Y163" s="405">
        <f t="shared" ca="1" si="1411"/>
        <v>0</v>
      </c>
      <c r="Z163" s="405">
        <f t="shared" ca="1" si="1411"/>
        <v>0</v>
      </c>
      <c r="AA163" s="405">
        <f t="shared" ca="1" si="1411"/>
        <v>0</v>
      </c>
      <c r="AB163" s="405">
        <f t="shared" ca="1" si="1411"/>
        <v>0</v>
      </c>
      <c r="AC163" s="405">
        <f t="shared" ca="1" si="1411"/>
        <v>0</v>
      </c>
      <c r="AD163" s="405">
        <f t="shared" ca="1" si="1411"/>
        <v>0</v>
      </c>
      <c r="AE163" s="405">
        <f t="shared" ca="1" si="1411"/>
        <v>0</v>
      </c>
      <c r="AF163" s="405">
        <f t="shared" ca="1" si="1411"/>
        <v>0</v>
      </c>
      <c r="AG163" s="405">
        <f t="shared" ca="1" si="1411"/>
        <v>0</v>
      </c>
      <c r="AH163" s="405">
        <f t="shared" ca="1" si="1411"/>
        <v>0</v>
      </c>
      <c r="AI163" s="405">
        <f t="shared" ca="1" si="1411"/>
        <v>0</v>
      </c>
      <c r="AJ163" s="405">
        <f t="shared" ca="1" si="1411"/>
        <v>0</v>
      </c>
      <c r="AK163" s="405">
        <f t="shared" ca="1" si="1411"/>
        <v>0</v>
      </c>
      <c r="AL163" s="405">
        <f t="shared" ca="1" si="1411"/>
        <v>0</v>
      </c>
      <c r="AM163" s="405">
        <f t="shared" ca="1" si="1411"/>
        <v>0</v>
      </c>
      <c r="AN163" s="405">
        <f t="shared" ca="1" si="1411"/>
        <v>0</v>
      </c>
      <c r="AO163" s="405">
        <f t="shared" ca="1" si="1411"/>
        <v>0</v>
      </c>
      <c r="AP163" s="405">
        <f t="shared" ca="1" si="1411"/>
        <v>0</v>
      </c>
      <c r="AQ163" s="405">
        <f t="shared" ca="1" si="1411"/>
        <v>0</v>
      </c>
      <c r="AR163" s="405">
        <f t="shared" ca="1" si="1411"/>
        <v>0</v>
      </c>
      <c r="AS163" s="405">
        <f t="shared" ca="1" si="1411"/>
        <v>0</v>
      </c>
      <c r="AT163" s="405">
        <f t="shared" ca="1" si="1411"/>
        <v>0</v>
      </c>
      <c r="AU163" s="405">
        <f t="shared" ca="1" si="1411"/>
        <v>0</v>
      </c>
      <c r="AV163" s="405">
        <f t="shared" ca="1" si="1411"/>
        <v>0</v>
      </c>
      <c r="AW163" s="405">
        <f t="shared" ca="1" si="1411"/>
        <v>0</v>
      </c>
      <c r="AX163" s="405">
        <f t="shared" ca="1" si="1411"/>
        <v>0</v>
      </c>
      <c r="AY163" s="405">
        <f t="shared" ca="1" si="1411"/>
        <v>0</v>
      </c>
      <c r="AZ163" s="405">
        <f t="shared" ca="1" si="1411"/>
        <v>0</v>
      </c>
      <c r="BA163" s="405">
        <f t="shared" ca="1" si="1411"/>
        <v>0</v>
      </c>
      <c r="BB163" s="405">
        <f t="shared" ca="1" si="1411"/>
        <v>0</v>
      </c>
      <c r="BC163" s="405">
        <f t="shared" ca="1" si="1411"/>
        <v>0</v>
      </c>
      <c r="BD163" s="405">
        <f t="shared" ca="1" si="1411"/>
        <v>0</v>
      </c>
      <c r="BE163" s="405">
        <f t="shared" ca="1" si="1411"/>
        <v>0</v>
      </c>
      <c r="BF163" s="405">
        <f t="shared" ca="1" si="1411"/>
        <v>0</v>
      </c>
      <c r="BG163" s="405">
        <f t="shared" ca="1" si="1411"/>
        <v>0</v>
      </c>
      <c r="BH163" s="405">
        <f t="shared" ca="1" si="1411"/>
        <v>0</v>
      </c>
      <c r="BI163" s="405">
        <f t="shared" ca="1" si="1411"/>
        <v>0</v>
      </c>
      <c r="BJ163" s="405">
        <f t="shared" ca="1" si="1411"/>
        <v>0</v>
      </c>
      <c r="BK163" s="405">
        <f t="shared" ca="1" si="1411"/>
        <v>0</v>
      </c>
      <c r="BL163" s="405">
        <f t="shared" ca="1" si="1411"/>
        <v>0</v>
      </c>
      <c r="BM163" s="405">
        <f t="shared" ca="1" si="1411"/>
        <v>0</v>
      </c>
      <c r="BN163" s="405">
        <f t="shared" ca="1" si="1411"/>
        <v>0</v>
      </c>
      <c r="BO163" s="405">
        <f t="shared" ca="1" si="1411"/>
        <v>0</v>
      </c>
      <c r="BP163" s="405">
        <f t="shared" ca="1" si="1411"/>
        <v>0</v>
      </c>
      <c r="BQ163" s="405">
        <f t="shared" ca="1" si="1411"/>
        <v>0</v>
      </c>
      <c r="BR163" s="405">
        <f t="shared" ca="1" si="1411"/>
        <v>0</v>
      </c>
      <c r="BS163" s="405">
        <f t="shared" ca="1" si="1411"/>
        <v>0</v>
      </c>
      <c r="BT163" s="405">
        <f t="shared" ca="1" si="1411"/>
        <v>0</v>
      </c>
      <c r="BU163" s="405">
        <f t="shared" ca="1" si="1411"/>
        <v>0</v>
      </c>
      <c r="BV163" s="405">
        <f t="shared" ref="BV163:CL163" ca="1" si="1412">IFERROR((BV161*BV157)/1000,0)</f>
        <v>0</v>
      </c>
      <c r="BW163" s="405">
        <f t="shared" ca="1" si="1412"/>
        <v>0</v>
      </c>
      <c r="BX163" s="405">
        <f t="shared" ca="1" si="1412"/>
        <v>0</v>
      </c>
      <c r="BY163" s="405">
        <f t="shared" ca="1" si="1412"/>
        <v>0</v>
      </c>
      <c r="BZ163" s="405">
        <f t="shared" ca="1" si="1412"/>
        <v>0</v>
      </c>
      <c r="CA163" s="405">
        <f t="shared" ca="1" si="1412"/>
        <v>0</v>
      </c>
      <c r="CB163" s="405">
        <f t="shared" ca="1" si="1412"/>
        <v>0</v>
      </c>
      <c r="CC163" s="405">
        <f t="shared" ca="1" si="1412"/>
        <v>0</v>
      </c>
      <c r="CD163" s="405">
        <f t="shared" ca="1" si="1412"/>
        <v>0</v>
      </c>
      <c r="CE163" s="405">
        <f t="shared" ca="1" si="1412"/>
        <v>0</v>
      </c>
      <c r="CF163" s="405">
        <f t="shared" ca="1" si="1412"/>
        <v>0</v>
      </c>
      <c r="CG163" s="405">
        <f t="shared" ca="1" si="1412"/>
        <v>0</v>
      </c>
      <c r="CH163" s="405">
        <f t="shared" ca="1" si="1412"/>
        <v>0</v>
      </c>
      <c r="CI163" s="405">
        <f t="shared" ca="1" si="1412"/>
        <v>0</v>
      </c>
      <c r="CJ163" s="405">
        <f t="shared" ca="1" si="1412"/>
        <v>0</v>
      </c>
      <c r="CK163" s="405">
        <f t="shared" ca="1" si="1412"/>
        <v>0</v>
      </c>
      <c r="CL163" s="405">
        <f t="shared" ca="1" si="1412"/>
        <v>0</v>
      </c>
      <c r="CN163" s="406" t="str">
        <f ca="1">IFERROR((Y163/H163)^(1/17)-1,"")</f>
        <v/>
      </c>
      <c r="CO163" s="406" t="str">
        <f ca="1">IFERROR((AN163/Y163)^(1/15)-1,"")</f>
        <v/>
      </c>
      <c r="CP163" s="406" t="str">
        <f ca="1">IFERROR((AN163/H163)^(1/32)-1,"")</f>
        <v/>
      </c>
    </row>
    <row r="164" spans="1:94">
      <c r="A164" s="414" t="s">
        <v>382</v>
      </c>
      <c r="B164" s="414" t="s">
        <v>384</v>
      </c>
      <c r="C164" s="414"/>
      <c r="D164" s="414"/>
      <c r="E164" s="415" t="e">
        <f>IF($B$6="ON",IF(E150=covid_start-1,E153,IF(E150=covid_recovery,E153,IF(E150&gt;=covid_start,IF(E150&lt;covid_recovery,D164-(INDEX($E150:$CH163,4,MATCH(covid_start-1,$E150:$CL150,0))-INDEX($E150:$CL163,4,MATCH(covid_recovery,$E150:$CL150,0)))/(covid_recovery-covid_start+1),NA()),NA()))),NA())</f>
        <v>#N/A</v>
      </c>
      <c r="F164" s="415" t="e">
        <f t="shared" ref="F164" si="1413">IF($B$6="ON",IF(F150=covid_start-1,F153,IF(F150=covid_recovery,F153,IF(F150&gt;=covid_start,IF(F150&lt;covid_recovery,E164-(INDEX($E150:$CH163,4,MATCH(covid_start-1,$E150:$CL150,0))-INDEX($E150:$CL163,4,MATCH(covid_recovery,$E150:$CL150,0)))/(covid_recovery-covid_start+1),NA()),NA()))),NA())</f>
        <v>#N/A</v>
      </c>
      <c r="G164" s="415" t="e">
        <f t="shared" ref="G164" si="1414">IF($B$6="ON",IF(G150=covid_start-1,G153,IF(G150=covid_recovery,G153,IF(G150&gt;=covid_start,IF(G150&lt;covid_recovery,F164-(INDEX($E150:$CH163,4,MATCH(covid_start-1,$E150:$CL150,0))-INDEX($E150:$CL163,4,MATCH(covid_recovery,$E150:$CL150,0)))/(covid_recovery-covid_start+1),NA()),NA()))),NA())</f>
        <v>#N/A</v>
      </c>
      <c r="H164" s="415" t="e">
        <f t="shared" ref="H164" si="1415">IF($B$6="ON",IF(H150=covid_start-1,H153,IF(H150=covid_recovery,H153,IF(H150&gt;=covid_start,IF(H150&lt;covid_recovery,G164-(INDEX($E150:$CH163,4,MATCH(covid_start-1,$E150:$CL150,0))-INDEX($E150:$CL163,4,MATCH(covid_recovery,$E150:$CL150,0)))/(covid_recovery-covid_start+1),NA()),NA()))),NA())</f>
        <v>#N/A</v>
      </c>
      <c r="I164" s="415">
        <f t="shared" ref="I164" ca="1" si="1416">IF($B$6="ON",IF(I150=covid_start-1,I153,IF(I150=covid_recovery,I153,IF(I150&gt;=covid_start,IF(I150&lt;covid_recovery,H164-(INDEX($E150:$CH163,4,MATCH(covid_start-1,$E150:$CL150,0))-INDEX($E150:$CL163,4,MATCH(covid_recovery,$E150:$CL150,0)))/(covid_recovery-covid_start+1),NA()),NA()))),NA())</f>
        <v>584.95599084340938</v>
      </c>
      <c r="J164" s="415">
        <f t="shared" ref="J164" ca="1" si="1417">IF($B$6="ON",IF(J150=covid_start-1,J153,IF(J150=covid_recovery,J153,IF(J150&gt;=covid_start,IF(J150&lt;covid_recovery,I164-(INDEX($E150:$CH163,4,MATCH(covid_start-1,$E150:$CL150,0))-INDEX($E150:$CL163,4,MATCH(covid_recovery,$E150:$CL150,0)))/(covid_recovery-covid_start+1),NA()),NA()))),NA())</f>
        <v>566.07026729921654</v>
      </c>
      <c r="K164" s="415">
        <f t="shared" ref="K164" ca="1" si="1418">IF($B$6="ON",IF(K150=covid_start-1,K153,IF(K150=covid_recovery,K153,IF(K150&gt;=covid_start,IF(K150&lt;covid_recovery,J164-(INDEX($E150:$CH163,4,MATCH(covid_start-1,$E150:$CL150,0))-INDEX($E150:$CL163,4,MATCH(covid_recovery,$E150:$CL150,0)))/(covid_recovery-covid_start+1),NA()),NA()))),NA())</f>
        <v>547.1845437550237</v>
      </c>
      <c r="L164" s="415">
        <f t="shared" ref="L164" ca="1" si="1419">IF($B$6="ON",IF(L150=covid_start-1,L153,IF(L150=covid_recovery,L153,IF(L150&gt;=covid_start,IF(L150&lt;covid_recovery,K164-(INDEX($E150:$CH163,4,MATCH(covid_start-1,$E150:$CL150,0))-INDEX($E150:$CL163,4,MATCH(covid_recovery,$E150:$CL150,0)))/(covid_recovery-covid_start+1),NA()),NA()))),NA())</f>
        <v>528.29882021083085</v>
      </c>
      <c r="M164" s="415">
        <f t="shared" ref="M164" ca="1" si="1420">IF($B$6="ON",IF(M150=covid_start-1,M153,IF(M150=covid_recovery,M153,IF(M150&gt;=covid_start,IF(M150&lt;covid_recovery,L164-(INDEX($E150:$CH163,4,MATCH(covid_start-1,$E150:$CL150,0))-INDEX($E150:$CL163,4,MATCH(covid_recovery,$E150:$CL150,0)))/(covid_recovery-covid_start+1),NA()),NA()))),NA())</f>
        <v>509.41309666663813</v>
      </c>
      <c r="N164" s="415" t="e">
        <f t="shared" ref="N164" si="1421">IF($B$6="ON",IF(N150=covid_start-1,N153,IF(N150=covid_recovery,N153,IF(N150&gt;=covid_start,IF(N150&lt;covid_recovery,M164-(INDEX($E150:$CH163,4,MATCH(covid_start-1,$E150:$CL150,0))-INDEX($E150:$CL163,4,MATCH(covid_recovery,$E150:$CL150,0)))/(covid_recovery-covid_start+1),NA()),NA()))),NA())</f>
        <v>#N/A</v>
      </c>
      <c r="O164" s="415" t="e">
        <f t="shared" ref="O164" si="1422">IF($B$6="ON",IF(O150=covid_start-1,O153,IF(O150=covid_recovery,O153,IF(O150&gt;=covid_start,IF(O150&lt;covid_recovery,N164-(INDEX($E150:$CH163,4,MATCH(covid_start-1,$E150:$CL150,0))-INDEX($E150:$CL163,4,MATCH(covid_recovery,$E150:$CL150,0)))/(covid_recovery-covid_start+1),NA()),NA()))),NA())</f>
        <v>#N/A</v>
      </c>
      <c r="P164" s="415" t="e">
        <f t="shared" ref="P164" si="1423">IF($B$6="ON",IF(P150=covid_start-1,P153,IF(P150=covid_recovery,P153,IF(P150&gt;=covid_start,IF(P150&lt;covid_recovery,O164-(INDEX($E150:$CH163,4,MATCH(covid_start-1,$E150:$CL150,0))-INDEX($E150:$CL163,4,MATCH(covid_recovery,$E150:$CL150,0)))/(covid_recovery-covid_start+1),NA()),NA()))),NA())</f>
        <v>#N/A</v>
      </c>
      <c r="Q164" s="415" t="e">
        <f t="shared" ref="Q164" si="1424">IF($B$6="ON",IF(Q150=covid_start-1,Q153,IF(Q150=covid_recovery,Q153,IF(Q150&gt;=covid_start,IF(Q150&lt;covid_recovery,P164-(INDEX($E150:$CH163,4,MATCH(covid_start-1,$E150:$CL150,0))-INDEX($E150:$CL163,4,MATCH(covid_recovery,$E150:$CL150,0)))/(covid_recovery-covid_start+1),NA()),NA()))),NA())</f>
        <v>#N/A</v>
      </c>
      <c r="R164" s="415" t="e">
        <f t="shared" ref="R164" si="1425">IF($B$6="ON",IF(R150=covid_start-1,R153,IF(R150=covid_recovery,R153,IF(R150&gt;=covid_start,IF(R150&lt;covid_recovery,Q164-(INDEX($E150:$CH163,4,MATCH(covid_start-1,$E150:$CL150,0))-INDEX($E150:$CL163,4,MATCH(covid_recovery,$E150:$CL150,0)))/(covid_recovery-covid_start+1),NA()),NA()))),NA())</f>
        <v>#N/A</v>
      </c>
      <c r="S164" s="415" t="e">
        <f t="shared" ref="S164" si="1426">IF($B$6="ON",IF(S150=covid_start-1,S153,IF(S150=covid_recovery,S153,IF(S150&gt;=covid_start,IF(S150&lt;covid_recovery,R164-(INDEX($E150:$CH163,4,MATCH(covid_start-1,$E150:$CL150,0))-INDEX($E150:$CL163,4,MATCH(covid_recovery,$E150:$CL150,0)))/(covid_recovery-covid_start+1),NA()),NA()))),NA())</f>
        <v>#N/A</v>
      </c>
      <c r="T164" s="415" t="e">
        <f t="shared" ref="T164" si="1427">IF($B$6="ON",IF(T150=covid_start-1,T153,IF(T150=covid_recovery,T153,IF(T150&gt;=covid_start,IF(T150&lt;covid_recovery,S164-(INDEX($E150:$CH163,4,MATCH(covid_start-1,$E150:$CL150,0))-INDEX($E150:$CL163,4,MATCH(covid_recovery,$E150:$CL150,0)))/(covid_recovery-covid_start+1),NA()),NA()))),NA())</f>
        <v>#N/A</v>
      </c>
      <c r="U164" s="415" t="e">
        <f t="shared" ref="U164" si="1428">IF($B$6="ON",IF(U150=covid_start-1,U153,IF(U150=covid_recovery,U153,IF(U150&gt;=covid_start,IF(U150&lt;covid_recovery,T164-(INDEX($E150:$CH163,4,MATCH(covid_start-1,$E150:$CL150,0))-INDEX($E150:$CL163,4,MATCH(covid_recovery,$E150:$CL150,0)))/(covid_recovery-covid_start+1),NA()),NA()))),NA())</f>
        <v>#N/A</v>
      </c>
      <c r="V164" s="415" t="e">
        <f t="shared" ref="V164" si="1429">IF($B$6="ON",IF(V150=covid_start-1,V153,IF(V150=covid_recovery,V153,IF(V150&gt;=covid_start,IF(V150&lt;covid_recovery,U164-(INDEX($E150:$CH163,4,MATCH(covid_start-1,$E150:$CL150,0))-INDEX($E150:$CL163,4,MATCH(covid_recovery,$E150:$CL150,0)))/(covid_recovery-covid_start+1),NA()),NA()))),NA())</f>
        <v>#N/A</v>
      </c>
      <c r="W164" s="415" t="e">
        <f t="shared" ref="W164" si="1430">IF($B$6="ON",IF(W150=covid_start-1,W153,IF(W150=covid_recovery,W153,IF(W150&gt;=covid_start,IF(W150&lt;covid_recovery,V164-(INDEX($E150:$CH163,4,MATCH(covid_start-1,$E150:$CL150,0))-INDEX($E150:$CL163,4,MATCH(covid_recovery,$E150:$CL150,0)))/(covid_recovery-covid_start+1),NA()),NA()))),NA())</f>
        <v>#N/A</v>
      </c>
      <c r="X164" s="415" t="e">
        <f t="shared" ref="X164" si="1431">IF($B$6="ON",IF(X150=covid_start-1,X153,IF(X150=covid_recovery,X153,IF(X150&gt;=covid_start,IF(X150&lt;covid_recovery,W164-(INDEX($E150:$CH163,4,MATCH(covid_start-1,$E150:$CL150,0))-INDEX($E150:$CL163,4,MATCH(covid_recovery,$E150:$CL150,0)))/(covid_recovery-covid_start+1),NA()),NA()))),NA())</f>
        <v>#N/A</v>
      </c>
      <c r="Y164" s="415" t="e">
        <f t="shared" ref="Y164" si="1432">IF($B$6="ON",IF(Y150=covid_start-1,Y153,IF(Y150=covid_recovery,Y153,IF(Y150&gt;=covid_start,IF(Y150&lt;covid_recovery,X164-(INDEX($E150:$CH163,4,MATCH(covid_start-1,$E150:$CL150,0))-INDEX($E150:$CL163,4,MATCH(covid_recovery,$E150:$CL150,0)))/(covid_recovery-covid_start+1),NA()),NA()))),NA())</f>
        <v>#N/A</v>
      </c>
      <c r="Z164" s="415" t="e">
        <f t="shared" ref="Z164" si="1433">IF($B$6="ON",IF(Z150=covid_start-1,Z153,IF(Z150=covid_recovery,Z153,IF(Z150&gt;=covid_start,IF(Z150&lt;covid_recovery,Y164-(INDEX($E150:$CH163,4,MATCH(covid_start-1,$E150:$CL150,0))-INDEX($E150:$CL163,4,MATCH(covid_recovery,$E150:$CL150,0)))/(covid_recovery-covid_start+1),NA()),NA()))),NA())</f>
        <v>#N/A</v>
      </c>
      <c r="AA164" s="415" t="e">
        <f t="shared" ref="AA164" si="1434">IF($B$6="ON",IF(AA150=covid_start-1,AA153,IF(AA150=covid_recovery,AA153,IF(AA150&gt;=covid_start,IF(AA150&lt;covid_recovery,Z164-(INDEX($E150:$CH163,4,MATCH(covid_start-1,$E150:$CL150,0))-INDEX($E150:$CL163,4,MATCH(covid_recovery,$E150:$CL150,0)))/(covid_recovery-covid_start+1),NA()),NA()))),NA())</f>
        <v>#N/A</v>
      </c>
      <c r="AB164" s="415" t="e">
        <f t="shared" ref="AB164" si="1435">IF($B$6="ON",IF(AB150=covid_start-1,AB153,IF(AB150=covid_recovery,AB153,IF(AB150&gt;=covid_start,IF(AB150&lt;covid_recovery,AA164-(INDEX($E150:$CH163,4,MATCH(covid_start-1,$E150:$CL150,0))-INDEX($E150:$CL163,4,MATCH(covid_recovery,$E150:$CL150,0)))/(covid_recovery-covid_start+1),NA()),NA()))),NA())</f>
        <v>#N/A</v>
      </c>
      <c r="AC164" s="415" t="e">
        <f t="shared" ref="AC164" si="1436">IF($B$6="ON",IF(AC150=covid_start-1,AC153,IF(AC150=covid_recovery,AC153,IF(AC150&gt;=covid_start,IF(AC150&lt;covid_recovery,AB164-(INDEX($E150:$CH163,4,MATCH(covid_start-1,$E150:$CL150,0))-INDEX($E150:$CL163,4,MATCH(covid_recovery,$E150:$CL150,0)))/(covid_recovery-covid_start+1),NA()),NA()))),NA())</f>
        <v>#N/A</v>
      </c>
      <c r="AD164" s="415" t="e">
        <f t="shared" ref="AD164" si="1437">IF($B$6="ON",IF(AD150=covid_start-1,AD153,IF(AD150=covid_recovery,AD153,IF(AD150&gt;=covid_start,IF(AD150&lt;covid_recovery,AC164-(INDEX($E150:$CH163,4,MATCH(covid_start-1,$E150:$CL150,0))-INDEX($E150:$CL163,4,MATCH(covid_recovery,$E150:$CL150,0)))/(covid_recovery-covid_start+1),NA()),NA()))),NA())</f>
        <v>#N/A</v>
      </c>
      <c r="AE164" s="415" t="e">
        <f t="shared" ref="AE164" si="1438">IF($B$6="ON",IF(AE150=covid_start-1,AE153,IF(AE150=covid_recovery,AE153,IF(AE150&gt;=covid_start,IF(AE150&lt;covid_recovery,AD164-(INDEX($E150:$CH163,4,MATCH(covid_start-1,$E150:$CL150,0))-INDEX($E150:$CL163,4,MATCH(covid_recovery,$E150:$CL150,0)))/(covid_recovery-covid_start+1),NA()),NA()))),NA())</f>
        <v>#N/A</v>
      </c>
      <c r="AF164" s="415" t="e">
        <f t="shared" ref="AF164" si="1439">IF($B$6="ON",IF(AF150=covid_start-1,AF153,IF(AF150=covid_recovery,AF153,IF(AF150&gt;=covid_start,IF(AF150&lt;covid_recovery,AE164-(INDEX($E150:$CH163,4,MATCH(covid_start-1,$E150:$CL150,0))-INDEX($E150:$CL163,4,MATCH(covid_recovery,$E150:$CL150,0)))/(covid_recovery-covid_start+1),NA()),NA()))),NA())</f>
        <v>#N/A</v>
      </c>
      <c r="AG164" s="415" t="e">
        <f t="shared" ref="AG164" si="1440">IF($B$6="ON",IF(AG150=covid_start-1,AG153,IF(AG150=covid_recovery,AG153,IF(AG150&gt;=covid_start,IF(AG150&lt;covid_recovery,AF164-(INDEX($E150:$CH163,4,MATCH(covid_start-1,$E150:$CL150,0))-INDEX($E150:$CL163,4,MATCH(covid_recovery,$E150:$CL150,0)))/(covid_recovery-covid_start+1),NA()),NA()))),NA())</f>
        <v>#N/A</v>
      </c>
      <c r="AH164" s="415" t="e">
        <f t="shared" ref="AH164" si="1441">IF($B$6="ON",IF(AH150=covid_start-1,AH153,IF(AH150=covid_recovery,AH153,IF(AH150&gt;=covid_start,IF(AH150&lt;covid_recovery,AG164-(INDEX($E150:$CH163,4,MATCH(covid_start-1,$E150:$CL150,0))-INDEX($E150:$CL163,4,MATCH(covid_recovery,$E150:$CL150,0)))/(covid_recovery-covid_start+1),NA()),NA()))),NA())</f>
        <v>#N/A</v>
      </c>
      <c r="AI164" s="415" t="e">
        <f t="shared" ref="AI164" si="1442">IF($B$6="ON",IF(AI150=covid_start-1,AI153,IF(AI150=covid_recovery,AI153,IF(AI150&gt;=covid_start,IF(AI150&lt;covid_recovery,AH164-(INDEX($E150:$CH163,4,MATCH(covid_start-1,$E150:$CL150,0))-INDEX($E150:$CL163,4,MATCH(covid_recovery,$E150:$CL150,0)))/(covid_recovery-covid_start+1),NA()),NA()))),NA())</f>
        <v>#N/A</v>
      </c>
      <c r="AJ164" s="415" t="e">
        <f t="shared" ref="AJ164" si="1443">IF($B$6="ON",IF(AJ150=covid_start-1,AJ153,IF(AJ150=covid_recovery,AJ153,IF(AJ150&gt;=covid_start,IF(AJ150&lt;covid_recovery,AI164-(INDEX($E150:$CH163,4,MATCH(covid_start-1,$E150:$CL150,0))-INDEX($E150:$CL163,4,MATCH(covid_recovery,$E150:$CL150,0)))/(covid_recovery-covid_start+1),NA()),NA()))),NA())</f>
        <v>#N/A</v>
      </c>
      <c r="AK164" s="415" t="e">
        <f t="shared" ref="AK164" si="1444">IF($B$6="ON",IF(AK150=covid_start-1,AK153,IF(AK150=covid_recovery,AK153,IF(AK150&gt;=covid_start,IF(AK150&lt;covid_recovery,AJ164-(INDEX($E150:$CH163,4,MATCH(covid_start-1,$E150:$CL150,0))-INDEX($E150:$CL163,4,MATCH(covid_recovery,$E150:$CL150,0)))/(covid_recovery-covid_start+1),NA()),NA()))),NA())</f>
        <v>#N/A</v>
      </c>
      <c r="AL164" s="415" t="e">
        <f t="shared" ref="AL164" si="1445">IF($B$6="ON",IF(AL150=covid_start-1,AL153,IF(AL150=covid_recovery,AL153,IF(AL150&gt;=covid_start,IF(AL150&lt;covid_recovery,AK164-(INDEX($E150:$CH163,4,MATCH(covid_start-1,$E150:$CL150,0))-INDEX($E150:$CL163,4,MATCH(covid_recovery,$E150:$CL150,0)))/(covid_recovery-covid_start+1),NA()),NA()))),NA())</f>
        <v>#N/A</v>
      </c>
      <c r="AM164" s="415" t="e">
        <f t="shared" ref="AM164" si="1446">IF($B$6="ON",IF(AM150=covid_start-1,AM153,IF(AM150=covid_recovery,AM153,IF(AM150&gt;=covid_start,IF(AM150&lt;covid_recovery,AL164-(INDEX($E150:$CH163,4,MATCH(covid_start-1,$E150:$CL150,0))-INDEX($E150:$CL163,4,MATCH(covid_recovery,$E150:$CL150,0)))/(covid_recovery-covid_start+1),NA()),NA()))),NA())</f>
        <v>#N/A</v>
      </c>
      <c r="AN164" s="415" t="e">
        <f t="shared" ref="AN164" si="1447">IF($B$6="ON",IF(AN150=covid_start-1,AN153,IF(AN150=covid_recovery,AN153,IF(AN150&gt;=covid_start,IF(AN150&lt;covid_recovery,AM164-(INDEX($E150:$CH163,4,MATCH(covid_start-1,$E150:$CL150,0))-INDEX($E150:$CL163,4,MATCH(covid_recovery,$E150:$CL150,0)))/(covid_recovery-covid_start+1),NA()),NA()))),NA())</f>
        <v>#N/A</v>
      </c>
      <c r="AO164" s="407"/>
      <c r="AP164" s="407"/>
      <c r="AQ164" s="407"/>
      <c r="AR164" s="407"/>
      <c r="AS164" s="407"/>
      <c r="AT164" s="407"/>
      <c r="AU164" s="407"/>
      <c r="AV164" s="407"/>
      <c r="AW164" s="407"/>
      <c r="AX164" s="407"/>
      <c r="AY164" s="407"/>
      <c r="AZ164" s="407"/>
      <c r="BA164" s="407"/>
      <c r="BB164" s="407"/>
      <c r="BC164" s="407"/>
      <c r="BD164" s="407"/>
      <c r="BE164" s="407"/>
      <c r="BF164" s="407"/>
      <c r="BG164" s="407"/>
      <c r="BH164" s="407"/>
      <c r="BI164" s="407"/>
      <c r="BJ164" s="407"/>
      <c r="BK164" s="407"/>
      <c r="BL164" s="407"/>
      <c r="BM164" s="407"/>
      <c r="BN164" s="407"/>
      <c r="BO164" s="407"/>
      <c r="BP164" s="407"/>
      <c r="BQ164" s="407"/>
      <c r="BR164" s="407"/>
      <c r="BS164" s="407"/>
      <c r="BT164" s="407"/>
      <c r="BU164" s="407"/>
      <c r="BV164" s="407"/>
      <c r="BW164" s="407"/>
      <c r="BX164" s="407"/>
      <c r="BY164" s="407"/>
      <c r="BZ164" s="407"/>
      <c r="CA164" s="407"/>
      <c r="CB164" s="407"/>
      <c r="CC164" s="407"/>
      <c r="CD164" s="407"/>
      <c r="CE164" s="407"/>
      <c r="CF164" s="407"/>
      <c r="CG164" s="407"/>
      <c r="CH164" s="407"/>
      <c r="CI164" s="407"/>
      <c r="CJ164" s="407"/>
      <c r="CK164" s="407"/>
      <c r="CL164" s="407"/>
      <c r="CN164" s="416" t="str">
        <f t="shared" ref="CN164:CN165" si="1448">IFERROR((Y164/H164)^(1/17)-1,"")</f>
        <v/>
      </c>
      <c r="CO164" s="416" t="str">
        <f t="shared" ref="CO164:CO165" si="1449">IFERROR((AN164/Y164)^(1/15)-1,"")</f>
        <v/>
      </c>
      <c r="CP164" s="416" t="str">
        <f t="shared" ref="CP164:CP165" si="1450">IFERROR((AN164/H164)^(1/32)-1,"")</f>
        <v/>
      </c>
    </row>
    <row r="165" spans="1:94">
      <c r="A165" s="400" t="s">
        <v>383</v>
      </c>
      <c r="B165" s="400" t="s">
        <v>384</v>
      </c>
      <c r="C165" s="400"/>
      <c r="D165" s="400"/>
      <c r="E165" s="407" t="e">
        <f t="shared" ref="E165" si="1451">IF($B$6="ON",IF(E150=covid_start-1,E161,IF(E150=covid_recovery,E161,IF(E150&gt;=covid_start,IF(E150&lt;covid_recovery,D165-(INDEX($E150:$CH163,12,MATCH(covid_start-1,$E150:$CL150,0))-INDEX($E150:$CL163,12,MATCH(covid_recovery,$E150:$CL150,0)))/(covid_recovery-covid_start+1),NA()),NA()))),NA())</f>
        <v>#N/A</v>
      </c>
      <c r="F165" s="407" t="e">
        <f t="shared" ref="F165" si="1452">IF($B$6="ON",IF(F150=covid_start-1,F161,IF(F150=covid_recovery,F161,IF(F150&gt;=covid_start,IF(F150&lt;covid_recovery,E165-(INDEX($E150:$CH163,12,MATCH(covid_start-1,$E150:$CL150,0))-INDEX($E150:$CL163,12,MATCH(covid_recovery,$E150:$CL150,0)))/(covid_recovery-covid_start+1),NA()),NA()))),NA())</f>
        <v>#N/A</v>
      </c>
      <c r="G165" s="407" t="e">
        <f t="shared" ref="G165" si="1453">IF($B$6="ON",IF(G150=covid_start-1,G161,IF(G150=covid_recovery,G161,IF(G150&gt;=covid_start,IF(G150&lt;covid_recovery,F165-(INDEX($E150:$CH163,12,MATCH(covid_start-1,$E150:$CL150,0))-INDEX($E150:$CL163,12,MATCH(covid_recovery,$E150:$CL150,0)))/(covid_recovery-covid_start+1),NA()),NA()))),NA())</f>
        <v>#N/A</v>
      </c>
      <c r="H165" s="407" t="e">
        <f t="shared" ref="H165" si="1454">IF($B$6="ON",IF(H150=covid_start-1,H161,IF(H150=covid_recovery,H161,IF(H150&gt;=covid_start,IF(H150&lt;covid_recovery,G165-(INDEX($E150:$CH163,12,MATCH(covid_start-1,$E150:$CL150,0))-INDEX($E150:$CL163,12,MATCH(covid_recovery,$E150:$CL150,0)))/(covid_recovery-covid_start+1),NA()),NA()))),NA())</f>
        <v>#N/A</v>
      </c>
      <c r="I165" s="407">
        <f t="shared" ref="I165" ca="1" si="1455">IF($B$6="ON",IF(I150=covid_start-1,I161,IF(I150=covid_recovery,I161,IF(I150&gt;=covid_start,IF(I150&lt;covid_recovery,H165-(INDEX($E150:$CH163,12,MATCH(covid_start-1,$E150:$CL150,0))-INDEX($E150:$CL163,12,MATCH(covid_recovery,$E150:$CL150,0)))/(covid_recovery-covid_start+1),NA()),NA()))),NA())</f>
        <v>0</v>
      </c>
      <c r="J165" s="407">
        <f t="shared" ref="J165" ca="1" si="1456">IF($B$6="ON",IF(J150=covid_start-1,J161,IF(J150=covid_recovery,J161,IF(J150&gt;=covid_start,IF(J150&lt;covid_recovery,I165-(INDEX($E150:$CH163,12,MATCH(covid_start-1,$E150:$CL150,0))-INDEX($E150:$CL163,12,MATCH(covid_recovery,$E150:$CL150,0)))/(covid_recovery-covid_start+1),NA()),NA()))),NA())</f>
        <v>0</v>
      </c>
      <c r="K165" s="407">
        <f t="shared" ref="K165" ca="1" si="1457">IF($B$6="ON",IF(K150=covid_start-1,K161,IF(K150=covid_recovery,K161,IF(K150&gt;=covid_start,IF(K150&lt;covid_recovery,J165-(INDEX($E150:$CH163,12,MATCH(covid_start-1,$E150:$CL150,0))-INDEX($E150:$CL163,12,MATCH(covid_recovery,$E150:$CL150,0)))/(covid_recovery-covid_start+1),NA()),NA()))),NA())</f>
        <v>0</v>
      </c>
      <c r="L165" s="407">
        <f t="shared" ref="L165" ca="1" si="1458">IF($B$6="ON",IF(L150=covid_start-1,L161,IF(L150=covid_recovery,L161,IF(L150&gt;=covid_start,IF(L150&lt;covid_recovery,K165-(INDEX($E150:$CH163,12,MATCH(covid_start-1,$E150:$CL150,0))-INDEX($E150:$CL163,12,MATCH(covid_recovery,$E150:$CL150,0)))/(covid_recovery-covid_start+1),NA()),NA()))),NA())</f>
        <v>0</v>
      </c>
      <c r="M165" s="407">
        <f t="shared" ref="M165" ca="1" si="1459">IF($B$6="ON",IF(M150=covid_start-1,M161,IF(M150=covid_recovery,M161,IF(M150&gt;=covid_start,IF(M150&lt;covid_recovery,L165-(INDEX($E150:$CH163,12,MATCH(covid_start-1,$E150:$CL150,0))-INDEX($E150:$CL163,12,MATCH(covid_recovery,$E150:$CL150,0)))/(covid_recovery-covid_start+1),NA()),NA()))),NA())</f>
        <v>0</v>
      </c>
      <c r="N165" s="407" t="e">
        <f t="shared" ref="N165" si="1460">IF($B$6="ON",IF(N150=covid_start-1,N161,IF(N150=covid_recovery,N161,IF(N150&gt;=covid_start,IF(N150&lt;covid_recovery,M165-(INDEX($E150:$CH163,12,MATCH(covid_start-1,$E150:$CL150,0))-INDEX($E150:$CL163,12,MATCH(covid_recovery,$E150:$CL150,0)))/(covid_recovery-covid_start+1),NA()),NA()))),NA())</f>
        <v>#N/A</v>
      </c>
      <c r="O165" s="407" t="e">
        <f t="shared" ref="O165" si="1461">IF($B$6="ON",IF(O150=covid_start-1,O161,IF(O150=covid_recovery,O161,IF(O150&gt;=covid_start,IF(O150&lt;covid_recovery,N165-(INDEX($E150:$CH163,12,MATCH(covid_start-1,$E150:$CL150,0))-INDEX($E150:$CL163,12,MATCH(covid_recovery,$E150:$CL150,0)))/(covid_recovery-covid_start+1),NA()),NA()))),NA())</f>
        <v>#N/A</v>
      </c>
      <c r="P165" s="407" t="e">
        <f t="shared" ref="P165" si="1462">IF($B$6="ON",IF(P150=covid_start-1,P161,IF(P150=covid_recovery,P161,IF(P150&gt;=covid_start,IF(P150&lt;covid_recovery,O165-(INDEX($E150:$CH163,12,MATCH(covid_start-1,$E150:$CL150,0))-INDEX($E150:$CL163,12,MATCH(covid_recovery,$E150:$CL150,0)))/(covid_recovery-covid_start+1),NA()),NA()))),NA())</f>
        <v>#N/A</v>
      </c>
      <c r="Q165" s="407" t="e">
        <f t="shared" ref="Q165" si="1463">IF($B$6="ON",IF(Q150=covid_start-1,Q161,IF(Q150=covid_recovery,Q161,IF(Q150&gt;=covid_start,IF(Q150&lt;covid_recovery,P165-(INDEX($E150:$CH163,12,MATCH(covid_start-1,$E150:$CL150,0))-INDEX($E150:$CL163,12,MATCH(covid_recovery,$E150:$CL150,0)))/(covid_recovery-covid_start+1),NA()),NA()))),NA())</f>
        <v>#N/A</v>
      </c>
      <c r="R165" s="407" t="e">
        <f t="shared" ref="R165" si="1464">IF($B$6="ON",IF(R150=covid_start-1,R161,IF(R150=covid_recovery,R161,IF(R150&gt;=covid_start,IF(R150&lt;covid_recovery,Q165-(INDEX($E150:$CH163,12,MATCH(covid_start-1,$E150:$CL150,0))-INDEX($E150:$CL163,12,MATCH(covid_recovery,$E150:$CL150,0)))/(covid_recovery-covid_start+1),NA()),NA()))),NA())</f>
        <v>#N/A</v>
      </c>
      <c r="S165" s="407" t="e">
        <f t="shared" ref="S165" si="1465">IF($B$6="ON",IF(S150=covid_start-1,S161,IF(S150=covid_recovery,S161,IF(S150&gt;=covid_start,IF(S150&lt;covid_recovery,R165-(INDEX($E150:$CH163,12,MATCH(covid_start-1,$E150:$CL150,0))-INDEX($E150:$CL163,12,MATCH(covid_recovery,$E150:$CL150,0)))/(covid_recovery-covid_start+1),NA()),NA()))),NA())</f>
        <v>#N/A</v>
      </c>
      <c r="T165" s="407" t="e">
        <f t="shared" ref="T165" si="1466">IF($B$6="ON",IF(T150=covid_start-1,T161,IF(T150=covid_recovery,T161,IF(T150&gt;=covid_start,IF(T150&lt;covid_recovery,S165-(INDEX($E150:$CH163,12,MATCH(covid_start-1,$E150:$CL150,0))-INDEX($E150:$CL163,12,MATCH(covid_recovery,$E150:$CL150,0)))/(covid_recovery-covid_start+1),NA()),NA()))),NA())</f>
        <v>#N/A</v>
      </c>
      <c r="U165" s="407" t="e">
        <f t="shared" ref="U165" si="1467">IF($B$6="ON",IF(U150=covid_start-1,U161,IF(U150=covid_recovery,U161,IF(U150&gt;=covid_start,IF(U150&lt;covid_recovery,T165-(INDEX($E150:$CH163,12,MATCH(covid_start-1,$E150:$CL150,0))-INDEX($E150:$CL163,12,MATCH(covid_recovery,$E150:$CL150,0)))/(covid_recovery-covid_start+1),NA()),NA()))),NA())</f>
        <v>#N/A</v>
      </c>
      <c r="V165" s="407" t="e">
        <f t="shared" ref="V165" si="1468">IF($B$6="ON",IF(V150=covid_start-1,V161,IF(V150=covid_recovery,V161,IF(V150&gt;=covid_start,IF(V150&lt;covid_recovery,U165-(INDEX($E150:$CH163,12,MATCH(covid_start-1,$E150:$CL150,0))-INDEX($E150:$CL163,12,MATCH(covid_recovery,$E150:$CL150,0)))/(covid_recovery-covid_start+1),NA()),NA()))),NA())</f>
        <v>#N/A</v>
      </c>
      <c r="W165" s="407" t="e">
        <f t="shared" ref="W165" si="1469">IF($B$6="ON",IF(W150=covid_start-1,W161,IF(W150=covid_recovery,W161,IF(W150&gt;=covid_start,IF(W150&lt;covid_recovery,V165-(INDEX($E150:$CH163,12,MATCH(covid_start-1,$E150:$CL150,0))-INDEX($E150:$CL163,12,MATCH(covid_recovery,$E150:$CL150,0)))/(covid_recovery-covid_start+1),NA()),NA()))),NA())</f>
        <v>#N/A</v>
      </c>
      <c r="X165" s="407" t="e">
        <f t="shared" ref="X165" si="1470">IF($B$6="ON",IF(X150=covid_start-1,X161,IF(X150=covid_recovery,X161,IF(X150&gt;=covid_start,IF(X150&lt;covid_recovery,W165-(INDEX($E150:$CH163,12,MATCH(covid_start-1,$E150:$CL150,0))-INDEX($E150:$CL163,12,MATCH(covid_recovery,$E150:$CL150,0)))/(covid_recovery-covid_start+1),NA()),NA()))),NA())</f>
        <v>#N/A</v>
      </c>
      <c r="Y165" s="407" t="e">
        <f t="shared" ref="Y165" si="1471">IF($B$6="ON",IF(Y150=covid_start-1,Y161,IF(Y150=covid_recovery,Y161,IF(Y150&gt;=covid_start,IF(Y150&lt;covid_recovery,X165-(INDEX($E150:$CH163,12,MATCH(covid_start-1,$E150:$CL150,0))-INDEX($E150:$CL163,12,MATCH(covid_recovery,$E150:$CL150,0)))/(covid_recovery-covid_start+1),NA()),NA()))),NA())</f>
        <v>#N/A</v>
      </c>
      <c r="Z165" s="407" t="e">
        <f t="shared" ref="Z165" si="1472">IF($B$6="ON",IF(Z150=covid_start-1,Z161,IF(Z150=covid_recovery,Z161,IF(Z150&gt;=covid_start,IF(Z150&lt;covid_recovery,Y165-(INDEX($E150:$CH163,12,MATCH(covid_start-1,$E150:$CL150,0))-INDEX($E150:$CL163,12,MATCH(covid_recovery,$E150:$CL150,0)))/(covid_recovery-covid_start+1),NA()),NA()))),NA())</f>
        <v>#N/A</v>
      </c>
      <c r="AA165" s="407" t="e">
        <f t="shared" ref="AA165" si="1473">IF($B$6="ON",IF(AA150=covid_start-1,AA161,IF(AA150=covid_recovery,AA161,IF(AA150&gt;=covid_start,IF(AA150&lt;covid_recovery,Z165-(INDEX($E150:$CH163,12,MATCH(covid_start-1,$E150:$CL150,0))-INDEX($E150:$CL163,12,MATCH(covid_recovery,$E150:$CL150,0)))/(covid_recovery-covid_start+1),NA()),NA()))),NA())</f>
        <v>#N/A</v>
      </c>
      <c r="AB165" s="407" t="e">
        <f t="shared" ref="AB165" si="1474">IF($B$6="ON",IF(AB150=covid_start-1,AB161,IF(AB150=covid_recovery,AB161,IF(AB150&gt;=covid_start,IF(AB150&lt;covid_recovery,AA165-(INDEX($E150:$CH163,12,MATCH(covid_start-1,$E150:$CL150,0))-INDEX($E150:$CL163,12,MATCH(covid_recovery,$E150:$CL150,0)))/(covid_recovery-covid_start+1),NA()),NA()))),NA())</f>
        <v>#N/A</v>
      </c>
      <c r="AC165" s="407" t="e">
        <f t="shared" ref="AC165" si="1475">IF($B$6="ON",IF(AC150=covid_start-1,AC161,IF(AC150=covid_recovery,AC161,IF(AC150&gt;=covid_start,IF(AC150&lt;covid_recovery,AB165-(INDEX($E150:$CH163,12,MATCH(covid_start-1,$E150:$CL150,0))-INDEX($E150:$CL163,12,MATCH(covid_recovery,$E150:$CL150,0)))/(covid_recovery-covid_start+1),NA()),NA()))),NA())</f>
        <v>#N/A</v>
      </c>
      <c r="AD165" s="407" t="e">
        <f t="shared" ref="AD165" si="1476">IF($B$6="ON",IF(AD150=covid_start-1,AD161,IF(AD150=covid_recovery,AD161,IF(AD150&gt;=covid_start,IF(AD150&lt;covid_recovery,AC165-(INDEX($E150:$CH163,12,MATCH(covid_start-1,$E150:$CL150,0))-INDEX($E150:$CL163,12,MATCH(covid_recovery,$E150:$CL150,0)))/(covid_recovery-covid_start+1),NA()),NA()))),NA())</f>
        <v>#N/A</v>
      </c>
      <c r="AE165" s="407" t="e">
        <f t="shared" ref="AE165" si="1477">IF($B$6="ON",IF(AE150=covid_start-1,AE161,IF(AE150=covid_recovery,AE161,IF(AE150&gt;=covid_start,IF(AE150&lt;covid_recovery,AD165-(INDEX($E150:$CH163,12,MATCH(covid_start-1,$E150:$CL150,0))-INDEX($E150:$CL163,12,MATCH(covid_recovery,$E150:$CL150,0)))/(covid_recovery-covid_start+1),NA()),NA()))),NA())</f>
        <v>#N/A</v>
      </c>
      <c r="AF165" s="407" t="e">
        <f t="shared" ref="AF165" si="1478">IF($B$6="ON",IF(AF150=covid_start-1,AF161,IF(AF150=covid_recovery,AF161,IF(AF150&gt;=covid_start,IF(AF150&lt;covid_recovery,AE165-(INDEX($E150:$CH163,12,MATCH(covid_start-1,$E150:$CL150,0))-INDEX($E150:$CL163,12,MATCH(covid_recovery,$E150:$CL150,0)))/(covid_recovery-covid_start+1),NA()),NA()))),NA())</f>
        <v>#N/A</v>
      </c>
      <c r="AG165" s="407" t="e">
        <f t="shared" ref="AG165" si="1479">IF($B$6="ON",IF(AG150=covid_start-1,AG161,IF(AG150=covid_recovery,AG161,IF(AG150&gt;=covid_start,IF(AG150&lt;covid_recovery,AF165-(INDEX($E150:$CH163,12,MATCH(covid_start-1,$E150:$CL150,0))-INDEX($E150:$CL163,12,MATCH(covid_recovery,$E150:$CL150,0)))/(covid_recovery-covid_start+1),NA()),NA()))),NA())</f>
        <v>#N/A</v>
      </c>
      <c r="AH165" s="407" t="e">
        <f t="shared" ref="AH165" si="1480">IF($B$6="ON",IF(AH150=covid_start-1,AH161,IF(AH150=covid_recovery,AH161,IF(AH150&gt;=covid_start,IF(AH150&lt;covid_recovery,AG165-(INDEX($E150:$CH163,12,MATCH(covid_start-1,$E150:$CL150,0))-INDEX($E150:$CL163,12,MATCH(covid_recovery,$E150:$CL150,0)))/(covid_recovery-covid_start+1),NA()),NA()))),NA())</f>
        <v>#N/A</v>
      </c>
      <c r="AI165" s="407" t="e">
        <f t="shared" ref="AI165" si="1481">IF($B$6="ON",IF(AI150=covid_start-1,AI161,IF(AI150=covid_recovery,AI161,IF(AI150&gt;=covid_start,IF(AI150&lt;covid_recovery,AH165-(INDEX($E150:$CH163,12,MATCH(covid_start-1,$E150:$CL150,0))-INDEX($E150:$CL163,12,MATCH(covid_recovery,$E150:$CL150,0)))/(covid_recovery-covid_start+1),NA()),NA()))),NA())</f>
        <v>#N/A</v>
      </c>
      <c r="AJ165" s="407" t="e">
        <f t="shared" ref="AJ165" si="1482">IF($B$6="ON",IF(AJ150=covid_start-1,AJ161,IF(AJ150=covid_recovery,AJ161,IF(AJ150&gt;=covid_start,IF(AJ150&lt;covid_recovery,AI165-(INDEX($E150:$CH163,12,MATCH(covid_start-1,$E150:$CL150,0))-INDEX($E150:$CL163,12,MATCH(covid_recovery,$E150:$CL150,0)))/(covid_recovery-covid_start+1),NA()),NA()))),NA())</f>
        <v>#N/A</v>
      </c>
      <c r="AK165" s="407" t="e">
        <f t="shared" ref="AK165" si="1483">IF($B$6="ON",IF(AK150=covid_start-1,AK161,IF(AK150=covid_recovery,AK161,IF(AK150&gt;=covid_start,IF(AK150&lt;covid_recovery,AJ165-(INDEX($E150:$CH163,12,MATCH(covid_start-1,$E150:$CL150,0))-INDEX($E150:$CL163,12,MATCH(covid_recovery,$E150:$CL150,0)))/(covid_recovery-covid_start+1),NA()),NA()))),NA())</f>
        <v>#N/A</v>
      </c>
      <c r="AL165" s="407" t="e">
        <f t="shared" ref="AL165" si="1484">IF($B$6="ON",IF(AL150=covid_start-1,AL161,IF(AL150=covid_recovery,AL161,IF(AL150&gt;=covid_start,IF(AL150&lt;covid_recovery,AK165-(INDEX($E150:$CH163,12,MATCH(covid_start-1,$E150:$CL150,0))-INDEX($E150:$CL163,12,MATCH(covid_recovery,$E150:$CL150,0)))/(covid_recovery-covid_start+1),NA()),NA()))),NA())</f>
        <v>#N/A</v>
      </c>
      <c r="AM165" s="407" t="e">
        <f t="shared" ref="AM165" si="1485">IF($B$6="ON",IF(AM150=covid_start-1,AM161,IF(AM150=covid_recovery,AM161,IF(AM150&gt;=covid_start,IF(AM150&lt;covid_recovery,AL165-(INDEX($E150:$CH163,12,MATCH(covid_start-1,$E150:$CL150,0))-INDEX($E150:$CL163,12,MATCH(covid_recovery,$E150:$CL150,0)))/(covid_recovery-covid_start+1),NA()),NA()))),NA())</f>
        <v>#N/A</v>
      </c>
      <c r="AN165" s="407" t="e">
        <f t="shared" ref="AN165" si="1486">IF($B$6="ON",IF(AN150=covid_start-1,AN161,IF(AN150=covid_recovery,AN161,IF(AN150&gt;=covid_start,IF(AN150&lt;covid_recovery,AM165-(INDEX($E150:$CH163,12,MATCH(covid_start-1,$E150:$CL150,0))-INDEX($E150:$CL163,12,MATCH(covid_recovery,$E150:$CL150,0)))/(covid_recovery-covid_start+1),NA()),NA()))),NA())</f>
        <v>#N/A</v>
      </c>
      <c r="AO165" s="407"/>
      <c r="AP165" s="407"/>
      <c r="AQ165" s="407"/>
      <c r="AR165" s="407"/>
      <c r="AS165" s="407"/>
      <c r="AT165" s="407"/>
      <c r="AU165" s="407"/>
      <c r="AV165" s="407"/>
      <c r="AW165" s="407"/>
      <c r="AX165" s="407"/>
      <c r="AY165" s="407"/>
      <c r="AZ165" s="407"/>
      <c r="BA165" s="407"/>
      <c r="BB165" s="407"/>
      <c r="BC165" s="407"/>
      <c r="BD165" s="407"/>
      <c r="BE165" s="407"/>
      <c r="BF165" s="407"/>
      <c r="BG165" s="407"/>
      <c r="BH165" s="407"/>
      <c r="BI165" s="407"/>
      <c r="BJ165" s="407"/>
      <c r="BK165" s="407"/>
      <c r="BL165" s="407"/>
      <c r="BM165" s="407"/>
      <c r="BN165" s="407"/>
      <c r="BO165" s="407"/>
      <c r="BP165" s="407"/>
      <c r="BQ165" s="407"/>
      <c r="BR165" s="407"/>
      <c r="BS165" s="407"/>
      <c r="BT165" s="407"/>
      <c r="BU165" s="407"/>
      <c r="BV165" s="407"/>
      <c r="BW165" s="407"/>
      <c r="BX165" s="407"/>
      <c r="BY165" s="407"/>
      <c r="BZ165" s="407"/>
      <c r="CA165" s="407"/>
      <c r="CB165" s="407"/>
      <c r="CC165" s="407"/>
      <c r="CD165" s="407"/>
      <c r="CE165" s="407"/>
      <c r="CF165" s="407"/>
      <c r="CG165" s="407"/>
      <c r="CH165" s="407"/>
      <c r="CI165" s="407"/>
      <c r="CJ165" s="407"/>
      <c r="CK165" s="407"/>
      <c r="CL165" s="407"/>
      <c r="CN165" s="408" t="str">
        <f t="shared" si="1448"/>
        <v/>
      </c>
      <c r="CO165" s="408" t="str">
        <f t="shared" si="1449"/>
        <v/>
      </c>
      <c r="CP165" s="408" t="str">
        <f t="shared" si="1450"/>
        <v/>
      </c>
    </row>
    <row r="166" spans="1:94"/>
    <row r="167" spans="1:94"/>
    <row r="168" spans="1:94"/>
    <row r="169" spans="1:94"/>
    <row r="170" spans="1:94"/>
    <row r="171" spans="1:94"/>
    <row r="172" spans="1:94"/>
    <row r="173" spans="1:94"/>
    <row r="174" spans="1:94"/>
    <row r="175" spans="1:94"/>
    <row r="176" spans="1:94"/>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sheetData>
  <sheetProtection algorithmName="SHA-512" hashValue="XtboJvGIXad1HG9GfgyKp/utDgnxMX3XciTw4lvJboM0kEO41SUTHdHWou43AZuprQuAHQSCzPVx9GUCr1oPCQ==" saltValue="CtJmmFkuWVqgnajredwz4w==" spinCount="100000" sheet="1" objects="1" scenarios="1"/>
  <mergeCells count="1">
    <mergeCell ref="A1:CP1"/>
  </mergeCells>
  <conditionalFormatting sqref="E22:CL22 E94:CL94 E99:CL99 E142:AN142 E143:CM143 E145:AN149 E144:CL144">
    <cfRule type="containsErrors" dxfId="59" priority="41">
      <formula>ISERROR(E22)</formula>
    </cfRule>
  </conditionalFormatting>
  <conditionalFormatting sqref="E38:CL38">
    <cfRule type="containsErrors" dxfId="58" priority="38">
      <formula>ISERROR(E38)</formula>
    </cfRule>
  </conditionalFormatting>
  <conditionalFormatting sqref="E54:CL54">
    <cfRule type="containsErrors" dxfId="57" priority="37">
      <formula>ISERROR(E54)</formula>
    </cfRule>
  </conditionalFormatting>
  <conditionalFormatting sqref="E70:CL70">
    <cfRule type="containsErrors" dxfId="56" priority="36">
      <formula>ISERROR(E70)</formula>
    </cfRule>
  </conditionalFormatting>
  <conditionalFormatting sqref="E86:CL86">
    <cfRule type="containsErrors" dxfId="55" priority="35">
      <formula>ISERROR(E86)</formula>
    </cfRule>
  </conditionalFormatting>
  <conditionalFormatting sqref="E101:CL101">
    <cfRule type="containsErrors" dxfId="54" priority="32">
      <formula>ISERROR(E101)</formula>
    </cfRule>
  </conditionalFormatting>
  <conditionalFormatting sqref="E100:CL101">
    <cfRule type="containsErrors" dxfId="53" priority="31">
      <formula>ISERROR(E100)</formula>
    </cfRule>
  </conditionalFormatting>
  <conditionalFormatting sqref="E95">
    <cfRule type="containsErrors" dxfId="52" priority="30">
      <formula>ISERROR(E95)</formula>
    </cfRule>
  </conditionalFormatting>
  <conditionalFormatting sqref="F95:CL95">
    <cfRule type="containsErrors" dxfId="51" priority="29">
      <formula>ISERROR(F95)</formula>
    </cfRule>
  </conditionalFormatting>
  <conditionalFormatting sqref="E102:CL102">
    <cfRule type="containsErrors" dxfId="50" priority="28">
      <formula>ISERROR(E102)</formula>
    </cfRule>
  </conditionalFormatting>
  <conditionalFormatting sqref="CN22:CP22">
    <cfRule type="containsErrors" dxfId="49" priority="27">
      <formula>ISERROR(CN22)</formula>
    </cfRule>
  </conditionalFormatting>
  <conditionalFormatting sqref="CN38:CP38">
    <cfRule type="containsErrors" dxfId="48" priority="26">
      <formula>ISERROR(CN38)</formula>
    </cfRule>
  </conditionalFormatting>
  <conditionalFormatting sqref="CN54:CP54">
    <cfRule type="containsErrors" dxfId="47" priority="25">
      <formula>ISERROR(CN54)</formula>
    </cfRule>
  </conditionalFormatting>
  <conditionalFormatting sqref="CN70:CP70">
    <cfRule type="containsErrors" dxfId="46" priority="24">
      <formula>ISERROR(CN70)</formula>
    </cfRule>
  </conditionalFormatting>
  <conditionalFormatting sqref="CN86:CP86">
    <cfRule type="containsErrors" dxfId="45" priority="23">
      <formula>ISERROR(CN86)</formula>
    </cfRule>
  </conditionalFormatting>
  <conditionalFormatting sqref="E8:AN109">
    <cfRule type="containsErrors" dxfId="44" priority="42">
      <formula>ISERROR(E8)</formula>
    </cfRule>
  </conditionalFormatting>
  <conditionalFormatting sqref="E122:CL122">
    <cfRule type="containsErrors" dxfId="43" priority="18">
      <formula>ISERROR(E122)</formula>
    </cfRule>
  </conditionalFormatting>
  <conditionalFormatting sqref="CN122:CP122">
    <cfRule type="containsErrors" dxfId="42" priority="17">
      <formula>ISERROR(CN122)</formula>
    </cfRule>
  </conditionalFormatting>
  <conditionalFormatting sqref="E116:CL116 I117:CL117 E110:AN125">
    <cfRule type="containsErrors" dxfId="41" priority="19">
      <formula>ISERROR(E110)</formula>
    </cfRule>
  </conditionalFormatting>
  <conditionalFormatting sqref="E127:AN127">
    <cfRule type="containsErrors" dxfId="40" priority="13">
      <formula>ISERROR(E127)</formula>
    </cfRule>
  </conditionalFormatting>
  <conditionalFormatting sqref="E128:AN130">
    <cfRule type="containsErrors" dxfId="39" priority="12">
      <formula>ISERROR(E128)</formula>
    </cfRule>
  </conditionalFormatting>
  <conditionalFormatting sqref="E132:AN136">
    <cfRule type="containsErrors" dxfId="38" priority="11">
      <formula>ISERROR(E132)</formula>
    </cfRule>
  </conditionalFormatting>
  <conditionalFormatting sqref="E138:AN140">
    <cfRule type="containsErrors" dxfId="37" priority="10">
      <formula>ISERROR(E138)</formula>
    </cfRule>
  </conditionalFormatting>
  <conditionalFormatting sqref="E137:AN137">
    <cfRule type="containsErrors" dxfId="36" priority="7">
      <formula>ISERROR(E137)</formula>
    </cfRule>
  </conditionalFormatting>
  <conditionalFormatting sqref="E126:AN126">
    <cfRule type="containsErrors" dxfId="35" priority="9">
      <formula>ISERROR(E126)</formula>
    </cfRule>
  </conditionalFormatting>
  <conditionalFormatting sqref="E131:AN131">
    <cfRule type="containsErrors" dxfId="34" priority="8">
      <formula>ISERROR(E131)</formula>
    </cfRule>
  </conditionalFormatting>
  <conditionalFormatting sqref="E150:AN150">
    <cfRule type="containsErrors" dxfId="33" priority="6">
      <formula>ISERROR(E150)</formula>
    </cfRule>
  </conditionalFormatting>
  <conditionalFormatting sqref="E162:CL162">
    <cfRule type="containsErrors" dxfId="32" priority="4">
      <formula>ISERROR(E162)</formula>
    </cfRule>
  </conditionalFormatting>
  <conditionalFormatting sqref="CN162:CP162">
    <cfRule type="containsErrors" dxfId="31" priority="3">
      <formula>ISERROR(CN162)</formula>
    </cfRule>
  </conditionalFormatting>
  <conditionalFormatting sqref="E151:AN165">
    <cfRule type="containsErrors" dxfId="30" priority="5">
      <formula>ISERROR(E151)</formula>
    </cfRule>
  </conditionalFormatting>
  <conditionalFormatting sqref="E141:AN141">
    <cfRule type="containsErrors" dxfId="29" priority="2">
      <formula>ISERROR(E141)</formula>
    </cfRule>
  </conditionalFormatting>
  <pageMargins left="0.7" right="0.7" top="0.75" bottom="0.75" header="0.3" footer="0.3"/>
  <pageSetup orientation="portrait" horizontalDpi="90" verticalDpi="90" r:id="rId1"/>
  <customProperties>
    <customPr name="SSC_SHEET_GU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1000000}">
          <x14:formula1>
            <xm:f>Catalogues!$W$2:$W$3</xm:f>
          </x14:formula1>
          <xm:sqref>B6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499984740745262"/>
  </sheetPr>
  <dimension ref="A1:AM28"/>
  <sheetViews>
    <sheetView showGridLines="0" topLeftCell="P1" zoomScaleNormal="100" workbookViewId="0">
      <selection activeCell="U4" sqref="U4"/>
    </sheetView>
  </sheetViews>
  <sheetFormatPr defaultColWidth="9.140625" defaultRowHeight="12.75"/>
  <cols>
    <col min="1" max="1" width="40.42578125" style="254" bestFit="1" customWidth="1"/>
    <col min="2" max="2" width="6.42578125" style="254" customWidth="1"/>
    <col min="3" max="3" width="14.42578125" style="254" bestFit="1" customWidth="1"/>
    <col min="4" max="4" width="14.42578125" style="254" customWidth="1"/>
    <col min="5" max="5" width="11.42578125" style="254" customWidth="1"/>
    <col min="6" max="6" width="2.140625" style="254" customWidth="1"/>
    <col min="7" max="7" width="9.85546875" style="254" customWidth="1"/>
    <col min="8" max="8" width="9.42578125" style="254" bestFit="1" customWidth="1"/>
    <col min="9" max="9" width="10.7109375" style="254" bestFit="1" customWidth="1"/>
    <col min="10" max="10" width="18.42578125" style="254" bestFit="1" customWidth="1"/>
    <col min="11" max="11" width="2" style="254" customWidth="1"/>
    <col min="12" max="12" width="17.85546875" style="254" bestFit="1" customWidth="1"/>
    <col min="13" max="13" width="9.28515625" style="254" bestFit="1" customWidth="1"/>
    <col min="14" max="14" width="9.140625" style="254"/>
    <col min="15" max="15" width="2.42578125" style="254" customWidth="1"/>
    <col min="16" max="16" width="23.140625" style="254" bestFit="1" customWidth="1"/>
    <col min="17" max="17" width="3.42578125" style="254" customWidth="1"/>
    <col min="18" max="18" width="22.140625" style="254" bestFit="1" customWidth="1"/>
    <col min="19" max="19" width="3.42578125" style="254" customWidth="1"/>
    <col min="20" max="20" width="12" style="254" customWidth="1"/>
    <col min="21" max="21" width="9" style="254" bestFit="1" customWidth="1"/>
    <col min="22" max="22" width="3.140625" style="254" customWidth="1"/>
    <col min="23" max="23" width="11.42578125" style="254" bestFit="1" customWidth="1"/>
    <col min="24" max="24" width="4" style="254" customWidth="1"/>
    <col min="25" max="26" width="9.28515625" style="254" bestFit="1" customWidth="1"/>
    <col min="27" max="27" width="2.28515625" style="254" customWidth="1"/>
    <col min="28" max="28" width="40.42578125" style="254" customWidth="1"/>
    <col min="29" max="29" width="2.140625" style="254" customWidth="1"/>
    <col min="30" max="30" width="36.42578125" style="254" customWidth="1"/>
    <col min="31" max="31" width="2.140625" style="254" customWidth="1"/>
    <col min="32" max="32" width="12.42578125" style="254" bestFit="1" customWidth="1"/>
    <col min="33" max="33" width="9.140625" style="254"/>
    <col min="34" max="34" width="2.140625" style="254" customWidth="1"/>
    <col min="35" max="36" width="9.140625" style="254"/>
    <col min="37" max="37" width="2.140625" style="254" customWidth="1"/>
    <col min="38" max="16384" width="9.140625" style="254"/>
  </cols>
  <sheetData>
    <row r="1" spans="1:39" ht="58.5" customHeight="1" thickBot="1">
      <c r="A1" s="285" t="s">
        <v>7</v>
      </c>
      <c r="B1" s="286" t="s">
        <v>71</v>
      </c>
      <c r="C1" s="286" t="s">
        <v>385</v>
      </c>
      <c r="D1" s="286" t="s">
        <v>15</v>
      </c>
      <c r="E1" s="286" t="s">
        <v>4</v>
      </c>
      <c r="G1" s="684" t="s">
        <v>23</v>
      </c>
      <c r="H1" s="684"/>
      <c r="I1" s="684"/>
      <c r="J1" s="684"/>
      <c r="L1" s="283" t="s">
        <v>18</v>
      </c>
      <c r="M1" s="283"/>
      <c r="N1" s="284"/>
      <c r="P1" s="283" t="s">
        <v>37</v>
      </c>
      <c r="R1" s="283" t="s">
        <v>254</v>
      </c>
      <c r="T1" s="683" t="s">
        <v>374</v>
      </c>
      <c r="U1" s="683"/>
      <c r="W1" s="283" t="s">
        <v>378</v>
      </c>
      <c r="Y1" s="283" t="s">
        <v>0</v>
      </c>
      <c r="Z1" s="283" t="s">
        <v>1</v>
      </c>
      <c r="AB1" s="283" t="s">
        <v>416</v>
      </c>
      <c r="AD1" s="283" t="s">
        <v>416</v>
      </c>
      <c r="AF1" s="683" t="s">
        <v>496</v>
      </c>
      <c r="AG1" s="683"/>
      <c r="AI1" s="683" t="s">
        <v>506</v>
      </c>
      <c r="AJ1" s="683"/>
      <c r="AL1" s="683" t="s">
        <v>536</v>
      </c>
      <c r="AM1" s="683"/>
    </row>
    <row r="2" spans="1:39">
      <c r="A2" s="251" t="s">
        <v>527</v>
      </c>
      <c r="B2" s="256">
        <v>1</v>
      </c>
      <c r="C2" s="287">
        <f t="shared" ref="C2:E3" si="0">G16</f>
        <v>1938.4336663507202</v>
      </c>
      <c r="D2" s="287">
        <f t="shared" si="0"/>
        <v>9569.5209899519996</v>
      </c>
      <c r="E2" s="287">
        <f t="shared" si="0"/>
        <v>11507.95465630272</v>
      </c>
      <c r="G2" s="265" t="s">
        <v>385</v>
      </c>
      <c r="H2" s="266" t="s">
        <v>14</v>
      </c>
      <c r="I2" s="266" t="s">
        <v>4</v>
      </c>
      <c r="J2" s="267" t="s">
        <v>6</v>
      </c>
      <c r="L2" s="251" t="s">
        <v>17</v>
      </c>
      <c r="M2" s="256">
        <v>0.1</v>
      </c>
      <c r="N2" s="251" t="s">
        <v>20</v>
      </c>
      <c r="P2" s="251" t="s">
        <v>600</v>
      </c>
      <c r="R2" s="287" t="s">
        <v>680</v>
      </c>
      <c r="T2" s="287" t="s">
        <v>278</v>
      </c>
      <c r="U2" s="287">
        <v>2020</v>
      </c>
      <c r="W2" s="287" t="s">
        <v>376</v>
      </c>
      <c r="Y2" s="289">
        <v>2016</v>
      </c>
      <c r="Z2" s="287">
        <v>2024</v>
      </c>
      <c r="AB2" s="290" t="s">
        <v>573</v>
      </c>
      <c r="AD2" s="290" t="s">
        <v>598</v>
      </c>
      <c r="AF2" s="251">
        <v>1000000</v>
      </c>
      <c r="AG2" s="251" t="s">
        <v>2</v>
      </c>
      <c r="AI2" s="290" t="s">
        <v>495</v>
      </c>
      <c r="AJ2" s="251"/>
      <c r="AL2" s="251" t="str">
        <f>"Mid-long haul PAX WTW "&amp;company&amp;" intensity target"</f>
        <v>Mid-long haul PAX WTW  intensity target</v>
      </c>
      <c r="AM2" s="251" t="s">
        <v>534</v>
      </c>
    </row>
    <row r="3" spans="1:39">
      <c r="A3" s="251" t="s">
        <v>526</v>
      </c>
      <c r="B3" s="256">
        <v>6</v>
      </c>
      <c r="C3" s="287">
        <f t="shared" si="0"/>
        <v>2327.9617672000004</v>
      </c>
      <c r="D3" s="287">
        <f t="shared" si="0"/>
        <v>11492.515519999999</v>
      </c>
      <c r="E3" s="287">
        <f t="shared" si="0"/>
        <v>13820.477287199999</v>
      </c>
      <c r="G3" s="274">
        <v>14.8</v>
      </c>
      <c r="H3" s="275">
        <v>71.5</v>
      </c>
      <c r="I3" s="275">
        <v>89.7</v>
      </c>
      <c r="J3" s="251" t="s">
        <v>386</v>
      </c>
      <c r="L3" s="251" t="s">
        <v>16</v>
      </c>
      <c r="M3" s="256">
        <v>0.13200000000000001</v>
      </c>
      <c r="N3" s="251" t="s">
        <v>19</v>
      </c>
      <c r="P3" s="251" t="s">
        <v>628</v>
      </c>
      <c r="R3" s="287" t="s">
        <v>644</v>
      </c>
      <c r="T3" s="287" t="s">
        <v>375</v>
      </c>
      <c r="U3" s="287">
        <v>2023</v>
      </c>
      <c r="W3" s="287" t="s">
        <v>377</v>
      </c>
      <c r="Y3" s="289">
        <v>2017</v>
      </c>
      <c r="Z3" s="287">
        <f>Z2+1</f>
        <v>2025</v>
      </c>
      <c r="AB3" s="290" t="s">
        <v>575</v>
      </c>
      <c r="AD3" s="290" t="s">
        <v>465</v>
      </c>
      <c r="AF3" s="251">
        <v>1000000000</v>
      </c>
      <c r="AG3" s="251" t="s">
        <v>25</v>
      </c>
      <c r="AI3" s="251" t="s">
        <v>497</v>
      </c>
      <c r="AJ3" s="251"/>
      <c r="AL3" s="251" t="str">
        <f>"Short-long haul PAX WTW "&amp;company&amp;" intensity target"</f>
        <v>Short-long haul PAX WTW  intensity target</v>
      </c>
      <c r="AM3" s="251" t="s">
        <v>534</v>
      </c>
    </row>
    <row r="4" spans="1:39">
      <c r="A4" s="251" t="s">
        <v>525</v>
      </c>
      <c r="B4" s="256">
        <v>2</v>
      </c>
      <c r="C4" s="287">
        <f>G14</f>
        <v>512.08000000000004</v>
      </c>
      <c r="D4" s="287">
        <f>H14</f>
        <v>2527.9999999999995</v>
      </c>
      <c r="E4" s="287">
        <f>I14</f>
        <v>3040.0799999999995</v>
      </c>
      <c r="G4" s="276"/>
      <c r="H4" s="276"/>
      <c r="I4" s="276"/>
      <c r="L4" s="251"/>
      <c r="M4" s="251"/>
      <c r="N4" s="251"/>
      <c r="R4" s="256" t="s">
        <v>428</v>
      </c>
      <c r="Y4" s="289">
        <v>2018</v>
      </c>
      <c r="Z4" s="287">
        <f>Z3+1</f>
        <v>2026</v>
      </c>
      <c r="AB4" s="290" t="s">
        <v>574</v>
      </c>
      <c r="AD4" s="290" t="s">
        <v>461</v>
      </c>
      <c r="AL4" s="251" t="str">
        <f>"Belly WTW "&amp;company&amp;" intensity target"</f>
        <v>Belly WTW  intensity target</v>
      </c>
      <c r="AM4" s="251" t="s">
        <v>534</v>
      </c>
    </row>
    <row r="5" spans="1:39">
      <c r="A5" s="251" t="s">
        <v>524</v>
      </c>
      <c r="B5" s="256">
        <v>3</v>
      </c>
      <c r="C5" s="288">
        <f>G13</f>
        <v>640100.00000000012</v>
      </c>
      <c r="D5" s="288">
        <f>H13</f>
        <v>3160000</v>
      </c>
      <c r="E5" s="288">
        <f>I13</f>
        <v>3800100</v>
      </c>
      <c r="G5" s="277">
        <v>2.3121387283236993E-2</v>
      </c>
      <c r="H5" s="277">
        <v>2.3121387283236993E-2</v>
      </c>
      <c r="I5" s="278">
        <v>2.3121387283236993E-2</v>
      </c>
      <c r="J5" s="251" t="s">
        <v>457</v>
      </c>
      <c r="R5" s="287" t="s">
        <v>647</v>
      </c>
      <c r="Y5" s="289">
        <v>2019</v>
      </c>
      <c r="Z5" s="287">
        <f t="shared" ref="Z5:Z28" si="1">Z4+1</f>
        <v>2027</v>
      </c>
      <c r="AL5" s="251" t="str">
        <f>"Freight mid-long WTW "&amp;company&amp;" intensity target"</f>
        <v>Freight mid-long WTW  intensity target</v>
      </c>
      <c r="AM5" s="251" t="s">
        <v>534</v>
      </c>
    </row>
    <row r="6" spans="1:39">
      <c r="A6" s="251" t="s">
        <v>523</v>
      </c>
      <c r="B6" s="256">
        <v>4</v>
      </c>
      <c r="C6" s="287">
        <f>G15</f>
        <v>290.34447603700005</v>
      </c>
      <c r="D6" s="287">
        <f>H15</f>
        <v>1433.3518892</v>
      </c>
      <c r="E6" s="287">
        <f>I15</f>
        <v>1723.696365237</v>
      </c>
      <c r="G6" s="279">
        <v>2.3121387283236992E-5</v>
      </c>
      <c r="H6" s="279">
        <v>2.3121387283236992E-5</v>
      </c>
      <c r="I6" s="280">
        <v>2.3121387283236992E-5</v>
      </c>
      <c r="J6" s="251" t="s">
        <v>455</v>
      </c>
      <c r="R6" s="287" t="s">
        <v>646</v>
      </c>
      <c r="Y6" s="289">
        <v>2023</v>
      </c>
      <c r="Z6" s="287">
        <f t="shared" si="1"/>
        <v>2028</v>
      </c>
      <c r="AL6" s="251" t="str">
        <f>"Freight short WTW "&amp;company&amp;" intensity target"</f>
        <v>Freight short WTW  intensity target</v>
      </c>
      <c r="AM6" s="251" t="s">
        <v>534</v>
      </c>
    </row>
    <row r="7" spans="1:39">
      <c r="A7" s="251" t="s">
        <v>528</v>
      </c>
      <c r="B7" s="256">
        <v>5</v>
      </c>
      <c r="C7" s="287">
        <f>G12</f>
        <v>640.1</v>
      </c>
      <c r="D7" s="287">
        <f>H12</f>
        <v>3160</v>
      </c>
      <c r="E7" s="287">
        <f>I12</f>
        <v>3800.1</v>
      </c>
      <c r="G7" s="277">
        <v>2.8901734104046242E-2</v>
      </c>
      <c r="H7" s="277">
        <v>2.8901734104046242E-2</v>
      </c>
      <c r="I7" s="278">
        <v>2.8901734104046242E-2</v>
      </c>
      <c r="J7" s="251" t="s">
        <v>454</v>
      </c>
      <c r="Y7" s="289">
        <v>2024</v>
      </c>
      <c r="Z7" s="287">
        <f t="shared" si="1"/>
        <v>2029</v>
      </c>
      <c r="AL7" s="251" t="str">
        <f>company&amp;" WTW intensity target"</f>
        <v xml:space="preserve"> WTW intensity target</v>
      </c>
      <c r="AM7" s="251" t="s">
        <v>534</v>
      </c>
    </row>
    <row r="8" spans="1:39">
      <c r="C8" s="264"/>
      <c r="D8" s="264"/>
      <c r="E8" s="264"/>
      <c r="G8" s="277">
        <v>5.0973933453150884E-2</v>
      </c>
      <c r="H8" s="277">
        <v>5.0973933453150884E-2</v>
      </c>
      <c r="I8" s="278">
        <v>5.0973933453150884E-2</v>
      </c>
      <c r="J8" s="251" t="s">
        <v>456</v>
      </c>
      <c r="Y8" s="289"/>
      <c r="Z8" s="287">
        <f t="shared" si="1"/>
        <v>2030</v>
      </c>
      <c r="AL8" s="251" t="str">
        <f>'Business Travel'!$E$15&amp;" Absolute Emissions Target"</f>
        <v>Example Company Absolute Emissions Target</v>
      </c>
      <c r="AM8" s="251" t="s">
        <v>533</v>
      </c>
    </row>
    <row r="9" spans="1:39">
      <c r="G9" s="278">
        <v>7.6350304149753875E-3</v>
      </c>
      <c r="H9" s="278">
        <v>7.6350304149753875E-3</v>
      </c>
      <c r="I9" s="278">
        <v>7.6350304149753875E-3</v>
      </c>
      <c r="J9" s="251" t="s">
        <v>430</v>
      </c>
      <c r="Y9" s="289"/>
      <c r="Z9" s="287">
        <f t="shared" si="1"/>
        <v>2031</v>
      </c>
      <c r="AL9" s="251" t="str">
        <f>'Business Travel'!$E$15&amp;" FTE Intensity Target"</f>
        <v>Example Company FTE Intensity Target</v>
      </c>
      <c r="AM9" s="251" t="s">
        <v>533</v>
      </c>
    </row>
    <row r="10" spans="1:39">
      <c r="G10" s="278">
        <v>6.3574927254071607E-3</v>
      </c>
      <c r="H10" s="278">
        <v>6.3574927254071607E-3</v>
      </c>
      <c r="I10" s="278">
        <v>6.3574927254071607E-3</v>
      </c>
      <c r="J10" s="251" t="s">
        <v>435</v>
      </c>
      <c r="Y10" s="289"/>
      <c r="Z10" s="287">
        <f t="shared" si="1"/>
        <v>2032</v>
      </c>
      <c r="AL10" s="251" t="str">
        <f>'Contracted Freight'!$E$15&amp;" Contracted Freight Intensity Target"</f>
        <v xml:space="preserve"> Contracted Freight Intensity Target</v>
      </c>
      <c r="AM10" s="251" t="s">
        <v>535</v>
      </c>
    </row>
    <row r="11" spans="1:39">
      <c r="G11" s="276"/>
      <c r="H11" s="276"/>
      <c r="I11" s="276"/>
      <c r="Y11" s="289"/>
      <c r="Z11" s="287">
        <f t="shared" si="1"/>
        <v>2033</v>
      </c>
    </row>
    <row r="12" spans="1:39">
      <c r="A12" s="269"/>
      <c r="B12" s="269"/>
      <c r="C12" s="269"/>
      <c r="D12" s="270"/>
      <c r="G12" s="281">
        <v>640.1</v>
      </c>
      <c r="H12" s="274">
        <v>3160</v>
      </c>
      <c r="I12" s="281">
        <v>3800.1</v>
      </c>
      <c r="J12" s="251" t="s">
        <v>433</v>
      </c>
      <c r="Y12" s="289"/>
      <c r="Z12" s="287">
        <f t="shared" si="1"/>
        <v>2034</v>
      </c>
    </row>
    <row r="13" spans="1:39">
      <c r="A13" s="269"/>
      <c r="B13" s="269"/>
      <c r="C13" s="269"/>
      <c r="D13" s="268"/>
      <c r="G13" s="282">
        <v>640100.00000000012</v>
      </c>
      <c r="H13" s="282">
        <v>3160000</v>
      </c>
      <c r="I13" s="282">
        <v>3800100</v>
      </c>
      <c r="J13" s="251" t="s">
        <v>458</v>
      </c>
      <c r="Y13" s="600" t="s">
        <v>681</v>
      </c>
      <c r="Z13" s="287">
        <f t="shared" si="1"/>
        <v>2035</v>
      </c>
    </row>
    <row r="14" spans="1:39">
      <c r="A14" s="269"/>
      <c r="B14" s="269"/>
      <c r="C14" s="269"/>
      <c r="D14" s="269"/>
      <c r="G14" s="281">
        <v>512.08000000000004</v>
      </c>
      <c r="H14" s="281">
        <v>2527.9999999999995</v>
      </c>
      <c r="I14" s="281">
        <v>3040.0799999999995</v>
      </c>
      <c r="J14" s="251" t="s">
        <v>434</v>
      </c>
      <c r="Y14" s="601">
        <v>2015</v>
      </c>
      <c r="Z14" s="287">
        <f t="shared" si="1"/>
        <v>2036</v>
      </c>
    </row>
    <row r="15" spans="1:39">
      <c r="A15" s="269"/>
      <c r="B15" s="269"/>
      <c r="C15" s="269"/>
      <c r="D15" s="271"/>
      <c r="G15" s="281">
        <v>290.34447603700005</v>
      </c>
      <c r="H15" s="281">
        <v>1433.3518892</v>
      </c>
      <c r="I15" s="281">
        <v>1723.696365237</v>
      </c>
      <c r="J15" s="251" t="s">
        <v>459</v>
      </c>
      <c r="Y15" s="601">
        <v>2016</v>
      </c>
      <c r="Z15" s="287">
        <f t="shared" si="1"/>
        <v>2037</v>
      </c>
    </row>
    <row r="16" spans="1:39">
      <c r="A16" s="269"/>
      <c r="B16" s="269"/>
      <c r="C16" s="269"/>
      <c r="D16" s="269"/>
      <c r="G16" s="281">
        <v>1938.4336663507202</v>
      </c>
      <c r="H16" s="281">
        <v>9569.5209899519996</v>
      </c>
      <c r="I16" s="281">
        <v>11507.95465630272</v>
      </c>
      <c r="J16" s="251" t="s">
        <v>431</v>
      </c>
      <c r="Y16" s="601">
        <v>2017</v>
      </c>
      <c r="Z16" s="287">
        <f t="shared" si="1"/>
        <v>2038</v>
      </c>
    </row>
    <row r="17" spans="1:26">
      <c r="A17" s="269"/>
      <c r="B17" s="269"/>
      <c r="C17" s="269"/>
      <c r="D17" s="269"/>
      <c r="G17" s="281">
        <v>2327.9617672000004</v>
      </c>
      <c r="H17" s="281">
        <v>11492.515519999999</v>
      </c>
      <c r="I17" s="281">
        <v>13820.477287199999</v>
      </c>
      <c r="J17" s="251" t="s">
        <v>505</v>
      </c>
      <c r="Y17" s="601">
        <v>2018</v>
      </c>
      <c r="Z17" s="287">
        <f t="shared" si="1"/>
        <v>2039</v>
      </c>
    </row>
    <row r="18" spans="1:26">
      <c r="A18" s="269"/>
      <c r="B18" s="269"/>
      <c r="C18" s="269"/>
      <c r="D18" s="269"/>
      <c r="Y18" s="601">
        <v>2019</v>
      </c>
      <c r="Z18" s="287">
        <f t="shared" si="1"/>
        <v>2040</v>
      </c>
    </row>
    <row r="19" spans="1:26">
      <c r="A19" s="269"/>
      <c r="B19" s="269"/>
      <c r="C19" s="269"/>
      <c r="D19" s="269"/>
      <c r="Y19" s="601">
        <v>2020</v>
      </c>
      <c r="Z19" s="287">
        <f t="shared" si="1"/>
        <v>2041</v>
      </c>
    </row>
    <row r="20" spans="1:26">
      <c r="A20" s="269"/>
      <c r="B20" s="269"/>
      <c r="C20" s="269"/>
      <c r="D20" s="268"/>
      <c r="I20" s="254">
        <f>I3/H3</f>
        <v>1.2545454545454546</v>
      </c>
      <c r="J20" s="254" t="s">
        <v>466</v>
      </c>
      <c r="Y20" s="601">
        <v>2021</v>
      </c>
      <c r="Z20" s="287">
        <f t="shared" si="1"/>
        <v>2042</v>
      </c>
    </row>
    <row r="21" spans="1:26">
      <c r="A21" s="269"/>
      <c r="B21" s="269"/>
      <c r="C21" s="269"/>
      <c r="D21" s="272"/>
      <c r="Y21" s="601">
        <v>2022</v>
      </c>
      <c r="Z21" s="287">
        <f t="shared" si="1"/>
        <v>2043</v>
      </c>
    </row>
    <row r="22" spans="1:26">
      <c r="A22" s="269"/>
      <c r="B22" s="269"/>
      <c r="C22" s="269"/>
      <c r="D22" s="273"/>
      <c r="Y22" s="601">
        <v>2023</v>
      </c>
      <c r="Z22" s="287">
        <f t="shared" si="1"/>
        <v>2044</v>
      </c>
    </row>
    <row r="23" spans="1:26">
      <c r="A23" s="269"/>
      <c r="B23" s="269"/>
      <c r="C23" s="269"/>
      <c r="D23" s="272"/>
      <c r="Y23" s="601">
        <v>2024</v>
      </c>
      <c r="Z23" s="287">
        <f t="shared" si="1"/>
        <v>2045</v>
      </c>
    </row>
    <row r="24" spans="1:26">
      <c r="A24" s="269"/>
      <c r="B24" s="269"/>
      <c r="C24" s="269"/>
      <c r="D24" s="272"/>
      <c r="Z24" s="287">
        <f t="shared" si="1"/>
        <v>2046</v>
      </c>
    </row>
    <row r="25" spans="1:26">
      <c r="B25" s="272"/>
      <c r="C25" s="272"/>
      <c r="D25" s="272"/>
      <c r="Z25" s="287">
        <f t="shared" si="1"/>
        <v>2047</v>
      </c>
    </row>
    <row r="26" spans="1:26">
      <c r="B26" s="272"/>
      <c r="C26" s="272"/>
      <c r="D26" s="272"/>
      <c r="Z26" s="287">
        <f t="shared" si="1"/>
        <v>2048</v>
      </c>
    </row>
    <row r="27" spans="1:26">
      <c r="Z27" s="287">
        <f t="shared" si="1"/>
        <v>2049</v>
      </c>
    </row>
    <row r="28" spans="1:26">
      <c r="Z28" s="287">
        <f t="shared" si="1"/>
        <v>2050</v>
      </c>
    </row>
  </sheetData>
  <mergeCells count="5">
    <mergeCell ref="T1:U1"/>
    <mergeCell ref="G1:J1"/>
    <mergeCell ref="AF1:AG1"/>
    <mergeCell ref="AI1:AJ1"/>
    <mergeCell ref="AL1:AM1"/>
  </mergeCells>
  <phoneticPr fontId="9" type="noConversion"/>
  <pageMargins left="0.7" right="0.7" top="0.75" bottom="0.75" header="0.3" footer="0.3"/>
  <pageSetup orientation="portrait" horizontalDpi="90" verticalDpi="90" r:id="rId1"/>
  <customProperties>
    <customPr name="SSC_SHEET_GUID" r:id="rId2"/>
  </customProperties>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499984740745262"/>
  </sheetPr>
  <dimension ref="A1:M35"/>
  <sheetViews>
    <sheetView showGridLines="0" topLeftCell="D1" workbookViewId="0">
      <selection activeCell="A37" sqref="A37"/>
    </sheetView>
  </sheetViews>
  <sheetFormatPr defaultColWidth="9.140625" defaultRowHeight="12.75"/>
  <cols>
    <col min="1" max="1" width="19" style="254" customWidth="1"/>
    <col min="2" max="2" width="35.85546875" style="254" bestFit="1" customWidth="1"/>
    <col min="3" max="7" width="19" style="254" customWidth="1"/>
    <col min="8" max="16384" width="9.140625" style="254"/>
  </cols>
  <sheetData>
    <row r="1" spans="1:13">
      <c r="A1" s="258" t="s">
        <v>38</v>
      </c>
      <c r="B1" s="258" t="s">
        <v>36</v>
      </c>
      <c r="C1" s="258" t="s">
        <v>65</v>
      </c>
      <c r="D1" s="258" t="s">
        <v>39</v>
      </c>
      <c r="E1" s="258" t="s">
        <v>40</v>
      </c>
      <c r="F1" s="258" t="s">
        <v>41</v>
      </c>
      <c r="G1" s="258" t="s">
        <v>64</v>
      </c>
      <c r="H1" s="258" t="s">
        <v>9</v>
      </c>
      <c r="I1" s="258" t="s">
        <v>11</v>
      </c>
      <c r="J1" s="258" t="s">
        <v>10</v>
      </c>
      <c r="K1" s="258" t="s">
        <v>12</v>
      </c>
      <c r="L1" s="258" t="s">
        <v>13</v>
      </c>
      <c r="M1" s="258" t="s">
        <v>432</v>
      </c>
    </row>
    <row r="2" spans="1:13">
      <c r="A2" s="259" t="s">
        <v>93</v>
      </c>
      <c r="B2" s="259" t="s">
        <v>94</v>
      </c>
      <c r="C2" s="259" t="str">
        <f>SAF[[#This Row],[Conversion process]]&amp;", "&amp;SAF[[#This Row],[Feedstock]]</f>
        <v>Fossil Fuel, Baseline</v>
      </c>
      <c r="D2" s="259">
        <v>89.7</v>
      </c>
      <c r="E2" s="259"/>
      <c r="F2" s="259"/>
      <c r="G2" s="259">
        <v>89.7</v>
      </c>
      <c r="H2" s="260">
        <f>SAF[[#This Row],[Adjusted LCA Value]]/Catalogues!$I$9</f>
        <v>11748.47972105808</v>
      </c>
      <c r="I2" s="259">
        <f>SAF[[#This Row],[Adjusted LCA Value]]/Catalogues!$I$7</f>
        <v>3103.6200000000003</v>
      </c>
      <c r="J2" s="259">
        <f>SAF[[#This Row],[Adjusted LCA Value]]/Catalogues!$I$6</f>
        <v>3879525.0000000005</v>
      </c>
      <c r="K2" s="259">
        <f>SAF[[#This Row],[Adjusted LCA Value]]/Catalogues!$I$8</f>
        <v>1759.72293922425</v>
      </c>
      <c r="L2" s="259">
        <f>SAF[[#This Row],[Adjusted LCA Value]]/Catalogues!$I$5</f>
        <v>3879.5250000000001</v>
      </c>
      <c r="M2" s="259">
        <f>SAF[[#This Row],[Adjusted LCA Value]]/Catalogues!$I$10</f>
        <v>14109.335845800002</v>
      </c>
    </row>
    <row r="3" spans="1:13">
      <c r="A3" s="261" t="s">
        <v>67</v>
      </c>
      <c r="B3" s="261" t="s">
        <v>42</v>
      </c>
      <c r="C3" s="261" t="str">
        <f>SAF[[#This Row],[Conversion process]]&amp;", "&amp;SAF[[#This Row],[Feedstock]]</f>
        <v>FT, Agricultural residues</v>
      </c>
      <c r="D3" s="261">
        <v>7.7</v>
      </c>
      <c r="E3" s="261"/>
      <c r="F3" s="261">
        <v>7.7</v>
      </c>
      <c r="G3" s="261">
        <f>IF(F3&lt;0,0,F3)</f>
        <v>7.7</v>
      </c>
      <c r="H3" s="262">
        <f>SAF[[#This Row],[Adjusted LCA Value]]/Catalogues!$I$9</f>
        <v>1008.50940749328</v>
      </c>
      <c r="I3" s="261">
        <f>SAF[[#This Row],[Adjusted LCA Value]]/Catalogues!$I$7</f>
        <v>266.42</v>
      </c>
      <c r="J3" s="261">
        <f>SAF[[#This Row],[Adjusted LCA Value]]/Catalogues!$I$6</f>
        <v>333025.00000000006</v>
      </c>
      <c r="K3" s="261">
        <f>SAF[[#This Row],[Adjusted LCA Value]]/Catalogues!$I$8</f>
        <v>151.05759901925001</v>
      </c>
      <c r="L3" s="261">
        <f>SAF[[#This Row],[Adjusted LCA Value]]/Catalogues!$I$5</f>
        <v>333.02500000000003</v>
      </c>
      <c r="M3" s="261">
        <f>SAF[[#This Row],[Adjusted LCA Value]]/Catalogues!$I$10</f>
        <v>1211.1692978000001</v>
      </c>
    </row>
    <row r="4" spans="1:13">
      <c r="A4" s="261" t="s">
        <v>67</v>
      </c>
      <c r="B4" s="261" t="s">
        <v>43</v>
      </c>
      <c r="C4" s="261" t="str">
        <f>SAF[[#This Row],[Conversion process]]&amp;", "&amp;SAF[[#This Row],[Feedstock]]</f>
        <v>FT, Forestry residues</v>
      </c>
      <c r="D4" s="261">
        <v>8.3000000000000007</v>
      </c>
      <c r="E4" s="261"/>
      <c r="F4" s="261">
        <v>8.3000000000000007</v>
      </c>
      <c r="G4" s="261">
        <f t="shared" ref="G4:G32" si="0">IF(F4&lt;0,0,F4)</f>
        <v>8.3000000000000007</v>
      </c>
      <c r="H4" s="262">
        <f>SAF[[#This Row],[Adjusted LCA Value]]/Catalogues!$I$9</f>
        <v>1087.0945561291201</v>
      </c>
      <c r="I4" s="261">
        <f>SAF[[#This Row],[Adjusted LCA Value]]/Catalogues!$I$7</f>
        <v>287.18</v>
      </c>
      <c r="J4" s="261">
        <f>SAF[[#This Row],[Adjusted LCA Value]]/Catalogues!$I$6</f>
        <v>358975.00000000006</v>
      </c>
      <c r="K4" s="261">
        <f>SAF[[#This Row],[Adjusted LCA Value]]/Catalogues!$I$8</f>
        <v>162.82832102075002</v>
      </c>
      <c r="L4" s="261">
        <f>SAF[[#This Row],[Adjusted LCA Value]]/Catalogues!$I$5</f>
        <v>358.97500000000002</v>
      </c>
      <c r="M4" s="261">
        <f>SAF[[#This Row],[Adjusted LCA Value]]/Catalogues!$I$10</f>
        <v>1305.5461262000003</v>
      </c>
    </row>
    <row r="5" spans="1:13">
      <c r="A5" s="261" t="s">
        <v>67</v>
      </c>
      <c r="B5" s="261" t="s">
        <v>44</v>
      </c>
      <c r="C5" s="261" t="str">
        <f>SAF[[#This Row],[Conversion process]]&amp;", "&amp;SAF[[#This Row],[Feedstock]]</f>
        <v>FT, MSW, 0% NBC</v>
      </c>
      <c r="D5" s="261">
        <v>5.2</v>
      </c>
      <c r="E5" s="261"/>
      <c r="F5" s="261">
        <v>5.2</v>
      </c>
      <c r="G5" s="261">
        <f t="shared" si="0"/>
        <v>5.2</v>
      </c>
      <c r="H5" s="262">
        <f>SAF[[#This Row],[Adjusted LCA Value]]/Catalogues!$I$9</f>
        <v>681.07128817728005</v>
      </c>
      <c r="I5" s="261">
        <f>SAF[[#This Row],[Adjusted LCA Value]]/Catalogues!$I$7</f>
        <v>179.92000000000002</v>
      </c>
      <c r="J5" s="261">
        <f>SAF[[#This Row],[Adjusted LCA Value]]/Catalogues!$I$6</f>
        <v>224900.00000000003</v>
      </c>
      <c r="K5" s="261">
        <f>SAF[[#This Row],[Adjusted LCA Value]]/Catalogues!$I$8</f>
        <v>102.012924013</v>
      </c>
      <c r="L5" s="261">
        <f>SAF[[#This Row],[Adjusted LCA Value]]/Catalogues!$I$5</f>
        <v>224.9</v>
      </c>
      <c r="M5" s="261">
        <f>SAF[[#This Row],[Adjusted LCA Value]]/Catalogues!$I$10</f>
        <v>817.93251280000015</v>
      </c>
    </row>
    <row r="6" spans="1:13">
      <c r="A6" s="261" t="s">
        <v>67</v>
      </c>
      <c r="B6" s="261" t="s">
        <v>45</v>
      </c>
      <c r="C6" s="261" t="str">
        <f>SAF[[#This Row],[Conversion process]]&amp;", "&amp;SAF[[#This Row],[Feedstock]]</f>
        <v>FT, Short-rotation woody crops: Poplar (USA)</v>
      </c>
      <c r="D6" s="261">
        <v>12.2</v>
      </c>
      <c r="E6" s="261">
        <v>-5.2</v>
      </c>
      <c r="F6" s="261">
        <v>7</v>
      </c>
      <c r="G6" s="261">
        <f t="shared" si="0"/>
        <v>7</v>
      </c>
      <c r="H6" s="262">
        <f>SAF[[#This Row],[Adjusted LCA Value]]/Catalogues!$I$9</f>
        <v>916.82673408480002</v>
      </c>
      <c r="I6" s="261">
        <f>SAF[[#This Row],[Adjusted LCA Value]]/Catalogues!$I$7</f>
        <v>242.20000000000002</v>
      </c>
      <c r="J6" s="261">
        <f>SAF[[#This Row],[Adjusted LCA Value]]/Catalogues!$I$6</f>
        <v>302750</v>
      </c>
      <c r="K6" s="261">
        <f>SAF[[#This Row],[Adjusted LCA Value]]/Catalogues!$I$8</f>
        <v>137.3250900175</v>
      </c>
      <c r="L6" s="261">
        <f>SAF[[#This Row],[Adjusted LCA Value]]/Catalogues!$I$5</f>
        <v>302.75</v>
      </c>
      <c r="M6" s="261">
        <f>SAF[[#This Row],[Adjusted LCA Value]]/Catalogues!$I$10</f>
        <v>1101.0629980000001</v>
      </c>
    </row>
    <row r="7" spans="1:13">
      <c r="A7" s="261" t="s">
        <v>67</v>
      </c>
      <c r="B7" s="261" t="s">
        <v>46</v>
      </c>
      <c r="C7" s="261" t="str">
        <f>SAF[[#This Row],[Conversion process]]&amp;", "&amp;SAF[[#This Row],[Feedstock]]</f>
        <v>FT, Herbaceous energy crops: Miscanthus (USA)</v>
      </c>
      <c r="D7" s="261">
        <v>10.4</v>
      </c>
      <c r="E7" s="261">
        <v>-32.9</v>
      </c>
      <c r="F7" s="261">
        <v>-22.5</v>
      </c>
      <c r="G7" s="261">
        <f t="shared" si="0"/>
        <v>0</v>
      </c>
      <c r="H7" s="262">
        <f>SAF[[#This Row],[Adjusted LCA Value]]/Catalogues!$I$9</f>
        <v>0</v>
      </c>
      <c r="I7" s="261">
        <f>SAF[[#This Row],[Adjusted LCA Value]]/Catalogues!$I$7</f>
        <v>0</v>
      </c>
      <c r="J7" s="261">
        <f>SAF[[#This Row],[Adjusted LCA Value]]/Catalogues!$I$6</f>
        <v>0</v>
      </c>
      <c r="K7" s="261">
        <f>SAF[[#This Row],[Adjusted LCA Value]]/Catalogues!$I$8</f>
        <v>0</v>
      </c>
      <c r="L7" s="261">
        <f>SAF[[#This Row],[Adjusted LCA Value]]/Catalogues!$I$5</f>
        <v>0</v>
      </c>
      <c r="M7" s="261">
        <f>SAF[[#This Row],[Adjusted LCA Value]]/Catalogues!$I$10</f>
        <v>0</v>
      </c>
    </row>
    <row r="8" spans="1:13">
      <c r="A8" s="261" t="s">
        <v>67</v>
      </c>
      <c r="B8" s="261" t="s">
        <v>47</v>
      </c>
      <c r="C8" s="261" t="str">
        <f>SAF[[#This Row],[Conversion process]]&amp;", "&amp;SAF[[#This Row],[Feedstock]]</f>
        <v>FT, Herbaceous energy crops: Miscanthus (EU)</v>
      </c>
      <c r="D8" s="261">
        <v>10.4</v>
      </c>
      <c r="E8" s="261">
        <v>-22</v>
      </c>
      <c r="F8" s="261">
        <v>-11.6</v>
      </c>
      <c r="G8" s="261">
        <f t="shared" si="0"/>
        <v>0</v>
      </c>
      <c r="H8" s="262">
        <f>SAF[[#This Row],[Adjusted LCA Value]]/Catalogues!$I$9</f>
        <v>0</v>
      </c>
      <c r="I8" s="261">
        <f>SAF[[#This Row],[Adjusted LCA Value]]/Catalogues!$I$7</f>
        <v>0</v>
      </c>
      <c r="J8" s="261">
        <f>SAF[[#This Row],[Adjusted LCA Value]]/Catalogues!$I$6</f>
        <v>0</v>
      </c>
      <c r="K8" s="261">
        <f>SAF[[#This Row],[Adjusted LCA Value]]/Catalogues!$I$8</f>
        <v>0</v>
      </c>
      <c r="L8" s="261">
        <f>SAF[[#This Row],[Adjusted LCA Value]]/Catalogues!$I$5</f>
        <v>0</v>
      </c>
      <c r="M8" s="261">
        <f>SAF[[#This Row],[Adjusted LCA Value]]/Catalogues!$I$10</f>
        <v>0</v>
      </c>
    </row>
    <row r="9" spans="1:13">
      <c r="A9" s="261" t="s">
        <v>67</v>
      </c>
      <c r="B9" s="261" t="s">
        <v>48</v>
      </c>
      <c r="C9" s="261" t="str">
        <f>SAF[[#This Row],[Conversion process]]&amp;", "&amp;SAF[[#This Row],[Feedstock]]</f>
        <v>FT, Herbaceous energy crops: Switchgrass (USA)</v>
      </c>
      <c r="D9" s="261">
        <v>10.4</v>
      </c>
      <c r="E9" s="261">
        <v>-3.8</v>
      </c>
      <c r="F9" s="261">
        <v>6.6</v>
      </c>
      <c r="G9" s="261">
        <f t="shared" si="0"/>
        <v>6.6</v>
      </c>
      <c r="H9" s="262">
        <f>SAF[[#This Row],[Adjusted LCA Value]]/Catalogues!$I$9</f>
        <v>864.43663499423997</v>
      </c>
      <c r="I9" s="261">
        <f>SAF[[#This Row],[Adjusted LCA Value]]/Catalogues!$I$7</f>
        <v>228.35999999999999</v>
      </c>
      <c r="J9" s="261">
        <f>SAF[[#This Row],[Adjusted LCA Value]]/Catalogues!$I$6</f>
        <v>285450</v>
      </c>
      <c r="K9" s="261">
        <f>SAF[[#This Row],[Adjusted LCA Value]]/Catalogues!$I$8</f>
        <v>129.47794201650001</v>
      </c>
      <c r="L9" s="261">
        <f>SAF[[#This Row],[Adjusted LCA Value]]/Catalogues!$I$5</f>
        <v>285.45</v>
      </c>
      <c r="M9" s="261">
        <f>SAF[[#This Row],[Adjusted LCA Value]]/Catalogues!$I$10</f>
        <v>1038.1451124</v>
      </c>
    </row>
    <row r="10" spans="1:13">
      <c r="A10" s="261" t="s">
        <v>66</v>
      </c>
      <c r="B10" s="261" t="s">
        <v>49</v>
      </c>
      <c r="C10" s="261" t="str">
        <f>SAF[[#This Row],[Conversion process]]&amp;", "&amp;SAF[[#This Row],[Feedstock]]</f>
        <v>HEFA, Tallow</v>
      </c>
      <c r="D10" s="261">
        <v>22.5</v>
      </c>
      <c r="E10" s="261"/>
      <c r="F10" s="261">
        <v>22.5</v>
      </c>
      <c r="G10" s="261">
        <f t="shared" si="0"/>
        <v>22.5</v>
      </c>
      <c r="H10" s="262">
        <f>SAF[[#This Row],[Adjusted LCA Value]]/Catalogues!$I$9</f>
        <v>2946.9430738440001</v>
      </c>
      <c r="I10" s="261">
        <f>SAF[[#This Row],[Adjusted LCA Value]]/Catalogues!$I$7</f>
        <v>778.5</v>
      </c>
      <c r="J10" s="261">
        <f>SAF[[#This Row],[Adjusted LCA Value]]/Catalogues!$I$6</f>
        <v>973125.00000000012</v>
      </c>
      <c r="K10" s="261">
        <f>SAF[[#This Row],[Adjusted LCA Value]]/Catalogues!$I$8</f>
        <v>441.40207505625</v>
      </c>
      <c r="L10" s="261">
        <f>SAF[[#This Row],[Adjusted LCA Value]]/Catalogues!$I$5</f>
        <v>973.125</v>
      </c>
      <c r="M10" s="261">
        <f>SAF[[#This Row],[Adjusted LCA Value]]/Catalogues!$I$10</f>
        <v>3539.1310650000005</v>
      </c>
    </row>
    <row r="11" spans="1:13">
      <c r="A11" s="261" t="s">
        <v>66</v>
      </c>
      <c r="B11" s="261" t="s">
        <v>50</v>
      </c>
      <c r="C11" s="261" t="str">
        <f>SAF[[#This Row],[Conversion process]]&amp;", "&amp;SAF[[#This Row],[Feedstock]]</f>
        <v>HEFA, Used cooking oil</v>
      </c>
      <c r="D11" s="261">
        <v>13.9</v>
      </c>
      <c r="E11" s="261"/>
      <c r="F11" s="261">
        <v>13.9</v>
      </c>
      <c r="G11" s="261">
        <f t="shared" si="0"/>
        <v>13.9</v>
      </c>
      <c r="H11" s="262">
        <f>SAF[[#This Row],[Adjusted LCA Value]]/Catalogues!$I$9</f>
        <v>1820.5559433969602</v>
      </c>
      <c r="I11" s="261">
        <f>SAF[[#This Row],[Adjusted LCA Value]]/Catalogues!$I$7</f>
        <v>480.94</v>
      </c>
      <c r="J11" s="261">
        <f>SAF[[#This Row],[Adjusted LCA Value]]/Catalogues!$I$6</f>
        <v>601175.00000000012</v>
      </c>
      <c r="K11" s="261">
        <f>SAF[[#This Row],[Adjusted LCA Value]]/Catalogues!$I$8</f>
        <v>272.68839303474999</v>
      </c>
      <c r="L11" s="261">
        <f>SAF[[#This Row],[Adjusted LCA Value]]/Catalogues!$I$5</f>
        <v>601.17500000000007</v>
      </c>
      <c r="M11" s="261">
        <f>SAF[[#This Row],[Adjusted LCA Value]]/Catalogues!$I$10</f>
        <v>2186.3965246000002</v>
      </c>
    </row>
    <row r="12" spans="1:13">
      <c r="A12" s="261" t="s">
        <v>66</v>
      </c>
      <c r="B12" s="261" t="s">
        <v>51</v>
      </c>
      <c r="C12" s="261" t="str">
        <f>SAF[[#This Row],[Conversion process]]&amp;", "&amp;SAF[[#This Row],[Feedstock]]</f>
        <v>HEFA, Palm fatty acid distillate</v>
      </c>
      <c r="D12" s="261">
        <v>20.7</v>
      </c>
      <c r="E12" s="261"/>
      <c r="F12" s="261">
        <v>20.7</v>
      </c>
      <c r="G12" s="261">
        <f t="shared" si="0"/>
        <v>20.7</v>
      </c>
      <c r="H12" s="262">
        <f>SAF[[#This Row],[Adjusted LCA Value]]/Catalogues!$I$9</f>
        <v>2711.1876279364801</v>
      </c>
      <c r="I12" s="261">
        <f>SAF[[#This Row],[Adjusted LCA Value]]/Catalogues!$I$7</f>
        <v>716.22</v>
      </c>
      <c r="J12" s="261">
        <f>SAF[[#This Row],[Adjusted LCA Value]]/Catalogues!$I$6</f>
        <v>895275</v>
      </c>
      <c r="K12" s="261">
        <f>SAF[[#This Row],[Adjusted LCA Value]]/Catalogues!$I$8</f>
        <v>406.08990905175</v>
      </c>
      <c r="L12" s="261">
        <f>SAF[[#This Row],[Adjusted LCA Value]]/Catalogues!$I$5</f>
        <v>895.27499999999998</v>
      </c>
      <c r="M12" s="261">
        <f>SAF[[#This Row],[Adjusted LCA Value]]/Catalogues!$I$10</f>
        <v>3256.0005798000002</v>
      </c>
    </row>
    <row r="13" spans="1:13">
      <c r="A13" s="261" t="s">
        <v>66</v>
      </c>
      <c r="B13" s="261" t="s">
        <v>52</v>
      </c>
      <c r="C13" s="261" t="str">
        <f>SAF[[#This Row],[Conversion process]]&amp;", "&amp;SAF[[#This Row],[Feedstock]]</f>
        <v>HEFA, Corn oil</v>
      </c>
      <c r="D13" s="261">
        <v>17.2</v>
      </c>
      <c r="E13" s="261"/>
      <c r="F13" s="261">
        <v>17.2</v>
      </c>
      <c r="G13" s="261">
        <f t="shared" si="0"/>
        <v>17.2</v>
      </c>
      <c r="H13" s="262">
        <f>SAF[[#This Row],[Adjusted LCA Value]]/Catalogues!$I$9</f>
        <v>2252.7742608940798</v>
      </c>
      <c r="I13" s="261">
        <f>SAF[[#This Row],[Adjusted LCA Value]]/Catalogues!$I$7</f>
        <v>595.12</v>
      </c>
      <c r="J13" s="261">
        <f>SAF[[#This Row],[Adjusted LCA Value]]/Catalogues!$I$6</f>
        <v>743900</v>
      </c>
      <c r="K13" s="261">
        <f>SAF[[#This Row],[Adjusted LCA Value]]/Catalogues!$I$8</f>
        <v>337.42736404300001</v>
      </c>
      <c r="L13" s="261">
        <f>SAF[[#This Row],[Adjusted LCA Value]]/Catalogues!$I$5</f>
        <v>743.9</v>
      </c>
      <c r="M13" s="261">
        <f>SAF[[#This Row],[Adjusted LCA Value]]/Catalogues!$I$10</f>
        <v>2705.4690808</v>
      </c>
    </row>
    <row r="14" spans="1:13">
      <c r="A14" s="261" t="s">
        <v>66</v>
      </c>
      <c r="B14" s="261" t="s">
        <v>53</v>
      </c>
      <c r="C14" s="261" t="str">
        <f>SAF[[#This Row],[Conversion process]]&amp;", "&amp;SAF[[#This Row],[Feedstock]]</f>
        <v>HEFA, Soybean oil (USA)</v>
      </c>
      <c r="D14" s="261">
        <v>40.4</v>
      </c>
      <c r="E14" s="261">
        <v>24.5</v>
      </c>
      <c r="F14" s="261">
        <v>64.900000000000006</v>
      </c>
      <c r="G14" s="261">
        <f t="shared" si="0"/>
        <v>64.900000000000006</v>
      </c>
      <c r="H14" s="262">
        <f>SAF[[#This Row],[Adjusted LCA Value]]/Catalogues!$I$9</f>
        <v>8500.2935774433608</v>
      </c>
      <c r="I14" s="261">
        <f>SAF[[#This Row],[Adjusted LCA Value]]/Catalogues!$I$7</f>
        <v>2245.5400000000004</v>
      </c>
      <c r="J14" s="261">
        <f>SAF[[#This Row],[Adjusted LCA Value]]/Catalogues!$I$6</f>
        <v>2806925.0000000005</v>
      </c>
      <c r="K14" s="261">
        <f>SAF[[#This Row],[Adjusted LCA Value]]/Catalogues!$I$8</f>
        <v>1273.1997631622501</v>
      </c>
      <c r="L14" s="261">
        <f>SAF[[#This Row],[Adjusted LCA Value]]/Catalogues!$I$5</f>
        <v>2806.9250000000002</v>
      </c>
      <c r="M14" s="261">
        <f>SAF[[#This Row],[Adjusted LCA Value]]/Catalogues!$I$10</f>
        <v>10208.426938600001</v>
      </c>
    </row>
    <row r="15" spans="1:13">
      <c r="A15" s="261" t="s">
        <v>66</v>
      </c>
      <c r="B15" s="261" t="s">
        <v>54</v>
      </c>
      <c r="C15" s="261" t="str">
        <f>SAF[[#This Row],[Conversion process]]&amp;", "&amp;SAF[[#This Row],[Feedstock]]</f>
        <v>HEFA, Soybean oil (Brazil)</v>
      </c>
      <c r="D15" s="261">
        <v>40.4</v>
      </c>
      <c r="E15" s="261">
        <v>27</v>
      </c>
      <c r="F15" s="261">
        <v>67.400000000000006</v>
      </c>
      <c r="G15" s="261">
        <f t="shared" si="0"/>
        <v>67.400000000000006</v>
      </c>
      <c r="H15" s="262">
        <f>SAF[[#This Row],[Adjusted LCA Value]]/Catalogues!$I$9</f>
        <v>8827.7316967593615</v>
      </c>
      <c r="I15" s="261">
        <f>SAF[[#This Row],[Adjusted LCA Value]]/Catalogues!$I$7</f>
        <v>2332.0400000000004</v>
      </c>
      <c r="J15" s="261">
        <f>SAF[[#This Row],[Adjusted LCA Value]]/Catalogues!$I$6</f>
        <v>2915050.0000000005</v>
      </c>
      <c r="K15" s="261">
        <f>SAF[[#This Row],[Adjusted LCA Value]]/Catalogues!$I$8</f>
        <v>1322.2444381685002</v>
      </c>
      <c r="L15" s="261">
        <f>SAF[[#This Row],[Adjusted LCA Value]]/Catalogues!$I$5</f>
        <v>2915.05</v>
      </c>
      <c r="M15" s="261">
        <f>SAF[[#This Row],[Adjusted LCA Value]]/Catalogues!$I$10</f>
        <v>10601.663723600002</v>
      </c>
    </row>
    <row r="16" spans="1:13">
      <c r="A16" s="261" t="s">
        <v>66</v>
      </c>
      <c r="B16" s="261" t="s">
        <v>55</v>
      </c>
      <c r="C16" s="261" t="str">
        <f>SAF[[#This Row],[Conversion process]]&amp;", "&amp;SAF[[#This Row],[Feedstock]]</f>
        <v>HEFA, Rapeseed oil (EU)</v>
      </c>
      <c r="D16" s="261">
        <v>47.4</v>
      </c>
      <c r="E16" s="261">
        <v>24.1</v>
      </c>
      <c r="F16" s="261">
        <v>71.5</v>
      </c>
      <c r="G16" s="261">
        <f t="shared" si="0"/>
        <v>71.5</v>
      </c>
      <c r="H16" s="262">
        <f>SAF[[#This Row],[Adjusted LCA Value]]/Catalogues!$I$9</f>
        <v>9364.7302124376001</v>
      </c>
      <c r="I16" s="261">
        <f>SAF[[#This Row],[Adjusted LCA Value]]/Catalogues!$I$7</f>
        <v>2473.9</v>
      </c>
      <c r="J16" s="261">
        <f>SAF[[#This Row],[Adjusted LCA Value]]/Catalogues!$I$6</f>
        <v>3092375.0000000005</v>
      </c>
      <c r="K16" s="261">
        <f>SAF[[#This Row],[Adjusted LCA Value]]/Catalogues!$I$8</f>
        <v>1402.6777051787501</v>
      </c>
      <c r="L16" s="261">
        <f>SAF[[#This Row],[Adjusted LCA Value]]/Catalogues!$I$5</f>
        <v>3092.375</v>
      </c>
      <c r="M16" s="261">
        <f>SAF[[#This Row],[Adjusted LCA Value]]/Catalogues!$I$10</f>
        <v>11246.572051000001</v>
      </c>
    </row>
    <row r="17" spans="1:13">
      <c r="A17" s="261" t="s">
        <v>66</v>
      </c>
      <c r="B17" s="261" t="s">
        <v>56</v>
      </c>
      <c r="C17" s="261" t="str">
        <f>SAF[[#This Row],[Conversion process]]&amp;", "&amp;SAF[[#This Row],[Feedstock]]</f>
        <v>HEFA, Camelina</v>
      </c>
      <c r="D17" s="261">
        <v>42</v>
      </c>
      <c r="E17" s="261"/>
      <c r="F17" s="261">
        <v>42</v>
      </c>
      <c r="G17" s="261">
        <f t="shared" si="0"/>
        <v>42</v>
      </c>
      <c r="H17" s="262">
        <f>SAF[[#This Row],[Adjusted LCA Value]]/Catalogues!$I$9</f>
        <v>5500.9604045087999</v>
      </c>
      <c r="I17" s="261">
        <f>SAF[[#This Row],[Adjusted LCA Value]]/Catalogues!$I$7</f>
        <v>1453.2</v>
      </c>
      <c r="J17" s="261">
        <f>SAF[[#This Row],[Adjusted LCA Value]]/Catalogues!$I$6</f>
        <v>1816500.0000000002</v>
      </c>
      <c r="K17" s="261">
        <f>SAF[[#This Row],[Adjusted LCA Value]]/Catalogues!$I$8</f>
        <v>823.95054010500007</v>
      </c>
      <c r="L17" s="261">
        <f>SAF[[#This Row],[Adjusted LCA Value]]/Catalogues!$I$5</f>
        <v>1816.5</v>
      </c>
      <c r="M17" s="261">
        <f>SAF[[#This Row],[Adjusted LCA Value]]/Catalogues!$I$10</f>
        <v>6606.3779880000011</v>
      </c>
    </row>
    <row r="18" spans="1:13">
      <c r="A18" s="261" t="s">
        <v>66</v>
      </c>
      <c r="B18" s="261" t="s">
        <v>57</v>
      </c>
      <c r="C18" s="261" t="str">
        <f>SAF[[#This Row],[Conversion process]]&amp;", "&amp;SAF[[#This Row],[Feedstock]]</f>
        <v>HEFA, Palm oil - closed pond (Malaysia/Indonesia)</v>
      </c>
      <c r="D18" s="261">
        <v>37.4</v>
      </c>
      <c r="E18" s="261">
        <v>39.1</v>
      </c>
      <c r="F18" s="261">
        <v>76.5</v>
      </c>
      <c r="G18" s="261">
        <f t="shared" si="0"/>
        <v>76.5</v>
      </c>
      <c r="H18" s="262">
        <f>SAF[[#This Row],[Adjusted LCA Value]]/Catalogues!$I$9</f>
        <v>10019.6064510696</v>
      </c>
      <c r="I18" s="261">
        <f>SAF[[#This Row],[Adjusted LCA Value]]/Catalogues!$I$7</f>
        <v>2646.9</v>
      </c>
      <c r="J18" s="261">
        <f>SAF[[#This Row],[Adjusted LCA Value]]/Catalogues!$I$6</f>
        <v>3308625.0000000005</v>
      </c>
      <c r="K18" s="261">
        <f>SAF[[#This Row],[Adjusted LCA Value]]/Catalogues!$I$8</f>
        <v>1500.7670551912502</v>
      </c>
      <c r="L18" s="261">
        <f>SAF[[#This Row],[Adjusted LCA Value]]/Catalogues!$I$5</f>
        <v>3308.625</v>
      </c>
      <c r="M18" s="261">
        <f>SAF[[#This Row],[Adjusted LCA Value]]/Catalogues!$I$10</f>
        <v>12033.045621000001</v>
      </c>
    </row>
    <row r="19" spans="1:13">
      <c r="A19" s="261" t="s">
        <v>66</v>
      </c>
      <c r="B19" s="261" t="s">
        <v>58</v>
      </c>
      <c r="C19" s="261" t="str">
        <f>SAF[[#This Row],[Conversion process]]&amp;", "&amp;SAF[[#This Row],[Feedstock]]</f>
        <v>HEFA, Palm oil - open pond (Malaysia/Indonesia)</v>
      </c>
      <c r="D19" s="261">
        <v>60</v>
      </c>
      <c r="E19" s="261">
        <v>39.1</v>
      </c>
      <c r="F19" s="261">
        <v>99.1</v>
      </c>
      <c r="G19" s="261">
        <f t="shared" si="0"/>
        <v>99.1</v>
      </c>
      <c r="H19" s="262">
        <f>SAF[[#This Row],[Adjusted LCA Value]]/Catalogues!$I$9</f>
        <v>12979.64704968624</v>
      </c>
      <c r="I19" s="261">
        <f>SAF[[#This Row],[Adjusted LCA Value]]/Catalogues!$I$7</f>
        <v>3428.8599999999997</v>
      </c>
      <c r="J19" s="261">
        <f>SAF[[#This Row],[Adjusted LCA Value]]/Catalogues!$I$6</f>
        <v>4286075</v>
      </c>
      <c r="K19" s="261">
        <f>SAF[[#This Row],[Adjusted LCA Value]]/Catalogues!$I$8</f>
        <v>1944.1309172477499</v>
      </c>
      <c r="L19" s="261">
        <f>SAF[[#This Row],[Adjusted LCA Value]]/Catalogues!$I$5</f>
        <v>4286.0749999999998</v>
      </c>
      <c r="M19" s="261">
        <f>SAF[[#This Row],[Adjusted LCA Value]]/Catalogues!$I$10</f>
        <v>15587.906157400001</v>
      </c>
    </row>
    <row r="20" spans="1:13">
      <c r="A20" s="261" t="s">
        <v>66</v>
      </c>
      <c r="B20" s="261" t="s">
        <v>59</v>
      </c>
      <c r="C20" s="261" t="str">
        <f>SAF[[#This Row],[Conversion process]]&amp;", "&amp;SAF[[#This Row],[Feedstock]]</f>
        <v>HEFA, Brassica carinata</v>
      </c>
      <c r="D20" s="261">
        <v>34.4</v>
      </c>
      <c r="E20" s="261"/>
      <c r="F20" s="261">
        <v>34.4</v>
      </c>
      <c r="G20" s="261">
        <f t="shared" si="0"/>
        <v>34.4</v>
      </c>
      <c r="H20" s="262">
        <f>SAF[[#This Row],[Adjusted LCA Value]]/Catalogues!$I$9</f>
        <v>4505.5485217881596</v>
      </c>
      <c r="I20" s="261">
        <f>SAF[[#This Row],[Adjusted LCA Value]]/Catalogues!$I$7</f>
        <v>1190.24</v>
      </c>
      <c r="J20" s="261">
        <f>SAF[[#This Row],[Adjusted LCA Value]]/Catalogues!$I$6</f>
        <v>1487800</v>
      </c>
      <c r="K20" s="261">
        <f>SAF[[#This Row],[Adjusted LCA Value]]/Catalogues!$I$8</f>
        <v>674.85472808600002</v>
      </c>
      <c r="L20" s="261">
        <f>SAF[[#This Row],[Adjusted LCA Value]]/Catalogues!$I$5</f>
        <v>1487.8</v>
      </c>
      <c r="M20" s="261">
        <f>SAF[[#This Row],[Adjusted LCA Value]]/Catalogues!$I$10</f>
        <v>5410.9381616000001</v>
      </c>
    </row>
    <row r="21" spans="1:13">
      <c r="A21" s="261" t="s">
        <v>68</v>
      </c>
      <c r="B21" s="261" t="s">
        <v>60</v>
      </c>
      <c r="C21" s="261" t="str">
        <f>SAF[[#This Row],[Conversion process]]&amp;", "&amp;SAF[[#This Row],[Feedstock]]</f>
        <v>SIP, Sugarcane (Brazil)</v>
      </c>
      <c r="D21" s="261">
        <v>32.799999999999997</v>
      </c>
      <c r="E21" s="261">
        <v>11.3</v>
      </c>
      <c r="F21" s="261">
        <v>44.1</v>
      </c>
      <c r="G21" s="261">
        <f t="shared" si="0"/>
        <v>44.1</v>
      </c>
      <c r="H21" s="262">
        <f>SAF[[#This Row],[Adjusted LCA Value]]/Catalogues!$I$9</f>
        <v>5776.0084247342402</v>
      </c>
      <c r="I21" s="261">
        <f>SAF[[#This Row],[Adjusted LCA Value]]/Catalogues!$I$7</f>
        <v>1525.8600000000001</v>
      </c>
      <c r="J21" s="261">
        <f>SAF[[#This Row],[Adjusted LCA Value]]/Catalogues!$I$6</f>
        <v>1907325.0000000002</v>
      </c>
      <c r="K21" s="261">
        <f>SAF[[#This Row],[Adjusted LCA Value]]/Catalogues!$I$8</f>
        <v>865.14806711025005</v>
      </c>
      <c r="L21" s="261">
        <f>SAF[[#This Row],[Adjusted LCA Value]]/Catalogues!$I$5</f>
        <v>1907.325</v>
      </c>
      <c r="M21" s="261">
        <f>SAF[[#This Row],[Adjusted LCA Value]]/Catalogues!$I$10</f>
        <v>6936.6968874000013</v>
      </c>
    </row>
    <row r="22" spans="1:13">
      <c r="A22" s="261" t="s">
        <v>68</v>
      </c>
      <c r="B22" s="261" t="s">
        <v>61</v>
      </c>
      <c r="C22" s="261" t="str">
        <f>SAF[[#This Row],[Conversion process]]&amp;", "&amp;SAF[[#This Row],[Feedstock]]</f>
        <v>SIP, Sugarbeet (EU)</v>
      </c>
      <c r="D22" s="261">
        <v>32.4</v>
      </c>
      <c r="E22" s="261">
        <v>20.2</v>
      </c>
      <c r="F22" s="261">
        <v>52.6</v>
      </c>
      <c r="G22" s="261">
        <f t="shared" si="0"/>
        <v>52.6</v>
      </c>
      <c r="H22" s="262">
        <f>SAF[[#This Row],[Adjusted LCA Value]]/Catalogues!$I$9</f>
        <v>6889.2980304086404</v>
      </c>
      <c r="I22" s="261">
        <f>SAF[[#This Row],[Adjusted LCA Value]]/Catalogues!$I$7</f>
        <v>1819.96</v>
      </c>
      <c r="J22" s="261">
        <f>SAF[[#This Row],[Adjusted LCA Value]]/Catalogues!$I$6</f>
        <v>2274950.0000000005</v>
      </c>
      <c r="K22" s="261">
        <f>SAF[[#This Row],[Adjusted LCA Value]]/Catalogues!$I$8</f>
        <v>1031.8999621315002</v>
      </c>
      <c r="L22" s="261">
        <f>SAF[[#This Row],[Adjusted LCA Value]]/Catalogues!$I$5</f>
        <v>2274.9500000000003</v>
      </c>
      <c r="M22" s="261">
        <f>SAF[[#This Row],[Adjusted LCA Value]]/Catalogues!$I$10</f>
        <v>8273.701956400002</v>
      </c>
    </row>
    <row r="23" spans="1:13">
      <c r="A23" s="261" t="s">
        <v>70</v>
      </c>
      <c r="B23" s="261" t="s">
        <v>60</v>
      </c>
      <c r="C23" s="261" t="str">
        <f>SAF[[#This Row],[Conversion process]]&amp;", "&amp;SAF[[#This Row],[Feedstock]]</f>
        <v>Iso-Butanol ATJ, Sugarcane (Brazil)</v>
      </c>
      <c r="D23" s="261">
        <v>24</v>
      </c>
      <c r="E23" s="261">
        <v>7.3</v>
      </c>
      <c r="F23" s="261">
        <v>31.3</v>
      </c>
      <c r="G23" s="261">
        <f t="shared" si="0"/>
        <v>31.3</v>
      </c>
      <c r="H23" s="262">
        <f>SAF[[#This Row],[Adjusted LCA Value]]/Catalogues!$I$9</f>
        <v>4099.5252538363202</v>
      </c>
      <c r="I23" s="261">
        <f>SAF[[#This Row],[Adjusted LCA Value]]/Catalogues!$I$7</f>
        <v>1082.98</v>
      </c>
      <c r="J23" s="261">
        <f>SAF[[#This Row],[Adjusted LCA Value]]/Catalogues!$I$6</f>
        <v>1353725.0000000002</v>
      </c>
      <c r="K23" s="261">
        <f>SAF[[#This Row],[Adjusted LCA Value]]/Catalogues!$I$8</f>
        <v>614.03933107825003</v>
      </c>
      <c r="L23" s="261">
        <f>SAF[[#This Row],[Adjusted LCA Value]]/Catalogues!$I$5</f>
        <v>1353.7250000000001</v>
      </c>
      <c r="M23" s="261">
        <f>SAF[[#This Row],[Adjusted LCA Value]]/Catalogues!$I$10</f>
        <v>4923.3245482000011</v>
      </c>
    </row>
    <row r="24" spans="1:13">
      <c r="A24" s="261" t="s">
        <v>70</v>
      </c>
      <c r="B24" s="261" t="s">
        <v>42</v>
      </c>
      <c r="C24" s="261" t="str">
        <f>SAF[[#This Row],[Conversion process]]&amp;", "&amp;SAF[[#This Row],[Feedstock]]</f>
        <v>Iso-Butanol ATJ, Agricultural residues</v>
      </c>
      <c r="D24" s="261">
        <v>29.3</v>
      </c>
      <c r="E24" s="261"/>
      <c r="F24" s="261">
        <v>29.3</v>
      </c>
      <c r="G24" s="261">
        <f t="shared" si="0"/>
        <v>29.3</v>
      </c>
      <c r="H24" s="262">
        <f>SAF[[#This Row],[Adjusted LCA Value]]/Catalogues!$I$9</f>
        <v>3837.57475838352</v>
      </c>
      <c r="I24" s="261">
        <f>SAF[[#This Row],[Adjusted LCA Value]]/Catalogues!$I$7</f>
        <v>1013.7800000000001</v>
      </c>
      <c r="J24" s="261">
        <f>SAF[[#This Row],[Adjusted LCA Value]]/Catalogues!$I$6</f>
        <v>1267225.0000000002</v>
      </c>
      <c r="K24" s="261">
        <f>SAF[[#This Row],[Adjusted LCA Value]]/Catalogues!$I$8</f>
        <v>574.80359107325</v>
      </c>
      <c r="L24" s="261">
        <f>SAF[[#This Row],[Adjusted LCA Value]]/Catalogues!$I$5</f>
        <v>1267.2250000000001</v>
      </c>
      <c r="M24" s="261">
        <f>SAF[[#This Row],[Adjusted LCA Value]]/Catalogues!$I$10</f>
        <v>4608.7351202000009</v>
      </c>
    </row>
    <row r="25" spans="1:13">
      <c r="A25" s="261" t="s">
        <v>70</v>
      </c>
      <c r="B25" s="261" t="s">
        <v>43</v>
      </c>
      <c r="C25" s="261" t="str">
        <f>SAF[[#This Row],[Conversion process]]&amp;", "&amp;SAF[[#This Row],[Feedstock]]</f>
        <v>Iso-Butanol ATJ, Forestry residues</v>
      </c>
      <c r="D25" s="261">
        <v>23.8</v>
      </c>
      <c r="E25" s="261"/>
      <c r="F25" s="261">
        <v>23.8</v>
      </c>
      <c r="G25" s="261">
        <f t="shared" si="0"/>
        <v>23.8</v>
      </c>
      <c r="H25" s="262">
        <f>SAF[[#This Row],[Adjusted LCA Value]]/Catalogues!$I$9</f>
        <v>3117.21089588832</v>
      </c>
      <c r="I25" s="261">
        <f>SAF[[#This Row],[Adjusted LCA Value]]/Catalogues!$I$7</f>
        <v>823.48</v>
      </c>
      <c r="J25" s="261">
        <f>SAF[[#This Row],[Adjusted LCA Value]]/Catalogues!$I$6</f>
        <v>1029350.0000000001</v>
      </c>
      <c r="K25" s="261">
        <f>SAF[[#This Row],[Adjusted LCA Value]]/Catalogues!$I$8</f>
        <v>466.90530605950005</v>
      </c>
      <c r="L25" s="261">
        <f>SAF[[#This Row],[Adjusted LCA Value]]/Catalogues!$I$5</f>
        <v>1029.3500000000001</v>
      </c>
      <c r="M25" s="261">
        <f>SAF[[#This Row],[Adjusted LCA Value]]/Catalogues!$I$10</f>
        <v>3743.6141932000005</v>
      </c>
    </row>
    <row r="26" spans="1:13">
      <c r="A26" s="261" t="s">
        <v>70</v>
      </c>
      <c r="B26" s="261" t="s">
        <v>62</v>
      </c>
      <c r="C26" s="261" t="str">
        <f>SAF[[#This Row],[Conversion process]]&amp;", "&amp;SAF[[#This Row],[Feedstock]]</f>
        <v>Iso-Butanol ATJ, Corn grain (USA)</v>
      </c>
      <c r="D26" s="261">
        <v>55.8</v>
      </c>
      <c r="E26" s="261">
        <v>22.1</v>
      </c>
      <c r="F26" s="261">
        <v>77.900000000000006</v>
      </c>
      <c r="G26" s="261">
        <f t="shared" si="0"/>
        <v>77.900000000000006</v>
      </c>
      <c r="H26" s="262">
        <f>SAF[[#This Row],[Adjusted LCA Value]]/Catalogues!$I$9</f>
        <v>10202.971797886561</v>
      </c>
      <c r="I26" s="261">
        <f>SAF[[#This Row],[Adjusted LCA Value]]/Catalogues!$I$7</f>
        <v>2695.34</v>
      </c>
      <c r="J26" s="261">
        <f>SAF[[#This Row],[Adjusted LCA Value]]/Catalogues!$I$6</f>
        <v>3369175.0000000005</v>
      </c>
      <c r="K26" s="261">
        <f>SAF[[#This Row],[Adjusted LCA Value]]/Catalogues!$I$8</f>
        <v>1528.2320731947502</v>
      </c>
      <c r="L26" s="261">
        <f>SAF[[#This Row],[Adjusted LCA Value]]/Catalogues!$I$5</f>
        <v>3369.1750000000006</v>
      </c>
      <c r="M26" s="261">
        <f>SAF[[#This Row],[Adjusted LCA Value]]/Catalogues!$I$10</f>
        <v>12253.258220600002</v>
      </c>
    </row>
    <row r="27" spans="1:13">
      <c r="A27" s="261" t="s">
        <v>70</v>
      </c>
      <c r="B27" s="261" t="s">
        <v>46</v>
      </c>
      <c r="C27" s="261" t="str">
        <f>SAF[[#This Row],[Conversion process]]&amp;", "&amp;SAF[[#This Row],[Feedstock]]</f>
        <v>Iso-Butanol ATJ, Herbaceous energy crops: Miscanthus (USA)</v>
      </c>
      <c r="D27" s="261">
        <v>43.4</v>
      </c>
      <c r="E27" s="261">
        <v>-54.1</v>
      </c>
      <c r="F27" s="261">
        <v>-10.7</v>
      </c>
      <c r="G27" s="261">
        <f t="shared" si="0"/>
        <v>0</v>
      </c>
      <c r="H27" s="262">
        <f>SAF[[#This Row],[Adjusted LCA Value]]/Catalogues!$I$9</f>
        <v>0</v>
      </c>
      <c r="I27" s="261">
        <f>SAF[[#This Row],[Adjusted LCA Value]]/Catalogues!$I$7</f>
        <v>0</v>
      </c>
      <c r="J27" s="261">
        <f>SAF[[#This Row],[Adjusted LCA Value]]/Catalogues!$I$6</f>
        <v>0</v>
      </c>
      <c r="K27" s="261">
        <f>SAF[[#This Row],[Adjusted LCA Value]]/Catalogues!$I$8</f>
        <v>0</v>
      </c>
      <c r="L27" s="261">
        <f>SAF[[#This Row],[Adjusted LCA Value]]/Catalogues!$I$5</f>
        <v>0</v>
      </c>
      <c r="M27" s="261">
        <f>SAF[[#This Row],[Adjusted LCA Value]]/Catalogues!$I$10</f>
        <v>0</v>
      </c>
    </row>
    <row r="28" spans="1:13">
      <c r="A28" s="261" t="s">
        <v>70</v>
      </c>
      <c r="B28" s="261" t="s">
        <v>47</v>
      </c>
      <c r="C28" s="261" t="str">
        <f>SAF[[#This Row],[Conversion process]]&amp;", "&amp;SAF[[#This Row],[Feedstock]]</f>
        <v>Iso-Butanol ATJ, Herbaceous energy crops: Miscanthus (EU)</v>
      </c>
      <c r="D28" s="261">
        <v>43.4</v>
      </c>
      <c r="E28" s="261">
        <v>-31</v>
      </c>
      <c r="F28" s="261">
        <v>12.4</v>
      </c>
      <c r="G28" s="261">
        <f t="shared" si="0"/>
        <v>12.4</v>
      </c>
      <c r="H28" s="262">
        <f>SAF[[#This Row],[Adjusted LCA Value]]/Catalogues!$I$9</f>
        <v>1624.09307180736</v>
      </c>
      <c r="I28" s="261">
        <f>SAF[[#This Row],[Adjusted LCA Value]]/Catalogues!$I$7</f>
        <v>429.04</v>
      </c>
      <c r="J28" s="261">
        <f>SAF[[#This Row],[Adjusted LCA Value]]/Catalogues!$I$6</f>
        <v>536300.00000000012</v>
      </c>
      <c r="K28" s="261">
        <f>SAF[[#This Row],[Adjusted LCA Value]]/Catalogues!$I$8</f>
        <v>243.261588031</v>
      </c>
      <c r="L28" s="261">
        <f>SAF[[#This Row],[Adjusted LCA Value]]/Catalogues!$I$5</f>
        <v>536.30000000000007</v>
      </c>
      <c r="M28" s="261">
        <f>SAF[[#This Row],[Adjusted LCA Value]]/Catalogues!$I$10</f>
        <v>1950.4544536000003</v>
      </c>
    </row>
    <row r="29" spans="1:13">
      <c r="A29" s="261" t="s">
        <v>70</v>
      </c>
      <c r="B29" s="261" t="s">
        <v>48</v>
      </c>
      <c r="C29" s="261" t="str">
        <f>SAF[[#This Row],[Conversion process]]&amp;", "&amp;SAF[[#This Row],[Feedstock]]</f>
        <v>Iso-Butanol ATJ, Herbaceous energy crops: Switchgrass (USA)</v>
      </c>
      <c r="D29" s="261">
        <v>43.4</v>
      </c>
      <c r="E29" s="261">
        <v>-14.5</v>
      </c>
      <c r="F29" s="261">
        <v>28.9</v>
      </c>
      <c r="G29" s="261">
        <f t="shared" si="0"/>
        <v>28.9</v>
      </c>
      <c r="H29" s="262">
        <f>SAF[[#This Row],[Adjusted LCA Value]]/Catalogues!$I$9</f>
        <v>3785.1846592929601</v>
      </c>
      <c r="I29" s="261">
        <f>SAF[[#This Row],[Adjusted LCA Value]]/Catalogues!$I$7</f>
        <v>999.93999999999994</v>
      </c>
      <c r="J29" s="261">
        <f>SAF[[#This Row],[Adjusted LCA Value]]/Catalogues!$I$6</f>
        <v>1249925</v>
      </c>
      <c r="K29" s="261">
        <f>SAF[[#This Row],[Adjusted LCA Value]]/Catalogues!$I$8</f>
        <v>566.95644307224995</v>
      </c>
      <c r="L29" s="261">
        <f>SAF[[#This Row],[Adjusted LCA Value]]/Catalogues!$I$5</f>
        <v>1249.925</v>
      </c>
      <c r="M29" s="261">
        <f>SAF[[#This Row],[Adjusted LCA Value]]/Catalogues!$I$10</f>
        <v>4545.8172346000001</v>
      </c>
    </row>
    <row r="30" spans="1:13">
      <c r="A30" s="261" t="s">
        <v>70</v>
      </c>
      <c r="B30" s="261" t="s">
        <v>63</v>
      </c>
      <c r="C30" s="261" t="str">
        <f>SAF[[#This Row],[Conversion process]]&amp;", "&amp;SAF[[#This Row],[Feedstock]]</f>
        <v>Iso-Butanol ATJ, Molasses</v>
      </c>
      <c r="D30" s="261">
        <v>27</v>
      </c>
      <c r="E30" s="261"/>
      <c r="F30" s="261">
        <v>27</v>
      </c>
      <c r="G30" s="261">
        <f t="shared" si="0"/>
        <v>27</v>
      </c>
      <c r="H30" s="262">
        <f>SAF[[#This Row],[Adjusted LCA Value]]/Catalogues!$I$9</f>
        <v>3536.3316886128</v>
      </c>
      <c r="I30" s="261">
        <f>SAF[[#This Row],[Adjusted LCA Value]]/Catalogues!$I$7</f>
        <v>934.2</v>
      </c>
      <c r="J30" s="261">
        <f>SAF[[#This Row],[Adjusted LCA Value]]/Catalogues!$I$6</f>
        <v>1167750</v>
      </c>
      <c r="K30" s="261">
        <f>SAF[[#This Row],[Adjusted LCA Value]]/Catalogues!$I$8</f>
        <v>529.6824900675</v>
      </c>
      <c r="L30" s="261">
        <f>SAF[[#This Row],[Adjusted LCA Value]]/Catalogues!$I$5</f>
        <v>1167.75</v>
      </c>
      <c r="M30" s="261">
        <f>SAF[[#This Row],[Adjusted LCA Value]]/Catalogues!$I$10</f>
        <v>4246.9572780000008</v>
      </c>
    </row>
    <row r="31" spans="1:13">
      <c r="A31" s="261" t="s">
        <v>69</v>
      </c>
      <c r="B31" s="261" t="s">
        <v>60</v>
      </c>
      <c r="C31" s="261" t="str">
        <f>SAF[[#This Row],[Conversion process]]&amp;", "&amp;SAF[[#This Row],[Feedstock]]</f>
        <v>Ethanol ATJ, Sugarcane (Brazil)</v>
      </c>
      <c r="D31" s="261">
        <v>24.1</v>
      </c>
      <c r="E31" s="261">
        <v>8.6999999999999993</v>
      </c>
      <c r="F31" s="261">
        <v>32.799999999999997</v>
      </c>
      <c r="G31" s="261">
        <f t="shared" si="0"/>
        <v>32.799999999999997</v>
      </c>
      <c r="H31" s="262">
        <f>SAF[[#This Row],[Adjusted LCA Value]]/Catalogues!$I$9</f>
        <v>4295.9881254259199</v>
      </c>
      <c r="I31" s="261">
        <f>SAF[[#This Row],[Adjusted LCA Value]]/Catalogues!$I$7</f>
        <v>1134.8799999999999</v>
      </c>
      <c r="J31" s="261">
        <f>SAF[[#This Row],[Adjusted LCA Value]]/Catalogues!$I$6</f>
        <v>1418600</v>
      </c>
      <c r="K31" s="261">
        <f>SAF[[#This Row],[Adjusted LCA Value]]/Catalogues!$I$8</f>
        <v>643.46613608199993</v>
      </c>
      <c r="L31" s="261">
        <f>SAF[[#This Row],[Adjusted LCA Value]]/Catalogues!$I$5</f>
        <v>1418.6</v>
      </c>
      <c r="M31" s="261">
        <f>SAF[[#This Row],[Adjusted LCA Value]]/Catalogues!$I$10</f>
        <v>5159.2666192000006</v>
      </c>
    </row>
    <row r="32" spans="1:13">
      <c r="A32" s="261" t="s">
        <v>69</v>
      </c>
      <c r="B32" s="261" t="s">
        <v>62</v>
      </c>
      <c r="C32" s="261" t="str">
        <f>SAF[[#This Row],[Conversion process]]&amp;", "&amp;SAF[[#This Row],[Feedstock]]</f>
        <v>Ethanol ATJ, Corn grain (USA)</v>
      </c>
      <c r="D32" s="261">
        <v>65.7</v>
      </c>
      <c r="E32" s="261">
        <v>25.1</v>
      </c>
      <c r="F32" s="261">
        <v>90.8</v>
      </c>
      <c r="G32" s="261">
        <f t="shared" si="0"/>
        <v>90.8</v>
      </c>
      <c r="H32" s="262">
        <f>SAF[[#This Row],[Adjusted LCA Value]]/Catalogues!$I$9</f>
        <v>11892.552493557119</v>
      </c>
      <c r="I32" s="261">
        <f>SAF[[#This Row],[Adjusted LCA Value]]/Catalogues!$I$7</f>
        <v>3141.68</v>
      </c>
      <c r="J32" s="261">
        <f>SAF[[#This Row],[Adjusted LCA Value]]/Catalogues!$I$6</f>
        <v>3927100</v>
      </c>
      <c r="K32" s="261">
        <f>SAF[[#This Row],[Adjusted LCA Value]]/Catalogues!$I$8</f>
        <v>1781.3025962270001</v>
      </c>
      <c r="L32" s="261">
        <f>SAF[[#This Row],[Adjusted LCA Value]]/Catalogues!$I$5</f>
        <v>3927.1</v>
      </c>
      <c r="M32" s="261">
        <f>SAF[[#This Row],[Adjusted LCA Value]]/Catalogues!$I$10</f>
        <v>14282.360031200002</v>
      </c>
    </row>
    <row r="34" spans="1:1">
      <c r="A34" s="263" t="s">
        <v>597</v>
      </c>
    </row>
    <row r="35" spans="1:1">
      <c r="A35" s="254" t="s">
        <v>596</v>
      </c>
    </row>
  </sheetData>
  <phoneticPr fontId="9" type="noConversion"/>
  <pageMargins left="0.7" right="0.7" top="0.75" bottom="0.75" header="0.3" footer="0.3"/>
  <customProperties>
    <customPr name="SSC_SHEET_GUID" r:id="rId1"/>
  </customProperties>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499984740745262"/>
  </sheetPr>
  <dimension ref="A1:BR60"/>
  <sheetViews>
    <sheetView showGridLines="0" zoomScale="85" zoomScaleNormal="85" workbookViewId="0">
      <pane xSplit="2" ySplit="2" topLeftCell="J3" activePane="bottomRight" state="frozen"/>
      <selection activeCell="I29" sqref="A1:XFD1048576"/>
      <selection pane="topRight" activeCell="I29" sqref="A1:XFD1048576"/>
      <selection pane="bottomLeft" activeCell="I29" sqref="A1:XFD1048576"/>
      <selection pane="bottomRight" activeCell="A2" sqref="A2"/>
    </sheetView>
  </sheetViews>
  <sheetFormatPr defaultColWidth="8.85546875" defaultRowHeight="15" outlineLevelRow="1" outlineLevelCol="2"/>
  <cols>
    <col min="1" max="1" width="41.7109375" style="21" bestFit="1" customWidth="1"/>
    <col min="2" max="2" width="13.85546875" style="21" customWidth="1"/>
    <col min="3" max="3" width="7.42578125" style="1" customWidth="1"/>
    <col min="4" max="7" width="7.42578125" style="1" customWidth="1" outlineLevel="1"/>
    <col min="8" max="9" width="7.42578125" style="130" customWidth="1"/>
    <col min="10" max="10" width="7.42578125" style="1" customWidth="1" outlineLevel="1"/>
    <col min="11" max="14" width="7.42578125" style="1" hidden="1" customWidth="1" outlineLevel="2"/>
    <col min="15" max="15" width="7.42578125" style="1" customWidth="1" outlineLevel="2"/>
    <col min="16" max="19" width="7.42578125" style="1" hidden="1" customWidth="1" outlineLevel="2"/>
    <col min="20" max="20" width="7.42578125" style="1" customWidth="1" outlineLevel="1"/>
    <col min="21" max="24" width="7.42578125" style="1" hidden="1" customWidth="1" outlineLevel="1"/>
    <col min="25" max="25" width="7.42578125" style="130" customWidth="1"/>
    <col min="26" max="29" width="7.42578125" style="1" customWidth="1" outlineLevel="1"/>
    <col min="30" max="30" width="7.42578125" style="1" customWidth="1" outlineLevel="1" collapsed="1"/>
    <col min="31" max="39" width="7.42578125" style="1" customWidth="1" outlineLevel="1"/>
    <col min="40" max="40" width="7.42578125" style="130" customWidth="1"/>
    <col min="41" max="49" width="7.42578125" style="1" hidden="1" customWidth="1" outlineLevel="1"/>
    <col min="50" max="50" width="7.42578125" style="1" hidden="1" customWidth="1" outlineLevel="1" collapsed="1"/>
    <col min="51" max="58" width="7.42578125" style="1" hidden="1" customWidth="1" outlineLevel="2"/>
    <col min="59" max="59" width="7.42578125" style="1" hidden="1" customWidth="1" outlineLevel="2" collapsed="1"/>
    <col min="60" max="60" width="7.42578125" style="60" customWidth="1" collapsed="1"/>
    <col min="61" max="61" width="6.42578125" style="1" customWidth="1"/>
    <col min="64" max="64" width="8.140625" customWidth="1"/>
  </cols>
  <sheetData>
    <row r="1" spans="1:65">
      <c r="A1" s="106" t="s">
        <v>460</v>
      </c>
      <c r="BJ1" s="685" t="s">
        <v>441</v>
      </c>
      <c r="BK1" s="685"/>
      <c r="BL1" s="685" t="s">
        <v>418</v>
      </c>
      <c r="BM1" s="685"/>
    </row>
    <row r="2" spans="1:65">
      <c r="A2" s="250" t="s">
        <v>167</v>
      </c>
      <c r="B2" s="21" t="s">
        <v>132</v>
      </c>
      <c r="C2" s="10">
        <v>2013</v>
      </c>
      <c r="D2" s="10">
        <v>2014</v>
      </c>
      <c r="E2" s="10">
        <v>2015</v>
      </c>
      <c r="F2" s="10">
        <v>2016</v>
      </c>
      <c r="G2" s="10">
        <v>2017</v>
      </c>
      <c r="H2" s="123">
        <v>2018</v>
      </c>
      <c r="I2" s="123">
        <v>2019</v>
      </c>
      <c r="J2" s="63">
        <v>2020</v>
      </c>
      <c r="K2" s="63">
        <v>2021</v>
      </c>
      <c r="L2" s="63">
        <v>2022</v>
      </c>
      <c r="M2" s="63">
        <v>2023</v>
      </c>
      <c r="N2" s="63">
        <v>2024</v>
      </c>
      <c r="O2" s="63">
        <v>2025</v>
      </c>
      <c r="P2" s="63">
        <v>2026</v>
      </c>
      <c r="Q2" s="63">
        <v>2027</v>
      </c>
      <c r="R2" s="63">
        <v>2028</v>
      </c>
      <c r="S2" s="63">
        <v>2029</v>
      </c>
      <c r="T2" s="63">
        <v>2030</v>
      </c>
      <c r="U2" s="63">
        <v>2031</v>
      </c>
      <c r="V2" s="63">
        <v>2032</v>
      </c>
      <c r="W2" s="63">
        <v>2033</v>
      </c>
      <c r="X2" s="63">
        <v>2034</v>
      </c>
      <c r="Y2" s="123">
        <v>2035</v>
      </c>
      <c r="Z2" s="63">
        <v>2036</v>
      </c>
      <c r="AA2" s="63">
        <v>2037</v>
      </c>
      <c r="AB2" s="63">
        <v>2038</v>
      </c>
      <c r="AC2" s="63">
        <v>2039</v>
      </c>
      <c r="AD2" s="63">
        <v>2040</v>
      </c>
      <c r="AE2" s="63">
        <v>2041</v>
      </c>
      <c r="AF2" s="63">
        <v>2042</v>
      </c>
      <c r="AG2" s="63">
        <v>2043</v>
      </c>
      <c r="AH2" s="63">
        <v>2044</v>
      </c>
      <c r="AI2" s="63">
        <v>2045</v>
      </c>
      <c r="AJ2" s="63">
        <v>2046</v>
      </c>
      <c r="AK2" s="63">
        <v>2047</v>
      </c>
      <c r="AL2" s="63">
        <v>2048</v>
      </c>
      <c r="AM2" s="63">
        <v>2049</v>
      </c>
      <c r="AN2" s="123">
        <v>2050</v>
      </c>
      <c r="AO2" s="63">
        <v>2051</v>
      </c>
      <c r="AP2" s="63">
        <v>2052</v>
      </c>
      <c r="AQ2" s="63">
        <v>2053</v>
      </c>
      <c r="AR2" s="63">
        <v>2054</v>
      </c>
      <c r="AS2" s="63">
        <v>2055</v>
      </c>
      <c r="AT2" s="63">
        <v>2056</v>
      </c>
      <c r="AU2" s="63">
        <v>2057</v>
      </c>
      <c r="AV2" s="63">
        <v>2058</v>
      </c>
      <c r="AW2" s="63">
        <v>2059</v>
      </c>
      <c r="AX2" s="63">
        <v>2060</v>
      </c>
      <c r="AY2" s="63">
        <v>2061</v>
      </c>
      <c r="AZ2" s="63">
        <v>2062</v>
      </c>
      <c r="BA2" s="63">
        <v>2063</v>
      </c>
      <c r="BB2" s="63">
        <v>2064</v>
      </c>
      <c r="BC2" s="63">
        <v>2065</v>
      </c>
      <c r="BD2" s="63">
        <v>2066</v>
      </c>
      <c r="BE2" s="63">
        <v>2067</v>
      </c>
      <c r="BF2" s="63">
        <v>2068</v>
      </c>
      <c r="BG2" s="63">
        <v>2069</v>
      </c>
      <c r="BH2" s="122">
        <v>2070</v>
      </c>
      <c r="BI2" s="63"/>
      <c r="BJ2" s="1" t="s">
        <v>438</v>
      </c>
      <c r="BK2" s="1" t="s">
        <v>439</v>
      </c>
      <c r="BL2" s="1" t="s">
        <v>438</v>
      </c>
      <c r="BM2" s="1" t="s">
        <v>439</v>
      </c>
    </row>
    <row r="3" spans="1:65" s="65" customFormat="1">
      <c r="A3" s="64" t="s">
        <v>591</v>
      </c>
      <c r="B3" s="117" t="s">
        <v>450</v>
      </c>
      <c r="C3" s="107"/>
      <c r="D3" s="107"/>
      <c r="E3" s="107"/>
      <c r="F3" s="107"/>
      <c r="G3" s="107"/>
      <c r="H3" s="131"/>
      <c r="I3" s="131"/>
      <c r="J3" s="107"/>
      <c r="K3" s="107"/>
      <c r="L3" s="107"/>
      <c r="M3" s="107"/>
      <c r="N3" s="107"/>
      <c r="O3" s="107"/>
      <c r="P3" s="107"/>
      <c r="Q3" s="107"/>
      <c r="R3" s="107"/>
      <c r="S3" s="107"/>
      <c r="T3" s="107"/>
      <c r="U3" s="107"/>
      <c r="V3" s="107"/>
      <c r="W3" s="107"/>
      <c r="X3" s="107"/>
      <c r="Y3" s="131"/>
      <c r="Z3" s="107"/>
      <c r="AA3" s="107"/>
      <c r="AB3" s="107"/>
      <c r="AC3" s="107"/>
      <c r="AD3" s="107"/>
      <c r="AE3" s="107"/>
      <c r="AF3" s="107"/>
      <c r="AG3" s="107"/>
      <c r="AH3" s="107"/>
      <c r="AI3" s="107"/>
      <c r="AJ3" s="107"/>
      <c r="AK3" s="107"/>
      <c r="AL3" s="107"/>
      <c r="AM3" s="107"/>
      <c r="AN3" s="131"/>
      <c r="AO3" s="107"/>
      <c r="AP3" s="107"/>
      <c r="AQ3" s="107"/>
      <c r="AR3" s="107"/>
      <c r="AS3" s="107"/>
      <c r="AT3" s="107"/>
      <c r="AU3" s="107"/>
      <c r="AV3" s="107"/>
      <c r="AW3" s="107"/>
      <c r="AX3" s="107"/>
      <c r="AY3" s="107"/>
      <c r="AZ3" s="107"/>
      <c r="BA3" s="107"/>
      <c r="BB3" s="107"/>
      <c r="BC3" s="107"/>
      <c r="BD3" s="107"/>
      <c r="BE3" s="107"/>
      <c r="BF3" s="107"/>
      <c r="BG3" s="107"/>
      <c r="BH3" s="141"/>
      <c r="BI3" s="107"/>
      <c r="BJ3" s="107"/>
      <c r="BK3" s="107"/>
      <c r="BL3" s="107"/>
    </row>
    <row r="4" spans="1:65" hidden="1" outlineLevel="1">
      <c r="A4" s="66" t="s">
        <v>133</v>
      </c>
      <c r="B4" s="66" t="s">
        <v>449</v>
      </c>
      <c r="C4" s="118"/>
      <c r="D4" s="118"/>
      <c r="E4" s="118"/>
      <c r="F4" s="118"/>
      <c r="G4" s="118"/>
      <c r="H4" s="132">
        <v>6</v>
      </c>
      <c r="I4" s="132">
        <v>6</v>
      </c>
      <c r="J4" s="127">
        <v>6</v>
      </c>
      <c r="K4" s="116">
        <v>6</v>
      </c>
      <c r="L4" s="116">
        <v>6</v>
      </c>
      <c r="M4" s="116">
        <v>6</v>
      </c>
      <c r="N4" s="116">
        <v>6</v>
      </c>
      <c r="O4" s="116">
        <v>6</v>
      </c>
      <c r="P4" s="116">
        <v>6</v>
      </c>
      <c r="Q4" s="116">
        <v>6</v>
      </c>
      <c r="R4" s="116">
        <v>6</v>
      </c>
      <c r="S4" s="116">
        <v>6</v>
      </c>
      <c r="T4" s="116">
        <v>6</v>
      </c>
      <c r="U4" s="116">
        <v>6</v>
      </c>
      <c r="V4" s="116">
        <v>6</v>
      </c>
      <c r="W4" s="116">
        <v>6</v>
      </c>
      <c r="X4" s="124">
        <v>6</v>
      </c>
      <c r="Y4" s="132">
        <v>6</v>
      </c>
      <c r="Z4" s="127">
        <v>6</v>
      </c>
      <c r="AA4" s="116">
        <v>6</v>
      </c>
      <c r="AB4" s="116">
        <v>6</v>
      </c>
      <c r="AC4" s="116">
        <v>6</v>
      </c>
      <c r="AD4" s="116">
        <v>6</v>
      </c>
      <c r="AE4" s="116">
        <v>6</v>
      </c>
      <c r="AF4" s="116">
        <v>6</v>
      </c>
      <c r="AG4" s="116">
        <v>6</v>
      </c>
      <c r="AH4" s="116">
        <v>6</v>
      </c>
      <c r="AI4" s="116">
        <v>6</v>
      </c>
      <c r="AJ4" s="116">
        <v>6</v>
      </c>
      <c r="AK4" s="116">
        <v>6</v>
      </c>
      <c r="AL4" s="116">
        <v>6</v>
      </c>
      <c r="AM4" s="124">
        <v>6</v>
      </c>
      <c r="AN4" s="132">
        <v>6</v>
      </c>
      <c r="AO4" s="127">
        <v>6</v>
      </c>
      <c r="AP4" s="116">
        <v>6</v>
      </c>
      <c r="AQ4" s="116">
        <v>6</v>
      </c>
      <c r="AR4" s="116">
        <v>6</v>
      </c>
      <c r="AS4" s="116">
        <v>6</v>
      </c>
      <c r="AT4" s="116">
        <v>6</v>
      </c>
      <c r="AU4" s="116">
        <v>6</v>
      </c>
      <c r="AV4" s="116">
        <v>6</v>
      </c>
      <c r="AW4" s="116">
        <v>6</v>
      </c>
      <c r="AX4" s="116">
        <v>6</v>
      </c>
      <c r="AY4" s="116">
        <v>6</v>
      </c>
      <c r="AZ4" s="116">
        <v>6</v>
      </c>
      <c r="BA4" s="116">
        <v>6</v>
      </c>
      <c r="BB4" s="116">
        <v>6</v>
      </c>
      <c r="BC4" s="116">
        <v>6</v>
      </c>
      <c r="BD4" s="116">
        <v>6</v>
      </c>
      <c r="BE4" s="116">
        <v>6</v>
      </c>
      <c r="BF4" s="116">
        <v>6</v>
      </c>
      <c r="BG4" s="116">
        <v>6</v>
      </c>
      <c r="BH4" s="142">
        <v>6</v>
      </c>
      <c r="BI4" s="120"/>
      <c r="BJ4" s="108">
        <f t="shared" ref="BJ4:BJ7" si="0">IFERROR(-(1-(AN4/I4))/31,"")</f>
        <v>0</v>
      </c>
      <c r="BK4" s="108">
        <f t="shared" ref="BK4" si="1">IFERROR(-(1-(AO4/J4))/31,"")</f>
        <v>0</v>
      </c>
      <c r="BL4" s="108">
        <f t="shared" ref="BL4" si="2">(AN4/I4)^(1/31)-1</f>
        <v>0</v>
      </c>
      <c r="BM4" s="67">
        <f t="shared" ref="BM4" si="3">(BH4/I4)^(1/51)-1</f>
        <v>0</v>
      </c>
    </row>
    <row r="5" spans="1:65" hidden="1" outlineLevel="1">
      <c r="A5" s="68" t="s">
        <v>134</v>
      </c>
      <c r="B5" s="66" t="s">
        <v>449</v>
      </c>
      <c r="C5" s="119"/>
      <c r="D5" s="119"/>
      <c r="E5" s="119"/>
      <c r="F5" s="119"/>
      <c r="G5" s="119"/>
      <c r="H5" s="132"/>
      <c r="I5" s="132">
        <f>ETP!B8</f>
        <v>0</v>
      </c>
      <c r="J5" s="127">
        <f>ETP!C8</f>
        <v>0</v>
      </c>
      <c r="K5" s="116">
        <f>ETP!D8</f>
        <v>0</v>
      </c>
      <c r="L5" s="116">
        <f>ETP!E8</f>
        <v>0</v>
      </c>
      <c r="M5" s="116">
        <f>ETP!F8</f>
        <v>0</v>
      </c>
      <c r="N5" s="116">
        <f>ETP!G8</f>
        <v>0</v>
      </c>
      <c r="O5" s="116">
        <f>ETP!H8</f>
        <v>0</v>
      </c>
      <c r="P5" s="116">
        <f>ETP!I8</f>
        <v>0</v>
      </c>
      <c r="Q5" s="116">
        <f>ETP!J8</f>
        <v>0</v>
      </c>
      <c r="R5" s="116">
        <f>ETP!K8</f>
        <v>0</v>
      </c>
      <c r="S5" s="116">
        <f>ETP!L8</f>
        <v>0</v>
      </c>
      <c r="T5" s="116">
        <f>ETP!M8</f>
        <v>0</v>
      </c>
      <c r="U5" s="116">
        <f>ETP!N8</f>
        <v>2.42</v>
      </c>
      <c r="V5" s="116">
        <f>ETP!O8</f>
        <v>4.84</v>
      </c>
      <c r="W5" s="116">
        <f>ETP!P8</f>
        <v>7.26</v>
      </c>
      <c r="X5" s="124">
        <f>ETP!Q8</f>
        <v>9.68</v>
      </c>
      <c r="Y5" s="132">
        <f>ETP!R8</f>
        <v>12.1</v>
      </c>
      <c r="Z5" s="127">
        <f>ETP!S8</f>
        <v>14.52</v>
      </c>
      <c r="AA5" s="116">
        <f>ETP!T8</f>
        <v>16.939999999999998</v>
      </c>
      <c r="AB5" s="116">
        <f>ETP!U8</f>
        <v>19.36</v>
      </c>
      <c r="AC5" s="116">
        <f>ETP!V8</f>
        <v>21.78</v>
      </c>
      <c r="AD5" s="116">
        <f>ETP!W8</f>
        <v>24.2</v>
      </c>
      <c r="AE5" s="116">
        <f>ETP!X8</f>
        <v>28.79</v>
      </c>
      <c r="AF5" s="116">
        <f>ETP!Y8</f>
        <v>33.379999999999995</v>
      </c>
      <c r="AG5" s="116">
        <f>ETP!Z8</f>
        <v>37.969999999999992</v>
      </c>
      <c r="AH5" s="116">
        <f>ETP!AA8</f>
        <v>42.559999999999988</v>
      </c>
      <c r="AI5" s="116">
        <f>ETP!AB8</f>
        <v>47.149999999999984</v>
      </c>
      <c r="AJ5" s="116">
        <f>ETP!AC8</f>
        <v>51.739999999999981</v>
      </c>
      <c r="AK5" s="116">
        <f>ETP!AD8</f>
        <v>56.329999999999977</v>
      </c>
      <c r="AL5" s="116">
        <f>ETP!AE8</f>
        <v>60.919999999999973</v>
      </c>
      <c r="AM5" s="124">
        <f>ETP!AF8</f>
        <v>65.509999999999977</v>
      </c>
      <c r="AN5" s="132">
        <f>ETP!AG8</f>
        <v>70.099999999999994</v>
      </c>
      <c r="AO5" s="127">
        <f>ETP!AH8</f>
        <v>78.739999999999995</v>
      </c>
      <c r="AP5" s="116">
        <f>ETP!AI8</f>
        <v>87.38</v>
      </c>
      <c r="AQ5" s="116">
        <f>ETP!AJ8</f>
        <v>96.02</v>
      </c>
      <c r="AR5" s="116">
        <f>ETP!AK8</f>
        <v>104.66</v>
      </c>
      <c r="AS5" s="116">
        <f>ETP!AL8</f>
        <v>113.3</v>
      </c>
      <c r="AT5" s="116">
        <f>ETP!AM8</f>
        <v>121.94</v>
      </c>
      <c r="AU5" s="116">
        <f>ETP!AN8</f>
        <v>130.57999999999998</v>
      </c>
      <c r="AV5" s="116">
        <f>ETP!AO8</f>
        <v>139.21999999999997</v>
      </c>
      <c r="AW5" s="116">
        <f>ETP!AP8</f>
        <v>147.85999999999996</v>
      </c>
      <c r="AX5" s="116">
        <f>ETP!AQ8</f>
        <v>156.5</v>
      </c>
      <c r="AY5" s="116">
        <f>ETP!AR8</f>
        <v>166.28</v>
      </c>
      <c r="AZ5" s="116">
        <f>ETP!AS8</f>
        <v>176.06</v>
      </c>
      <c r="BA5" s="116">
        <f>ETP!AT8</f>
        <v>185.84</v>
      </c>
      <c r="BB5" s="116">
        <f>ETP!AU8</f>
        <v>195.62</v>
      </c>
      <c r="BC5" s="116">
        <f>ETP!AV8</f>
        <v>205.4</v>
      </c>
      <c r="BD5" s="116">
        <f>ETP!AW8</f>
        <v>215.18</v>
      </c>
      <c r="BE5" s="116">
        <f>ETP!AX8</f>
        <v>224.96</v>
      </c>
      <c r="BF5" s="116">
        <f>ETP!AY8</f>
        <v>234.74</v>
      </c>
      <c r="BG5" s="116">
        <f>ETP!AZ8</f>
        <v>244.52</v>
      </c>
      <c r="BH5" s="142">
        <f>ETP!BA8</f>
        <v>254.3</v>
      </c>
      <c r="BI5" s="120"/>
      <c r="BJ5" s="108" t="str">
        <f t="shared" ref="BJ5:BJ6" si="4">IFERROR(-(1-(AN5/I5))/31,"")</f>
        <v/>
      </c>
      <c r="BK5" s="108" t="str">
        <f t="shared" ref="BK5:BK6" si="5">IFERROR(-(1-(AO5/J5))/31,"")</f>
        <v/>
      </c>
      <c r="BL5" s="108" t="str">
        <f>IFERROR((AN5/I5)^(1/31)-1,"")</f>
        <v/>
      </c>
      <c r="BM5" s="67" t="str">
        <f>IFERROR((BH5/I5)^(1/51)-1,"")</f>
        <v/>
      </c>
    </row>
    <row r="6" spans="1:65" hidden="1" outlineLevel="1">
      <c r="A6" s="68" t="s">
        <v>135</v>
      </c>
      <c r="B6" s="66" t="s">
        <v>449</v>
      </c>
      <c r="C6" s="119"/>
      <c r="D6" s="119"/>
      <c r="E6" s="119"/>
      <c r="F6" s="119"/>
      <c r="G6" s="119"/>
      <c r="H6" s="132"/>
      <c r="I6" s="132">
        <f>ETP!B9</f>
        <v>0</v>
      </c>
      <c r="J6" s="127">
        <f>ETP!C9</f>
        <v>2.1090909090909089</v>
      </c>
      <c r="K6" s="116">
        <f>ETP!D9</f>
        <v>4.2181818181818178</v>
      </c>
      <c r="L6" s="116">
        <f>ETP!E9</f>
        <v>6.3272727272727263</v>
      </c>
      <c r="M6" s="116">
        <f>ETP!F9</f>
        <v>8.4363636363636356</v>
      </c>
      <c r="N6" s="116">
        <f>ETP!G9</f>
        <v>10.545454545454545</v>
      </c>
      <c r="O6" s="116">
        <f>ETP!H9</f>
        <v>12.654545454545454</v>
      </c>
      <c r="P6" s="116">
        <f>ETP!I9</f>
        <v>14.763636363636364</v>
      </c>
      <c r="Q6" s="116">
        <f>ETP!J9</f>
        <v>16.872727272727271</v>
      </c>
      <c r="R6" s="116">
        <f>ETP!K9</f>
        <v>18.981818181818181</v>
      </c>
      <c r="S6" s="116">
        <f>ETP!L9</f>
        <v>21.09090909090909</v>
      </c>
      <c r="T6" s="116">
        <f>ETP!M9</f>
        <v>23.2</v>
      </c>
      <c r="U6" s="116">
        <f>ETP!N9</f>
        <v>30.86</v>
      </c>
      <c r="V6" s="116">
        <f>ETP!O9</f>
        <v>38.519999999999996</v>
      </c>
      <c r="W6" s="116">
        <f>ETP!P9</f>
        <v>46.179999999999993</v>
      </c>
      <c r="X6" s="124">
        <f>ETP!Q9</f>
        <v>53.839999999999989</v>
      </c>
      <c r="Y6" s="132">
        <f>ETP!R9</f>
        <v>61.499999999999986</v>
      </c>
      <c r="Z6" s="127">
        <f>ETP!S9</f>
        <v>69.159999999999982</v>
      </c>
      <c r="AA6" s="116">
        <f>ETP!T9</f>
        <v>76.819999999999979</v>
      </c>
      <c r="AB6" s="116">
        <f>ETP!U9</f>
        <v>84.479999999999976</v>
      </c>
      <c r="AC6" s="116">
        <f>ETP!V9</f>
        <v>92.139999999999972</v>
      </c>
      <c r="AD6" s="116">
        <f>ETP!W9</f>
        <v>99.8</v>
      </c>
      <c r="AE6" s="116">
        <f>ETP!X9</f>
        <v>105.11</v>
      </c>
      <c r="AF6" s="116">
        <f>ETP!Y9</f>
        <v>110.42</v>
      </c>
      <c r="AG6" s="116">
        <f>ETP!Z9</f>
        <v>115.73</v>
      </c>
      <c r="AH6" s="116">
        <f>ETP!AA9</f>
        <v>121.04</v>
      </c>
      <c r="AI6" s="116">
        <f>ETP!AB9</f>
        <v>126.35000000000001</v>
      </c>
      <c r="AJ6" s="116">
        <f>ETP!AC9</f>
        <v>131.66</v>
      </c>
      <c r="AK6" s="116">
        <f>ETP!AD9</f>
        <v>136.97</v>
      </c>
      <c r="AL6" s="116">
        <f>ETP!AE9</f>
        <v>142.28</v>
      </c>
      <c r="AM6" s="124">
        <f>ETP!AF9</f>
        <v>147.59</v>
      </c>
      <c r="AN6" s="132">
        <f>ETP!AG9</f>
        <v>152.9</v>
      </c>
      <c r="AO6" s="127">
        <f>ETP!AH9</f>
        <v>153.06</v>
      </c>
      <c r="AP6" s="116">
        <f>ETP!AI9</f>
        <v>153.22</v>
      </c>
      <c r="AQ6" s="116">
        <f>ETP!AJ9</f>
        <v>153.38</v>
      </c>
      <c r="AR6" s="116">
        <f>ETP!AK9</f>
        <v>153.54</v>
      </c>
      <c r="AS6" s="116">
        <f>ETP!AL9</f>
        <v>153.69999999999999</v>
      </c>
      <c r="AT6" s="116">
        <f>ETP!AM9</f>
        <v>153.85999999999999</v>
      </c>
      <c r="AU6" s="116">
        <f>ETP!AN9</f>
        <v>154.01999999999998</v>
      </c>
      <c r="AV6" s="116">
        <f>ETP!AO9</f>
        <v>154.17999999999998</v>
      </c>
      <c r="AW6" s="116">
        <f>ETP!AP9</f>
        <v>154.33999999999997</v>
      </c>
      <c r="AX6" s="116">
        <f>ETP!AQ9</f>
        <v>154.5</v>
      </c>
      <c r="AY6" s="116">
        <f>ETP!AR9</f>
        <v>160.80000000000001</v>
      </c>
      <c r="AZ6" s="116">
        <f>ETP!AS9</f>
        <v>167.10000000000002</v>
      </c>
      <c r="BA6" s="116">
        <f>ETP!AT9</f>
        <v>173.40000000000003</v>
      </c>
      <c r="BB6" s="116">
        <f>ETP!AU9</f>
        <v>179.70000000000005</v>
      </c>
      <c r="BC6" s="116">
        <f>ETP!AV9</f>
        <v>186.00000000000006</v>
      </c>
      <c r="BD6" s="116">
        <f>ETP!AW9</f>
        <v>192.30000000000007</v>
      </c>
      <c r="BE6" s="116">
        <f>ETP!AX9</f>
        <v>198.60000000000008</v>
      </c>
      <c r="BF6" s="116">
        <f>ETP!AY9</f>
        <v>204.90000000000009</v>
      </c>
      <c r="BG6" s="116">
        <f>ETP!AZ9</f>
        <v>211.2000000000001</v>
      </c>
      <c r="BH6" s="142">
        <f>ETP!BA9</f>
        <v>217.5</v>
      </c>
      <c r="BI6" s="120"/>
      <c r="BJ6" s="108" t="str">
        <f t="shared" si="4"/>
        <v/>
      </c>
      <c r="BK6" s="108">
        <f t="shared" si="5"/>
        <v>2.3087597330367076</v>
      </c>
      <c r="BL6" s="108" t="str">
        <f t="shared" ref="BL6" si="6">IFERROR((AN6/I6)^(1/31)-1,"")</f>
        <v/>
      </c>
      <c r="BM6" s="67" t="str">
        <f>IFERROR((BH6/I6)^(1/51)-1,"")</f>
        <v/>
      </c>
    </row>
    <row r="7" spans="1:65" hidden="1" outlineLevel="1">
      <c r="A7" s="68" t="s">
        <v>136</v>
      </c>
      <c r="B7" s="66" t="s">
        <v>449</v>
      </c>
      <c r="C7" s="119"/>
      <c r="D7" s="119"/>
      <c r="E7" s="119"/>
      <c r="F7" s="119"/>
      <c r="G7" s="119"/>
      <c r="H7" s="132">
        <v>325.00000000041808</v>
      </c>
      <c r="I7" s="132">
        <f>ETP!B5</f>
        <v>339.1</v>
      </c>
      <c r="J7" s="127">
        <f>ETP!C5</f>
        <v>337.32727272727277</v>
      </c>
      <c r="K7" s="116">
        <f>ETP!D5</f>
        <v>335.55454545454552</v>
      </c>
      <c r="L7" s="116">
        <f>ETP!E5</f>
        <v>333.78181818181827</v>
      </c>
      <c r="M7" s="116">
        <f>ETP!F5</f>
        <v>332.00909090909101</v>
      </c>
      <c r="N7" s="116">
        <f>ETP!G5</f>
        <v>330.23636363636376</v>
      </c>
      <c r="O7" s="116">
        <f>ETP!H5</f>
        <v>328.46363636363651</v>
      </c>
      <c r="P7" s="116">
        <f>ETP!I5</f>
        <v>326.69090909090926</v>
      </c>
      <c r="Q7" s="116">
        <f>ETP!J5</f>
        <v>324.91818181818201</v>
      </c>
      <c r="R7" s="116">
        <f>ETP!K5</f>
        <v>323.14545454545475</v>
      </c>
      <c r="S7" s="116">
        <f>ETP!L5</f>
        <v>321.3727272727275</v>
      </c>
      <c r="T7" s="116">
        <f>ETP!M5</f>
        <v>319.60000000000002</v>
      </c>
      <c r="U7" s="116">
        <f>ETP!N5</f>
        <v>314.54000000000002</v>
      </c>
      <c r="V7" s="116">
        <f>ETP!O5</f>
        <v>309.48</v>
      </c>
      <c r="W7" s="116">
        <f>ETP!P5</f>
        <v>304.42</v>
      </c>
      <c r="X7" s="124">
        <f>ETP!Q5</f>
        <v>299.36</v>
      </c>
      <c r="Y7" s="132">
        <f>ETP!R5</f>
        <v>294.3</v>
      </c>
      <c r="Z7" s="127">
        <f>ETP!S5</f>
        <v>289.24</v>
      </c>
      <c r="AA7" s="116">
        <f>ETP!T5</f>
        <v>284.18</v>
      </c>
      <c r="AB7" s="116">
        <f>ETP!U5</f>
        <v>279.12</v>
      </c>
      <c r="AC7" s="116">
        <f>ETP!V5</f>
        <v>274.06</v>
      </c>
      <c r="AD7" s="116">
        <f>ETP!W5</f>
        <v>269</v>
      </c>
      <c r="AE7" s="116">
        <f>ETP!X5</f>
        <v>266.33999999999997</v>
      </c>
      <c r="AF7" s="116">
        <f>ETP!Y5</f>
        <v>263.67999999999995</v>
      </c>
      <c r="AG7" s="116">
        <f>ETP!Z5</f>
        <v>261.01999999999992</v>
      </c>
      <c r="AH7" s="116">
        <f>ETP!AA5</f>
        <v>258.3599999999999</v>
      </c>
      <c r="AI7" s="116">
        <f>ETP!AB5</f>
        <v>255.6999999999999</v>
      </c>
      <c r="AJ7" s="116">
        <f>ETP!AC5</f>
        <v>253.03999999999991</v>
      </c>
      <c r="AK7" s="116">
        <f>ETP!AD5</f>
        <v>250.37999999999991</v>
      </c>
      <c r="AL7" s="116">
        <f>ETP!AE5</f>
        <v>247.71999999999991</v>
      </c>
      <c r="AM7" s="124">
        <f>ETP!AF5</f>
        <v>245.05999999999992</v>
      </c>
      <c r="AN7" s="132">
        <f>ETP!AG5</f>
        <v>242.4</v>
      </c>
      <c r="AO7" s="127">
        <f>ETP!AH5</f>
        <v>236.52</v>
      </c>
      <c r="AP7" s="116">
        <f>ETP!AI5</f>
        <v>230.64000000000001</v>
      </c>
      <c r="AQ7" s="116">
        <f>ETP!AJ5</f>
        <v>224.76000000000002</v>
      </c>
      <c r="AR7" s="116">
        <f>ETP!AK5</f>
        <v>218.88000000000002</v>
      </c>
      <c r="AS7" s="116">
        <f>ETP!AL5</f>
        <v>213.00000000000003</v>
      </c>
      <c r="AT7" s="116">
        <f>ETP!AM5</f>
        <v>207.12000000000003</v>
      </c>
      <c r="AU7" s="116">
        <f>ETP!AN5</f>
        <v>201.24000000000004</v>
      </c>
      <c r="AV7" s="116">
        <f>ETP!AO5</f>
        <v>195.36000000000004</v>
      </c>
      <c r="AW7" s="116">
        <f>ETP!AP5</f>
        <v>189.48000000000005</v>
      </c>
      <c r="AX7" s="116">
        <f>ETP!AQ5</f>
        <v>183.6</v>
      </c>
      <c r="AY7" s="116">
        <f>ETP!AR5</f>
        <v>179.95</v>
      </c>
      <c r="AZ7" s="116">
        <f>ETP!AS5</f>
        <v>176.29999999999998</v>
      </c>
      <c r="BA7" s="116">
        <f>ETP!AT5</f>
        <v>172.64999999999998</v>
      </c>
      <c r="BB7" s="116">
        <f>ETP!AU5</f>
        <v>168.99999999999997</v>
      </c>
      <c r="BC7" s="116">
        <f>ETP!AV5</f>
        <v>165.34999999999997</v>
      </c>
      <c r="BD7" s="116">
        <f>ETP!AW5</f>
        <v>161.69999999999996</v>
      </c>
      <c r="BE7" s="116">
        <f>ETP!AX5</f>
        <v>158.04999999999995</v>
      </c>
      <c r="BF7" s="116">
        <f>ETP!AY5</f>
        <v>154.39999999999995</v>
      </c>
      <c r="BG7" s="116">
        <f>ETP!AZ5</f>
        <v>150.74999999999994</v>
      </c>
      <c r="BH7" s="142">
        <f>ETP!BA5</f>
        <v>147.1</v>
      </c>
      <c r="BI7" s="120"/>
      <c r="BJ7" s="108">
        <f t="shared" si="0"/>
        <v>-9.1989231457082817E-3</v>
      </c>
      <c r="BK7" s="112">
        <f>IFERROR(-(1-(BH7/I7))/51,"")</f>
        <v>-1.1102052144951169E-2</v>
      </c>
      <c r="BL7" s="108">
        <f t="shared" ref="BL7" si="7">IFERROR((AN7/I7)^(1/31)-1,"")</f>
        <v>-1.077079428623573E-2</v>
      </c>
      <c r="BM7" s="67">
        <f>IFERROR((BH7/I7)^(1/51)-1,"")</f>
        <v>-1.6242766126865815E-2</v>
      </c>
    </row>
    <row r="8" spans="1:65" collapsed="1">
      <c r="A8" s="68"/>
      <c r="B8" s="68"/>
      <c r="C8" s="119"/>
      <c r="D8" s="119"/>
      <c r="E8" s="119"/>
      <c r="F8" s="119"/>
      <c r="G8" s="119"/>
      <c r="H8" s="133"/>
      <c r="I8" s="133"/>
      <c r="J8" s="120"/>
      <c r="K8" s="120"/>
      <c r="L8" s="120"/>
      <c r="M8" s="120"/>
      <c r="N8" s="120"/>
      <c r="O8" s="120"/>
      <c r="P8" s="120"/>
      <c r="Q8" s="120"/>
      <c r="R8" s="120"/>
      <c r="S8" s="120"/>
      <c r="T8" s="120"/>
      <c r="U8" s="120"/>
      <c r="V8" s="120"/>
      <c r="W8" s="120"/>
      <c r="X8" s="120"/>
      <c r="Y8" s="133"/>
      <c r="Z8" s="120"/>
      <c r="AA8" s="120"/>
      <c r="AB8" s="120"/>
      <c r="AC8" s="120"/>
      <c r="AD8" s="120"/>
      <c r="AE8" s="120"/>
      <c r="AF8" s="120"/>
      <c r="AG8" s="120"/>
      <c r="AH8" s="120"/>
      <c r="AI8" s="120"/>
      <c r="AJ8" s="120"/>
      <c r="AK8" s="120"/>
      <c r="AL8" s="120"/>
      <c r="AM8" s="120"/>
      <c r="AN8" s="133"/>
      <c r="AO8" s="120"/>
      <c r="AP8" s="120"/>
      <c r="AQ8" s="120"/>
      <c r="AR8" s="120"/>
      <c r="AS8" s="120"/>
      <c r="AT8" s="120"/>
      <c r="AU8" s="120"/>
      <c r="AV8" s="120"/>
      <c r="AW8" s="120"/>
      <c r="AX8" s="120"/>
      <c r="AY8" s="120"/>
      <c r="AZ8" s="120"/>
      <c r="BA8" s="120"/>
      <c r="BB8" s="120"/>
      <c r="BC8" s="120"/>
      <c r="BD8" s="120"/>
      <c r="BE8" s="120"/>
      <c r="BF8" s="120"/>
      <c r="BG8" s="120"/>
      <c r="BH8" s="143"/>
      <c r="BI8" s="120"/>
      <c r="BJ8" s="108"/>
      <c r="BK8" s="1"/>
      <c r="BL8" s="1"/>
    </row>
    <row r="9" spans="1:65" s="65" customFormat="1">
      <c r="A9" s="64" t="s">
        <v>586</v>
      </c>
      <c r="B9" s="117" t="s">
        <v>450</v>
      </c>
      <c r="C9" s="107"/>
      <c r="D9" s="107"/>
      <c r="E9" s="107"/>
      <c r="F9" s="107"/>
      <c r="G9" s="107"/>
      <c r="H9" s="131"/>
      <c r="I9" s="131"/>
      <c r="J9" s="107"/>
      <c r="K9" s="107"/>
      <c r="L9" s="107"/>
      <c r="M9" s="107"/>
      <c r="N9" s="107"/>
      <c r="O9" s="107"/>
      <c r="P9" s="107"/>
      <c r="Q9" s="107"/>
      <c r="R9" s="107"/>
      <c r="S9" s="107"/>
      <c r="T9" s="107"/>
      <c r="U9" s="107"/>
      <c r="V9" s="107"/>
      <c r="W9" s="107"/>
      <c r="X9" s="107"/>
      <c r="Y9" s="131"/>
      <c r="Z9" s="107"/>
      <c r="AA9" s="107"/>
      <c r="AB9" s="107"/>
      <c r="AC9" s="107"/>
      <c r="AD9" s="107"/>
      <c r="AE9" s="107"/>
      <c r="AF9" s="107"/>
      <c r="AG9" s="107"/>
      <c r="AH9" s="107"/>
      <c r="AI9" s="107"/>
      <c r="AJ9" s="107"/>
      <c r="AK9" s="107"/>
      <c r="AL9" s="107"/>
      <c r="AM9" s="107"/>
      <c r="AN9" s="131"/>
      <c r="AO9" s="107"/>
      <c r="AP9" s="107"/>
      <c r="AQ9" s="107"/>
      <c r="AR9" s="107"/>
      <c r="AS9" s="107"/>
      <c r="AT9" s="107"/>
      <c r="AU9" s="107"/>
      <c r="AV9" s="107"/>
      <c r="AW9" s="107"/>
      <c r="AX9" s="107"/>
      <c r="AY9" s="107"/>
      <c r="AZ9" s="107"/>
      <c r="BA9" s="107"/>
      <c r="BB9" s="107"/>
      <c r="BC9" s="107"/>
      <c r="BD9" s="107"/>
      <c r="BE9" s="107"/>
      <c r="BF9" s="107"/>
      <c r="BG9" s="107"/>
      <c r="BH9" s="141"/>
      <c r="BI9" s="107"/>
      <c r="BJ9" s="110"/>
      <c r="BK9" s="107"/>
      <c r="BL9" s="107"/>
    </row>
    <row r="10" spans="1:65" s="154" customFormat="1" outlineLevel="1">
      <c r="A10" s="155" t="s">
        <v>448</v>
      </c>
      <c r="B10" s="156" t="s">
        <v>450</v>
      </c>
      <c r="C10" s="151"/>
      <c r="D10" s="151"/>
      <c r="E10" s="151"/>
      <c r="F10" s="151"/>
      <c r="G10" s="151"/>
      <c r="H10" s="152"/>
      <c r="I10" s="152"/>
      <c r="J10" s="151"/>
      <c r="K10" s="151"/>
      <c r="L10" s="151"/>
      <c r="M10" s="151"/>
      <c r="N10" s="151"/>
      <c r="O10" s="151"/>
      <c r="P10" s="151"/>
      <c r="Q10" s="151"/>
      <c r="R10" s="151"/>
      <c r="S10" s="151"/>
      <c r="T10" s="151"/>
      <c r="U10" s="151"/>
      <c r="V10" s="151"/>
      <c r="W10" s="151"/>
      <c r="X10" s="151"/>
      <c r="Y10" s="152"/>
      <c r="Z10" s="151"/>
      <c r="AA10" s="151"/>
      <c r="AB10" s="151"/>
      <c r="AC10" s="151"/>
      <c r="AD10" s="151"/>
      <c r="AE10" s="151"/>
      <c r="AF10" s="151"/>
      <c r="AG10" s="151"/>
      <c r="AH10" s="151"/>
      <c r="AI10" s="151"/>
      <c r="AJ10" s="151"/>
      <c r="AK10" s="151"/>
      <c r="AL10" s="151"/>
      <c r="AM10" s="151"/>
      <c r="AN10" s="152"/>
      <c r="AO10" s="151"/>
      <c r="AP10" s="151"/>
      <c r="AQ10" s="151"/>
      <c r="AR10" s="151"/>
      <c r="AS10" s="151"/>
      <c r="AT10" s="151"/>
      <c r="AU10" s="151"/>
      <c r="AV10" s="151"/>
      <c r="AW10" s="151"/>
      <c r="AX10" s="151"/>
      <c r="AY10" s="151"/>
      <c r="AZ10" s="151"/>
      <c r="BA10" s="151"/>
      <c r="BB10" s="151"/>
      <c r="BC10" s="151"/>
      <c r="BD10" s="151"/>
      <c r="BE10" s="151"/>
      <c r="BF10" s="151"/>
      <c r="BG10" s="151"/>
      <c r="BH10" s="170"/>
      <c r="BI10" s="151"/>
      <c r="BJ10" s="153"/>
      <c r="BK10" s="151"/>
      <c r="BL10" s="151"/>
    </row>
    <row r="11" spans="1:65" outlineLevel="1">
      <c r="A11" s="157" t="s">
        <v>137</v>
      </c>
      <c r="B11" s="21">
        <f>(0.05)*SUM(B13:B14)</f>
        <v>0.19000500000000003</v>
      </c>
      <c r="H11" s="134">
        <f t="shared" ref="H11:AM11" si="8">H5*$B$11</f>
        <v>0</v>
      </c>
      <c r="I11" s="134">
        <f t="shared" si="8"/>
        <v>0</v>
      </c>
      <c r="J11" s="33">
        <f t="shared" si="8"/>
        <v>0</v>
      </c>
      <c r="K11" s="33">
        <f t="shared" si="8"/>
        <v>0</v>
      </c>
      <c r="L11" s="33">
        <f t="shared" si="8"/>
        <v>0</v>
      </c>
      <c r="M11" s="33">
        <f t="shared" si="8"/>
        <v>0</v>
      </c>
      <c r="N11" s="33">
        <f t="shared" si="8"/>
        <v>0</v>
      </c>
      <c r="O11" s="33">
        <f t="shared" si="8"/>
        <v>0</v>
      </c>
      <c r="P11" s="33">
        <f t="shared" si="8"/>
        <v>0</v>
      </c>
      <c r="Q11" s="33">
        <f t="shared" si="8"/>
        <v>0</v>
      </c>
      <c r="R11" s="33">
        <f t="shared" si="8"/>
        <v>0</v>
      </c>
      <c r="S11" s="33">
        <f t="shared" si="8"/>
        <v>0</v>
      </c>
      <c r="T11" s="33">
        <f t="shared" si="8"/>
        <v>0</v>
      </c>
      <c r="U11" s="33">
        <f t="shared" si="8"/>
        <v>0.45981210000000006</v>
      </c>
      <c r="V11" s="33">
        <f t="shared" si="8"/>
        <v>0.91962420000000011</v>
      </c>
      <c r="W11" s="33">
        <f t="shared" si="8"/>
        <v>1.3794363000000003</v>
      </c>
      <c r="X11" s="33">
        <f t="shared" si="8"/>
        <v>1.8392484000000002</v>
      </c>
      <c r="Y11" s="134">
        <f t="shared" si="8"/>
        <v>2.2990605000000004</v>
      </c>
      <c r="Z11" s="33">
        <f t="shared" si="8"/>
        <v>2.7588726000000006</v>
      </c>
      <c r="AA11" s="33">
        <f t="shared" si="8"/>
        <v>3.2186847000000003</v>
      </c>
      <c r="AB11" s="33">
        <f t="shared" si="8"/>
        <v>3.6784968000000005</v>
      </c>
      <c r="AC11" s="33">
        <f t="shared" si="8"/>
        <v>4.1383089000000011</v>
      </c>
      <c r="AD11" s="33">
        <f t="shared" si="8"/>
        <v>4.5981210000000008</v>
      </c>
      <c r="AE11" s="33">
        <f t="shared" si="8"/>
        <v>5.4702439500000004</v>
      </c>
      <c r="AF11" s="33">
        <f t="shared" si="8"/>
        <v>6.3423669</v>
      </c>
      <c r="AG11" s="33">
        <f t="shared" si="8"/>
        <v>7.2144898499999996</v>
      </c>
      <c r="AH11" s="33">
        <f t="shared" si="8"/>
        <v>8.0866127999999993</v>
      </c>
      <c r="AI11" s="33">
        <f t="shared" si="8"/>
        <v>8.9587357499999989</v>
      </c>
      <c r="AJ11" s="33">
        <f t="shared" si="8"/>
        <v>9.8308586999999985</v>
      </c>
      <c r="AK11" s="33">
        <f t="shared" si="8"/>
        <v>10.702981649999998</v>
      </c>
      <c r="AL11" s="33">
        <f t="shared" si="8"/>
        <v>11.575104599999998</v>
      </c>
      <c r="AM11" s="33">
        <f t="shared" si="8"/>
        <v>12.447227549999997</v>
      </c>
      <c r="AN11" s="134">
        <f t="shared" ref="AN11:BH11" si="9">AN5*$B$11</f>
        <v>13.319350500000001</v>
      </c>
      <c r="AO11" s="33">
        <f t="shared" si="9"/>
        <v>14.960993700000001</v>
      </c>
      <c r="AP11" s="33">
        <f t="shared" si="9"/>
        <v>16.602636900000004</v>
      </c>
      <c r="AQ11" s="33">
        <f t="shared" si="9"/>
        <v>18.244280100000001</v>
      </c>
      <c r="AR11" s="33">
        <f t="shared" si="9"/>
        <v>19.885923300000002</v>
      </c>
      <c r="AS11" s="33">
        <f t="shared" si="9"/>
        <v>21.527566500000002</v>
      </c>
      <c r="AT11" s="33">
        <f t="shared" si="9"/>
        <v>23.169209700000003</v>
      </c>
      <c r="AU11" s="33">
        <f t="shared" si="9"/>
        <v>24.8108529</v>
      </c>
      <c r="AV11" s="33">
        <f t="shared" si="9"/>
        <v>26.452496099999998</v>
      </c>
      <c r="AW11" s="33">
        <f t="shared" si="9"/>
        <v>28.094139299999998</v>
      </c>
      <c r="AX11" s="33">
        <f t="shared" si="9"/>
        <v>29.735782500000006</v>
      </c>
      <c r="AY11" s="33">
        <f t="shared" si="9"/>
        <v>31.594031400000006</v>
      </c>
      <c r="AZ11" s="33">
        <f t="shared" si="9"/>
        <v>33.452280300000005</v>
      </c>
      <c r="BA11" s="33">
        <f t="shared" si="9"/>
        <v>35.310529200000005</v>
      </c>
      <c r="BB11" s="33">
        <f t="shared" si="9"/>
        <v>37.168778100000004</v>
      </c>
      <c r="BC11" s="33">
        <f t="shared" si="9"/>
        <v>39.027027000000011</v>
      </c>
      <c r="BD11" s="33">
        <f t="shared" si="9"/>
        <v>40.885275900000011</v>
      </c>
      <c r="BE11" s="33">
        <f t="shared" si="9"/>
        <v>42.74352480000001</v>
      </c>
      <c r="BF11" s="33">
        <f t="shared" si="9"/>
        <v>44.60177370000001</v>
      </c>
      <c r="BG11" s="33">
        <f t="shared" si="9"/>
        <v>46.460022600000009</v>
      </c>
      <c r="BH11" s="144">
        <f t="shared" si="9"/>
        <v>48.318271500000009</v>
      </c>
      <c r="BI11" s="33"/>
      <c r="BJ11" s="108" t="str">
        <f>IFERROR(-(1-(AN11/I11))/31,"")</f>
        <v/>
      </c>
      <c r="BK11" s="108" t="str">
        <f t="shared" ref="BK11:BK16" si="10">IFERROR(-(1-(AO11/J11))/31,"")</f>
        <v/>
      </c>
      <c r="BL11" s="1"/>
    </row>
    <row r="12" spans="1:65" outlineLevel="1">
      <c r="A12" s="157" t="s">
        <v>138</v>
      </c>
      <c r="B12" s="21">
        <f>(0.2)*SUM(B13:B14)</f>
        <v>0.76002000000000014</v>
      </c>
      <c r="H12" s="134">
        <f t="shared" ref="H12:AM12" si="11">H6*$B$12</f>
        <v>0</v>
      </c>
      <c r="I12" s="134">
        <f t="shared" si="11"/>
        <v>0</v>
      </c>
      <c r="J12" s="33">
        <f t="shared" si="11"/>
        <v>1.6029512727272728</v>
      </c>
      <c r="K12" s="33">
        <f t="shared" si="11"/>
        <v>3.2059025454545456</v>
      </c>
      <c r="L12" s="33">
        <f t="shared" si="11"/>
        <v>4.8088538181818183</v>
      </c>
      <c r="M12" s="33">
        <f t="shared" si="11"/>
        <v>6.4118050909090911</v>
      </c>
      <c r="N12" s="33">
        <f t="shared" si="11"/>
        <v>8.0147563636363639</v>
      </c>
      <c r="O12" s="33">
        <f t="shared" si="11"/>
        <v>9.6177076363636385</v>
      </c>
      <c r="P12" s="33">
        <f t="shared" si="11"/>
        <v>11.220658909090911</v>
      </c>
      <c r="Q12" s="33">
        <f t="shared" si="11"/>
        <v>12.823610181818182</v>
      </c>
      <c r="R12" s="33">
        <f t="shared" si="11"/>
        <v>14.426561454545457</v>
      </c>
      <c r="S12" s="33">
        <f t="shared" si="11"/>
        <v>16.029512727272728</v>
      </c>
      <c r="T12" s="33">
        <f t="shared" si="11"/>
        <v>17.632464000000002</v>
      </c>
      <c r="U12" s="33">
        <f t="shared" si="11"/>
        <v>23.454217200000002</v>
      </c>
      <c r="V12" s="33">
        <f t="shared" si="11"/>
        <v>29.275970400000002</v>
      </c>
      <c r="W12" s="33">
        <f t="shared" si="11"/>
        <v>35.097723600000002</v>
      </c>
      <c r="X12" s="33">
        <f t="shared" si="11"/>
        <v>40.919476799999998</v>
      </c>
      <c r="Y12" s="134">
        <f t="shared" si="11"/>
        <v>46.741229999999995</v>
      </c>
      <c r="Z12" s="33">
        <f t="shared" si="11"/>
        <v>52.562983199999998</v>
      </c>
      <c r="AA12" s="33">
        <f t="shared" si="11"/>
        <v>58.384736399999994</v>
      </c>
      <c r="AB12" s="33">
        <f t="shared" si="11"/>
        <v>64.206489599999998</v>
      </c>
      <c r="AC12" s="33">
        <f t="shared" si="11"/>
        <v>70.028242799999987</v>
      </c>
      <c r="AD12" s="33">
        <f t="shared" si="11"/>
        <v>75.849996000000019</v>
      </c>
      <c r="AE12" s="33">
        <f t="shared" si="11"/>
        <v>79.885702200000011</v>
      </c>
      <c r="AF12" s="33">
        <f t="shared" si="11"/>
        <v>83.921408400000018</v>
      </c>
      <c r="AG12" s="33">
        <f t="shared" si="11"/>
        <v>87.957114600000025</v>
      </c>
      <c r="AH12" s="33">
        <f t="shared" si="11"/>
        <v>91.992820800000018</v>
      </c>
      <c r="AI12" s="33">
        <f t="shared" si="11"/>
        <v>96.028527000000025</v>
      </c>
      <c r="AJ12" s="33">
        <f t="shared" si="11"/>
        <v>100.06423320000002</v>
      </c>
      <c r="AK12" s="33">
        <f t="shared" si="11"/>
        <v>104.09993940000003</v>
      </c>
      <c r="AL12" s="33">
        <f t="shared" si="11"/>
        <v>108.13564560000002</v>
      </c>
      <c r="AM12" s="33">
        <f t="shared" si="11"/>
        <v>112.17135180000002</v>
      </c>
      <c r="AN12" s="134">
        <f t="shared" ref="AN12:BH12" si="12">AN6*$B$12</f>
        <v>116.20705800000003</v>
      </c>
      <c r="AO12" s="33">
        <f t="shared" si="12"/>
        <v>116.32866120000003</v>
      </c>
      <c r="AP12" s="33">
        <f t="shared" si="12"/>
        <v>116.45026440000002</v>
      </c>
      <c r="AQ12" s="33">
        <f t="shared" si="12"/>
        <v>116.57186760000002</v>
      </c>
      <c r="AR12" s="33">
        <f t="shared" si="12"/>
        <v>116.69347080000001</v>
      </c>
      <c r="AS12" s="33">
        <f t="shared" si="12"/>
        <v>116.81507400000001</v>
      </c>
      <c r="AT12" s="33">
        <f t="shared" si="12"/>
        <v>116.93667720000001</v>
      </c>
      <c r="AU12" s="33">
        <f t="shared" si="12"/>
        <v>117.0582804</v>
      </c>
      <c r="AV12" s="33">
        <f t="shared" si="12"/>
        <v>117.17988360000001</v>
      </c>
      <c r="AW12" s="33">
        <f t="shared" si="12"/>
        <v>117.30148680000001</v>
      </c>
      <c r="AX12" s="33">
        <f t="shared" si="12"/>
        <v>117.42309000000002</v>
      </c>
      <c r="AY12" s="33">
        <f t="shared" si="12"/>
        <v>122.21121600000004</v>
      </c>
      <c r="AZ12" s="33">
        <f t="shared" si="12"/>
        <v>126.99934200000004</v>
      </c>
      <c r="BA12" s="33">
        <f t="shared" si="12"/>
        <v>131.78746800000005</v>
      </c>
      <c r="BB12" s="33">
        <f t="shared" si="12"/>
        <v>136.57559400000005</v>
      </c>
      <c r="BC12" s="33">
        <f t="shared" si="12"/>
        <v>141.36372000000006</v>
      </c>
      <c r="BD12" s="33">
        <f t="shared" si="12"/>
        <v>146.15184600000009</v>
      </c>
      <c r="BE12" s="33">
        <f t="shared" si="12"/>
        <v>150.9399720000001</v>
      </c>
      <c r="BF12" s="33">
        <f t="shared" si="12"/>
        <v>155.7280980000001</v>
      </c>
      <c r="BG12" s="33">
        <f t="shared" si="12"/>
        <v>160.51622400000011</v>
      </c>
      <c r="BH12" s="144">
        <f t="shared" si="12"/>
        <v>165.30435000000003</v>
      </c>
      <c r="BI12" s="33"/>
      <c r="BJ12" s="108" t="str">
        <f t="shared" ref="BJ12:BJ16" si="13">IFERROR(-(1-(AN12/I12))/31,"")</f>
        <v/>
      </c>
      <c r="BK12" s="108">
        <f t="shared" si="10"/>
        <v>2.308759733036708</v>
      </c>
      <c r="BL12" s="1"/>
    </row>
    <row r="13" spans="1:65" outlineLevel="1">
      <c r="A13" s="157" t="s">
        <v>139</v>
      </c>
      <c r="B13" s="21">
        <f>Catalogues!G13/1000000</f>
        <v>0.64010000000000011</v>
      </c>
      <c r="H13" s="134">
        <f t="shared" ref="H13:AM13" si="14">H7*$B$13</f>
        <v>208.03250000026765</v>
      </c>
      <c r="I13" s="134">
        <f t="shared" si="14"/>
        <v>217.05791000000005</v>
      </c>
      <c r="J13" s="33">
        <f t="shared" si="14"/>
        <v>215.92318727272735</v>
      </c>
      <c r="K13" s="33">
        <f t="shared" si="14"/>
        <v>214.78846454545462</v>
      </c>
      <c r="L13" s="33">
        <f t="shared" si="14"/>
        <v>213.65374181818191</v>
      </c>
      <c r="M13" s="33">
        <f t="shared" si="14"/>
        <v>212.51901909090918</v>
      </c>
      <c r="N13" s="33">
        <f t="shared" si="14"/>
        <v>211.38429636363648</v>
      </c>
      <c r="O13" s="33">
        <f t="shared" si="14"/>
        <v>210.24957363636378</v>
      </c>
      <c r="P13" s="33">
        <f t="shared" si="14"/>
        <v>209.11485090909105</v>
      </c>
      <c r="Q13" s="33">
        <f t="shared" si="14"/>
        <v>207.98012818181834</v>
      </c>
      <c r="R13" s="33">
        <f t="shared" si="14"/>
        <v>206.84540545454561</v>
      </c>
      <c r="S13" s="33">
        <f t="shared" si="14"/>
        <v>205.71068272727291</v>
      </c>
      <c r="T13" s="33">
        <f t="shared" si="14"/>
        <v>204.57596000000004</v>
      </c>
      <c r="U13" s="33">
        <f t="shared" si="14"/>
        <v>201.33705400000005</v>
      </c>
      <c r="V13" s="33">
        <f t="shared" si="14"/>
        <v>198.09814800000004</v>
      </c>
      <c r="W13" s="33">
        <f t="shared" si="14"/>
        <v>194.85924200000005</v>
      </c>
      <c r="X13" s="33">
        <f t="shared" si="14"/>
        <v>191.62033600000004</v>
      </c>
      <c r="Y13" s="134">
        <f t="shared" si="14"/>
        <v>188.38143000000005</v>
      </c>
      <c r="Z13" s="33">
        <f t="shared" si="14"/>
        <v>185.14252400000004</v>
      </c>
      <c r="AA13" s="33">
        <f t="shared" si="14"/>
        <v>181.90361800000002</v>
      </c>
      <c r="AB13" s="33">
        <f t="shared" si="14"/>
        <v>178.66471200000004</v>
      </c>
      <c r="AC13" s="33">
        <f t="shared" si="14"/>
        <v>175.42580600000002</v>
      </c>
      <c r="AD13" s="33">
        <f t="shared" si="14"/>
        <v>172.18690000000004</v>
      </c>
      <c r="AE13" s="33">
        <f t="shared" si="14"/>
        <v>170.48423400000001</v>
      </c>
      <c r="AF13" s="33">
        <f t="shared" si="14"/>
        <v>168.78156799999999</v>
      </c>
      <c r="AG13" s="33">
        <f t="shared" si="14"/>
        <v>167.07890199999997</v>
      </c>
      <c r="AH13" s="33">
        <f t="shared" si="14"/>
        <v>165.37623599999998</v>
      </c>
      <c r="AI13" s="33">
        <f t="shared" si="14"/>
        <v>163.67356999999996</v>
      </c>
      <c r="AJ13" s="33">
        <f t="shared" si="14"/>
        <v>161.97090399999996</v>
      </c>
      <c r="AK13" s="33">
        <f t="shared" si="14"/>
        <v>160.26823799999997</v>
      </c>
      <c r="AL13" s="33">
        <f t="shared" si="14"/>
        <v>158.56557199999997</v>
      </c>
      <c r="AM13" s="33">
        <f t="shared" si="14"/>
        <v>156.86290599999998</v>
      </c>
      <c r="AN13" s="134">
        <f t="shared" ref="AN13:BH13" si="15">AN7*$B$13</f>
        <v>155.16024000000004</v>
      </c>
      <c r="AO13" s="33">
        <f t="shared" si="15"/>
        <v>151.39645200000004</v>
      </c>
      <c r="AP13" s="33">
        <f t="shared" si="15"/>
        <v>147.63266400000003</v>
      </c>
      <c r="AQ13" s="33">
        <f t="shared" si="15"/>
        <v>143.86887600000003</v>
      </c>
      <c r="AR13" s="33">
        <f t="shared" si="15"/>
        <v>140.10508800000005</v>
      </c>
      <c r="AS13" s="33">
        <f t="shared" si="15"/>
        <v>136.34130000000005</v>
      </c>
      <c r="AT13" s="33">
        <f t="shared" si="15"/>
        <v>132.57751200000004</v>
      </c>
      <c r="AU13" s="33">
        <f t="shared" si="15"/>
        <v>128.81372400000004</v>
      </c>
      <c r="AV13" s="33">
        <f t="shared" si="15"/>
        <v>125.04993600000005</v>
      </c>
      <c r="AW13" s="33">
        <f t="shared" si="15"/>
        <v>121.28614800000005</v>
      </c>
      <c r="AX13" s="33">
        <f t="shared" si="15"/>
        <v>117.52236000000002</v>
      </c>
      <c r="AY13" s="33">
        <f t="shared" si="15"/>
        <v>115.18599500000002</v>
      </c>
      <c r="AZ13" s="33">
        <f t="shared" si="15"/>
        <v>112.84963</v>
      </c>
      <c r="BA13" s="33">
        <f t="shared" si="15"/>
        <v>110.513265</v>
      </c>
      <c r="BB13" s="33">
        <f t="shared" si="15"/>
        <v>108.1769</v>
      </c>
      <c r="BC13" s="33">
        <f t="shared" si="15"/>
        <v>105.840535</v>
      </c>
      <c r="BD13" s="33">
        <f t="shared" si="15"/>
        <v>103.50416999999999</v>
      </c>
      <c r="BE13" s="33">
        <f t="shared" si="15"/>
        <v>101.16780499999999</v>
      </c>
      <c r="BF13" s="33">
        <f t="shared" si="15"/>
        <v>98.831439999999986</v>
      </c>
      <c r="BG13" s="33">
        <f t="shared" si="15"/>
        <v>96.495074999999986</v>
      </c>
      <c r="BH13" s="144">
        <f t="shared" si="15"/>
        <v>94.158710000000013</v>
      </c>
      <c r="BI13" s="33"/>
      <c r="BJ13" s="108">
        <f t="shared" si="13"/>
        <v>-9.1989231457082783E-3</v>
      </c>
      <c r="BK13" s="108">
        <f t="shared" si="10"/>
        <v>-9.6400373472336452E-3</v>
      </c>
      <c r="BL13" s="108">
        <f>(AN13/I13)^(1/31)-1</f>
        <v>-1.077079428623573E-2</v>
      </c>
      <c r="BM13" s="67">
        <f>(BH13/I13)^(1/51)-1</f>
        <v>-1.6242766126865815E-2</v>
      </c>
    </row>
    <row r="14" spans="1:65" outlineLevel="1">
      <c r="A14" s="157" t="s">
        <v>140</v>
      </c>
      <c r="B14" s="21">
        <f>Catalogues!H13/1000000</f>
        <v>3.16</v>
      </c>
      <c r="H14" s="134">
        <f t="shared" ref="H14:AM14" si="16">H7*$B$14</f>
        <v>1027.0000000013213</v>
      </c>
      <c r="I14" s="134">
        <f t="shared" si="16"/>
        <v>1071.556</v>
      </c>
      <c r="J14" s="33">
        <f t="shared" si="16"/>
        <v>1065.954181818182</v>
      </c>
      <c r="K14" s="33">
        <f>K7*$B$14</f>
        <v>1060.3523636363639</v>
      </c>
      <c r="L14" s="33">
        <f t="shared" si="16"/>
        <v>1054.7505454545458</v>
      </c>
      <c r="M14" s="33">
        <f t="shared" si="16"/>
        <v>1049.1487272727277</v>
      </c>
      <c r="N14" s="33">
        <f t="shared" si="16"/>
        <v>1043.5469090909096</v>
      </c>
      <c r="O14" s="33">
        <f t="shared" si="16"/>
        <v>1037.9450909090915</v>
      </c>
      <c r="P14" s="33">
        <f t="shared" si="16"/>
        <v>1032.3432727272734</v>
      </c>
      <c r="Q14" s="33">
        <f t="shared" si="16"/>
        <v>1026.7414545454551</v>
      </c>
      <c r="R14" s="33">
        <f t="shared" si="16"/>
        <v>1021.1396363636371</v>
      </c>
      <c r="S14" s="33">
        <f t="shared" si="16"/>
        <v>1015.5378181818189</v>
      </c>
      <c r="T14" s="33">
        <f t="shared" si="16"/>
        <v>1009.9360000000001</v>
      </c>
      <c r="U14" s="33">
        <f t="shared" si="16"/>
        <v>993.94640000000015</v>
      </c>
      <c r="V14" s="33">
        <f t="shared" si="16"/>
        <v>977.95680000000016</v>
      </c>
      <c r="W14" s="33">
        <f t="shared" si="16"/>
        <v>961.96720000000005</v>
      </c>
      <c r="X14" s="33">
        <f t="shared" si="16"/>
        <v>945.97760000000005</v>
      </c>
      <c r="Y14" s="134">
        <f t="shared" si="16"/>
        <v>929.98800000000006</v>
      </c>
      <c r="Z14" s="33">
        <f t="shared" si="16"/>
        <v>913.99840000000006</v>
      </c>
      <c r="AA14" s="33">
        <f t="shared" si="16"/>
        <v>898.00880000000006</v>
      </c>
      <c r="AB14" s="33">
        <f t="shared" si="16"/>
        <v>882.01920000000007</v>
      </c>
      <c r="AC14" s="33">
        <f t="shared" si="16"/>
        <v>866.02960000000007</v>
      </c>
      <c r="AD14" s="33">
        <f t="shared" si="16"/>
        <v>850.04000000000008</v>
      </c>
      <c r="AE14" s="33">
        <f t="shared" si="16"/>
        <v>841.63439999999991</v>
      </c>
      <c r="AF14" s="33">
        <f t="shared" si="16"/>
        <v>833.22879999999986</v>
      </c>
      <c r="AG14" s="33">
        <f t="shared" si="16"/>
        <v>824.82319999999982</v>
      </c>
      <c r="AH14" s="33">
        <f t="shared" si="16"/>
        <v>816.41759999999977</v>
      </c>
      <c r="AI14" s="33">
        <f t="shared" si="16"/>
        <v>808.01199999999972</v>
      </c>
      <c r="AJ14" s="33">
        <f t="shared" si="16"/>
        <v>799.60639999999978</v>
      </c>
      <c r="AK14" s="33">
        <f t="shared" si="16"/>
        <v>791.20079999999973</v>
      </c>
      <c r="AL14" s="33">
        <f t="shared" si="16"/>
        <v>782.7951999999998</v>
      </c>
      <c r="AM14" s="33">
        <f t="shared" si="16"/>
        <v>774.38959999999975</v>
      </c>
      <c r="AN14" s="134">
        <f t="shared" ref="AN14:BH14" si="17">AN7*$B$14</f>
        <v>765.98400000000004</v>
      </c>
      <c r="AO14" s="33">
        <f t="shared" si="17"/>
        <v>747.40320000000008</v>
      </c>
      <c r="AP14" s="33">
        <f t="shared" si="17"/>
        <v>728.82240000000013</v>
      </c>
      <c r="AQ14" s="33">
        <f t="shared" si="17"/>
        <v>710.24160000000006</v>
      </c>
      <c r="AR14" s="33">
        <f t="shared" si="17"/>
        <v>691.66080000000011</v>
      </c>
      <c r="AS14" s="33">
        <f t="shared" si="17"/>
        <v>673.08000000000015</v>
      </c>
      <c r="AT14" s="33">
        <f t="shared" si="17"/>
        <v>654.49920000000009</v>
      </c>
      <c r="AU14" s="33">
        <f t="shared" si="17"/>
        <v>635.91840000000013</v>
      </c>
      <c r="AV14" s="33">
        <f t="shared" si="17"/>
        <v>617.33760000000018</v>
      </c>
      <c r="AW14" s="33">
        <f t="shared" si="17"/>
        <v>598.75680000000023</v>
      </c>
      <c r="AX14" s="33">
        <f t="shared" si="17"/>
        <v>580.17600000000004</v>
      </c>
      <c r="AY14" s="33">
        <f t="shared" si="17"/>
        <v>568.64199999999994</v>
      </c>
      <c r="AZ14" s="33">
        <f t="shared" si="17"/>
        <v>557.10799999999995</v>
      </c>
      <c r="BA14" s="33">
        <f t="shared" si="17"/>
        <v>545.57399999999996</v>
      </c>
      <c r="BB14" s="33">
        <f t="shared" si="17"/>
        <v>534.04</v>
      </c>
      <c r="BC14" s="33">
        <f t="shared" si="17"/>
        <v>522.50599999999997</v>
      </c>
      <c r="BD14" s="33">
        <f t="shared" si="17"/>
        <v>510.97199999999992</v>
      </c>
      <c r="BE14" s="33">
        <f t="shared" si="17"/>
        <v>499.43799999999987</v>
      </c>
      <c r="BF14" s="33">
        <f t="shared" si="17"/>
        <v>487.90399999999988</v>
      </c>
      <c r="BG14" s="33">
        <f t="shared" si="17"/>
        <v>476.36999999999983</v>
      </c>
      <c r="BH14" s="144">
        <f t="shared" si="17"/>
        <v>464.83600000000001</v>
      </c>
      <c r="BI14" s="33"/>
      <c r="BJ14" s="108">
        <f t="shared" si="13"/>
        <v>-9.1989231457082783E-3</v>
      </c>
      <c r="BK14" s="108">
        <f t="shared" si="10"/>
        <v>-9.6400373472336452E-3</v>
      </c>
      <c r="BL14" s="108">
        <f t="shared" ref="BL14:BL16" si="18">(AN14/I14)^(1/31)-1</f>
        <v>-1.077079428623573E-2</v>
      </c>
      <c r="BM14" s="67">
        <f t="shared" ref="BM14:BM16" si="19">(BH14/I14)^(1/51)-1</f>
        <v>-1.6242766126865815E-2</v>
      </c>
    </row>
    <row r="15" spans="1:65" outlineLevel="1">
      <c r="A15" s="70" t="s">
        <v>446</v>
      </c>
      <c r="B15" s="158"/>
      <c r="C15" s="159"/>
      <c r="D15" s="159"/>
      <c r="E15" s="160"/>
      <c r="F15" s="161"/>
      <c r="G15" s="161"/>
      <c r="H15" s="135">
        <f t="shared" ref="H15:I15" si="20">SUM(H11:H14)</f>
        <v>1235.0325000015889</v>
      </c>
      <c r="I15" s="135">
        <f t="shared" si="20"/>
        <v>1288.61391</v>
      </c>
      <c r="J15" s="71">
        <f>SUM(J11:J14)</f>
        <v>1283.4803203636366</v>
      </c>
      <c r="K15" s="71">
        <f>SUM(K11:K14)</f>
        <v>1278.3467307272731</v>
      </c>
      <c r="L15" s="71">
        <f t="shared" ref="L15:AO15" si="21">SUM(L11:L14)</f>
        <v>1273.2131410909096</v>
      </c>
      <c r="M15" s="71">
        <f t="shared" si="21"/>
        <v>1268.0795514545459</v>
      </c>
      <c r="N15" s="71">
        <f t="shared" si="21"/>
        <v>1262.9459618181825</v>
      </c>
      <c r="O15" s="71">
        <f t="shared" si="21"/>
        <v>1257.812372181819</v>
      </c>
      <c r="P15" s="71">
        <f t="shared" si="21"/>
        <v>1252.6787825454553</v>
      </c>
      <c r="Q15" s="71">
        <f t="shared" si="21"/>
        <v>1247.5451929090916</v>
      </c>
      <c r="R15" s="71">
        <f t="shared" si="21"/>
        <v>1242.4116032727281</v>
      </c>
      <c r="S15" s="71">
        <f t="shared" si="21"/>
        <v>1237.2780136363644</v>
      </c>
      <c r="T15" s="71">
        <f t="shared" si="21"/>
        <v>1232.1444240000001</v>
      </c>
      <c r="U15" s="71">
        <f t="shared" si="21"/>
        <v>1219.1974833000002</v>
      </c>
      <c r="V15" s="71">
        <f t="shared" si="21"/>
        <v>1206.2505426000002</v>
      </c>
      <c r="W15" s="71">
        <f t="shared" si="21"/>
        <v>1193.3036019000001</v>
      </c>
      <c r="X15" s="71">
        <f t="shared" si="21"/>
        <v>1180.3566612</v>
      </c>
      <c r="Y15" s="135">
        <f t="shared" si="21"/>
        <v>1167.4097205</v>
      </c>
      <c r="Z15" s="71">
        <f t="shared" si="21"/>
        <v>1154.4627798000001</v>
      </c>
      <c r="AA15" s="71">
        <f t="shared" si="21"/>
        <v>1141.5158391</v>
      </c>
      <c r="AB15" s="71">
        <f t="shared" si="21"/>
        <v>1128.5688984000001</v>
      </c>
      <c r="AC15" s="71">
        <f t="shared" si="21"/>
        <v>1115.6219577000002</v>
      </c>
      <c r="AD15" s="71">
        <f t="shared" si="21"/>
        <v>1102.675017</v>
      </c>
      <c r="AE15" s="71">
        <f t="shared" si="21"/>
        <v>1097.4745801499998</v>
      </c>
      <c r="AF15" s="71">
        <f t="shared" si="21"/>
        <v>1092.2741432999999</v>
      </c>
      <c r="AG15" s="71">
        <f t="shared" si="21"/>
        <v>1087.0737064499999</v>
      </c>
      <c r="AH15" s="71">
        <f t="shared" si="21"/>
        <v>1081.8732695999997</v>
      </c>
      <c r="AI15" s="71">
        <f t="shared" si="21"/>
        <v>1076.6728327499998</v>
      </c>
      <c r="AJ15" s="71">
        <f t="shared" si="21"/>
        <v>1071.4723958999998</v>
      </c>
      <c r="AK15" s="71">
        <f t="shared" si="21"/>
        <v>1066.2719590499996</v>
      </c>
      <c r="AL15" s="71">
        <f t="shared" si="21"/>
        <v>1061.0715221999999</v>
      </c>
      <c r="AM15" s="71">
        <f t="shared" si="21"/>
        <v>1055.8710853499997</v>
      </c>
      <c r="AN15" s="135">
        <f t="shared" si="21"/>
        <v>1050.6706485</v>
      </c>
      <c r="AO15" s="71">
        <f t="shared" si="21"/>
        <v>1030.0893069000001</v>
      </c>
      <c r="AP15" s="71">
        <f t="shared" ref="AP15:BH15" si="22">SUM(AP11:AP14)</f>
        <v>1009.5079653000003</v>
      </c>
      <c r="AQ15" s="71">
        <f t="shared" si="22"/>
        <v>988.92662370000016</v>
      </c>
      <c r="AR15" s="71">
        <f t="shared" si="22"/>
        <v>968.34528210000019</v>
      </c>
      <c r="AS15" s="71">
        <f t="shared" si="22"/>
        <v>947.76394050000022</v>
      </c>
      <c r="AT15" s="71">
        <f t="shared" si="22"/>
        <v>927.18259890000013</v>
      </c>
      <c r="AU15" s="71">
        <f t="shared" si="22"/>
        <v>906.60125730000016</v>
      </c>
      <c r="AV15" s="71">
        <f t="shared" si="22"/>
        <v>886.01991570000018</v>
      </c>
      <c r="AW15" s="71">
        <f t="shared" si="22"/>
        <v>865.43857410000032</v>
      </c>
      <c r="AX15" s="71">
        <f t="shared" si="22"/>
        <v>844.85723250000012</v>
      </c>
      <c r="AY15" s="71">
        <f t="shared" si="22"/>
        <v>837.63324239999997</v>
      </c>
      <c r="AZ15" s="71">
        <f t="shared" si="22"/>
        <v>830.40925229999993</v>
      </c>
      <c r="BA15" s="71">
        <f t="shared" si="22"/>
        <v>823.18526220000001</v>
      </c>
      <c r="BB15" s="71">
        <f t="shared" si="22"/>
        <v>815.96127210000009</v>
      </c>
      <c r="BC15" s="71">
        <f t="shared" si="22"/>
        <v>808.73728200000005</v>
      </c>
      <c r="BD15" s="71">
        <f t="shared" si="22"/>
        <v>801.51329190000001</v>
      </c>
      <c r="BE15" s="71">
        <f t="shared" si="22"/>
        <v>794.28930179999998</v>
      </c>
      <c r="BF15" s="71">
        <f t="shared" si="22"/>
        <v>787.06531169999994</v>
      </c>
      <c r="BG15" s="71">
        <f t="shared" si="22"/>
        <v>779.8413215999999</v>
      </c>
      <c r="BH15" s="145">
        <f t="shared" si="22"/>
        <v>772.61733150000009</v>
      </c>
      <c r="BI15" s="71"/>
      <c r="BJ15" s="108">
        <f t="shared" si="13"/>
        <v>-5.9564692116703608E-3</v>
      </c>
      <c r="BK15" s="108">
        <f t="shared" si="10"/>
        <v>-6.3685461556601567E-3</v>
      </c>
      <c r="BL15" s="108">
        <f t="shared" si="18"/>
        <v>-6.5634778945676819E-3</v>
      </c>
      <c r="BM15" s="67">
        <f t="shared" si="19"/>
        <v>-9.9800332477159026E-3</v>
      </c>
    </row>
    <row r="16" spans="1:65" outlineLevel="1">
      <c r="A16" s="162" t="s">
        <v>447</v>
      </c>
      <c r="B16" s="163">
        <f>SUM(B24:B25)</f>
        <v>0.94</v>
      </c>
      <c r="C16" s="164"/>
      <c r="D16" s="164"/>
      <c r="E16" s="165"/>
      <c r="F16" s="166"/>
      <c r="G16" s="166"/>
      <c r="H16" s="167">
        <f>H15*$B$16</f>
        <v>1160.9305500014934</v>
      </c>
      <c r="I16" s="167">
        <f t="shared" ref="I16:BG16" si="23">I15*$B$16</f>
        <v>1211.2970754</v>
      </c>
      <c r="J16" s="168">
        <f>J15*$B$16</f>
        <v>1206.4715011418184</v>
      </c>
      <c r="K16" s="168">
        <f t="shared" si="23"/>
        <v>1201.6459268836365</v>
      </c>
      <c r="L16" s="168">
        <f t="shared" si="23"/>
        <v>1196.8203526254549</v>
      </c>
      <c r="M16" s="168">
        <f t="shared" si="23"/>
        <v>1191.9947783672731</v>
      </c>
      <c r="N16" s="168">
        <f t="shared" si="23"/>
        <v>1187.1692041090914</v>
      </c>
      <c r="O16" s="168">
        <f t="shared" si="23"/>
        <v>1182.3436298509098</v>
      </c>
      <c r="P16" s="168">
        <f t="shared" si="23"/>
        <v>1177.5180555927279</v>
      </c>
      <c r="Q16" s="168">
        <f t="shared" si="23"/>
        <v>1172.6924813345461</v>
      </c>
      <c r="R16" s="168">
        <f t="shared" si="23"/>
        <v>1167.8669070763644</v>
      </c>
      <c r="S16" s="168">
        <f t="shared" si="23"/>
        <v>1163.0413328181826</v>
      </c>
      <c r="T16" s="168">
        <f t="shared" si="23"/>
        <v>1158.21575856</v>
      </c>
      <c r="U16" s="168">
        <f t="shared" si="23"/>
        <v>1146.0456343020001</v>
      </c>
      <c r="V16" s="168">
        <f t="shared" si="23"/>
        <v>1133.8755100440001</v>
      </c>
      <c r="W16" s="168">
        <f t="shared" si="23"/>
        <v>1121.7053857860001</v>
      </c>
      <c r="X16" s="168">
        <f t="shared" si="23"/>
        <v>1109.5352615279999</v>
      </c>
      <c r="Y16" s="167">
        <f t="shared" si="23"/>
        <v>1097.3651372699999</v>
      </c>
      <c r="Z16" s="168">
        <f t="shared" si="23"/>
        <v>1085.1950130120001</v>
      </c>
      <c r="AA16" s="168">
        <f t="shared" si="23"/>
        <v>1073.0248887539999</v>
      </c>
      <c r="AB16" s="168">
        <f t="shared" si="23"/>
        <v>1060.8547644959999</v>
      </c>
      <c r="AC16" s="168">
        <f t="shared" si="23"/>
        <v>1048.6846402380002</v>
      </c>
      <c r="AD16" s="168">
        <f t="shared" si="23"/>
        <v>1036.5145159799999</v>
      </c>
      <c r="AE16" s="168">
        <f t="shared" si="23"/>
        <v>1031.6261053409999</v>
      </c>
      <c r="AF16" s="168">
        <f t="shared" si="23"/>
        <v>1026.7376947019998</v>
      </c>
      <c r="AG16" s="168">
        <f t="shared" si="23"/>
        <v>1021.8492840629999</v>
      </c>
      <c r="AH16" s="168">
        <f t="shared" si="23"/>
        <v>1016.9608734239997</v>
      </c>
      <c r="AI16" s="168">
        <f t="shared" si="23"/>
        <v>1012.0724627849997</v>
      </c>
      <c r="AJ16" s="168">
        <f t="shared" si="23"/>
        <v>1007.1840521459998</v>
      </c>
      <c r="AK16" s="168">
        <f t="shared" si="23"/>
        <v>1002.2956415069996</v>
      </c>
      <c r="AL16" s="168">
        <f t="shared" si="23"/>
        <v>997.40723086799983</v>
      </c>
      <c r="AM16" s="168">
        <f t="shared" si="23"/>
        <v>992.51882022899963</v>
      </c>
      <c r="AN16" s="167">
        <f t="shared" si="23"/>
        <v>987.63040958999989</v>
      </c>
      <c r="AO16" s="71">
        <f t="shared" si="23"/>
        <v>968.2839484860001</v>
      </c>
      <c r="AP16" s="71">
        <f t="shared" si="23"/>
        <v>948.9374873820002</v>
      </c>
      <c r="AQ16" s="71">
        <f t="shared" si="23"/>
        <v>929.59102627800007</v>
      </c>
      <c r="AR16" s="71">
        <f t="shared" si="23"/>
        <v>910.24456517400017</v>
      </c>
      <c r="AS16" s="71">
        <f t="shared" si="23"/>
        <v>890.89810407000016</v>
      </c>
      <c r="AT16" s="71">
        <f t="shared" si="23"/>
        <v>871.55164296600003</v>
      </c>
      <c r="AU16" s="71">
        <f t="shared" si="23"/>
        <v>852.20518186200013</v>
      </c>
      <c r="AV16" s="71">
        <f t="shared" si="23"/>
        <v>832.85872075800012</v>
      </c>
      <c r="AW16" s="71">
        <f t="shared" si="23"/>
        <v>813.51225965400022</v>
      </c>
      <c r="AX16" s="71">
        <f t="shared" si="23"/>
        <v>794.16579855000009</v>
      </c>
      <c r="AY16" s="71">
        <f t="shared" si="23"/>
        <v>787.37524785599987</v>
      </c>
      <c r="AZ16" s="71">
        <f t="shared" si="23"/>
        <v>780.58469716199988</v>
      </c>
      <c r="BA16" s="71">
        <f t="shared" si="23"/>
        <v>773.79414646800001</v>
      </c>
      <c r="BB16" s="71">
        <f t="shared" si="23"/>
        <v>767.00359577400002</v>
      </c>
      <c r="BC16" s="71">
        <f t="shared" si="23"/>
        <v>760.21304508000003</v>
      </c>
      <c r="BD16" s="71">
        <f t="shared" si="23"/>
        <v>753.42249438599993</v>
      </c>
      <c r="BE16" s="71">
        <f t="shared" si="23"/>
        <v>746.63194369199994</v>
      </c>
      <c r="BF16" s="71">
        <f t="shared" si="23"/>
        <v>739.84139299799995</v>
      </c>
      <c r="BG16" s="71">
        <f t="shared" si="23"/>
        <v>733.05084230399984</v>
      </c>
      <c r="BH16" s="193">
        <f>BH15*$B$16</f>
        <v>726.26029161000008</v>
      </c>
      <c r="BI16" s="168"/>
      <c r="BJ16" s="179">
        <f t="shared" si="13"/>
        <v>-5.9564692116703642E-3</v>
      </c>
      <c r="BK16" s="179">
        <f t="shared" si="10"/>
        <v>-6.3685461556601567E-3</v>
      </c>
      <c r="BL16" s="179">
        <f t="shared" si="18"/>
        <v>-6.5634778945676819E-3</v>
      </c>
      <c r="BM16" s="181">
        <f t="shared" si="19"/>
        <v>-9.9800332477159026E-3</v>
      </c>
    </row>
    <row r="17" spans="1:70" outlineLevel="1">
      <c r="A17" s="70" t="s">
        <v>617</v>
      </c>
      <c r="B17" s="158"/>
      <c r="C17" s="159"/>
      <c r="D17" s="159"/>
      <c r="E17" s="160"/>
      <c r="F17" s="161"/>
      <c r="G17" s="161"/>
      <c r="H17" s="135"/>
      <c r="I17" s="135"/>
      <c r="J17" s="338">
        <f>J16*$I$19/$I$16</f>
        <v>1108.8080640473377</v>
      </c>
      <c r="K17" s="338">
        <f t="shared" ref="K17:AN17" si="24">K16*$I$19/$I$16</f>
        <v>1104.3731183017753</v>
      </c>
      <c r="L17" s="338">
        <f t="shared" si="24"/>
        <v>1099.938172556213</v>
      </c>
      <c r="M17" s="338">
        <f t="shared" si="24"/>
        <v>1095.5032268106504</v>
      </c>
      <c r="N17" s="338">
        <f t="shared" si="24"/>
        <v>1091.0682810650883</v>
      </c>
      <c r="O17" s="338">
        <f t="shared" si="24"/>
        <v>1086.6333353195259</v>
      </c>
      <c r="P17" s="338">
        <f t="shared" si="24"/>
        <v>1082.1983895739636</v>
      </c>
      <c r="Q17" s="338">
        <f t="shared" si="24"/>
        <v>1077.763443828401</v>
      </c>
      <c r="R17" s="338">
        <f t="shared" si="24"/>
        <v>1073.3284980828387</v>
      </c>
      <c r="S17" s="338">
        <f t="shared" si="24"/>
        <v>1068.8935523372761</v>
      </c>
      <c r="T17" s="338">
        <f t="shared" si="24"/>
        <v>1064.4586065917131</v>
      </c>
      <c r="U17" s="338">
        <f t="shared" si="24"/>
        <v>1053.273649545519</v>
      </c>
      <c r="V17" s="338">
        <f t="shared" si="24"/>
        <v>1042.0886924993249</v>
      </c>
      <c r="W17" s="338">
        <f t="shared" si="24"/>
        <v>1030.9037354531308</v>
      </c>
      <c r="X17" s="338">
        <f t="shared" si="24"/>
        <v>1019.7187784069365</v>
      </c>
      <c r="Y17" s="339">
        <f t="shared" si="24"/>
        <v>1008.5338213607426</v>
      </c>
      <c r="Z17" s="338">
        <f t="shared" si="24"/>
        <v>997.34886431454868</v>
      </c>
      <c r="AA17" s="338">
        <f t="shared" si="24"/>
        <v>986.16390726835436</v>
      </c>
      <c r="AB17" s="338">
        <f t="shared" si="24"/>
        <v>974.97895022216039</v>
      </c>
      <c r="AC17" s="338">
        <f t="shared" si="24"/>
        <v>963.79399317596642</v>
      </c>
      <c r="AD17" s="338">
        <f t="shared" si="24"/>
        <v>952.60903612977233</v>
      </c>
      <c r="AE17" s="338">
        <f t="shared" si="24"/>
        <v>948.11634058597519</v>
      </c>
      <c r="AF17" s="338">
        <f t="shared" si="24"/>
        <v>943.62364504217805</v>
      </c>
      <c r="AG17" s="338">
        <f t="shared" si="24"/>
        <v>939.13094949838103</v>
      </c>
      <c r="AH17" s="338">
        <f t="shared" si="24"/>
        <v>934.63825395458389</v>
      </c>
      <c r="AI17" s="338">
        <f t="shared" si="24"/>
        <v>930.14555841078675</v>
      </c>
      <c r="AJ17" s="338">
        <f t="shared" si="24"/>
        <v>925.65286286698972</v>
      </c>
      <c r="AK17" s="338">
        <f t="shared" si="24"/>
        <v>921.16016732319235</v>
      </c>
      <c r="AL17" s="338">
        <f t="shared" si="24"/>
        <v>916.66747177939567</v>
      </c>
      <c r="AM17" s="338">
        <f t="shared" si="24"/>
        <v>912.17477623559842</v>
      </c>
      <c r="AN17" s="339">
        <f t="shared" si="24"/>
        <v>907.6820806918015</v>
      </c>
      <c r="AO17" s="71"/>
      <c r="AP17" s="71"/>
      <c r="AQ17" s="71"/>
      <c r="AR17" s="71"/>
      <c r="AS17" s="71"/>
      <c r="AT17" s="71"/>
      <c r="AU17" s="71"/>
      <c r="AV17" s="71"/>
      <c r="AW17" s="71"/>
      <c r="AX17" s="71"/>
      <c r="AY17" s="71"/>
      <c r="AZ17" s="71"/>
      <c r="BA17" s="71"/>
      <c r="BB17" s="71"/>
      <c r="BC17" s="71"/>
      <c r="BD17" s="71"/>
      <c r="BE17" s="71"/>
      <c r="BF17" s="71"/>
      <c r="BG17" s="71"/>
      <c r="BH17" s="145"/>
      <c r="BI17" s="71"/>
      <c r="BJ17" s="176"/>
      <c r="BK17" s="176"/>
      <c r="BL17" s="176"/>
      <c r="BM17" s="100"/>
    </row>
    <row r="18" spans="1:70" outlineLevel="1">
      <c r="B18" s="69"/>
      <c r="C18" s="73"/>
      <c r="D18" s="73"/>
      <c r="E18" s="73"/>
      <c r="F18" s="73"/>
      <c r="G18" s="73"/>
      <c r="H18" s="134"/>
      <c r="I18" s="134"/>
      <c r="BJ18" s="109"/>
      <c r="BK18" s="1"/>
      <c r="BL18" s="1"/>
    </row>
    <row r="19" spans="1:70" s="15" customFormat="1">
      <c r="A19" s="70" t="s">
        <v>451</v>
      </c>
      <c r="B19" s="169">
        <v>1</v>
      </c>
      <c r="C19" s="101">
        <f t="shared" ref="C19:D19" si="25">C20+C21</f>
        <v>854.62347474500007</v>
      </c>
      <c r="D19" s="101">
        <f t="shared" si="25"/>
        <v>902.30847678179998</v>
      </c>
      <c r="E19" s="101">
        <f>E20+E21</f>
        <v>949.99347881860001</v>
      </c>
      <c r="F19" s="101">
        <f>F20+F21</f>
        <v>997.67848085539993</v>
      </c>
      <c r="G19" s="101">
        <f>G20+G21</f>
        <v>1045.3634828922</v>
      </c>
      <c r="H19" s="148">
        <f>H20+H21</f>
        <v>1093.0484849290001</v>
      </c>
      <c r="I19" s="148">
        <f>I20+I21</f>
        <v>1113.2430097929</v>
      </c>
      <c r="J19" s="338">
        <f>J17*($B$20+$B$21)</f>
        <v>1108.8080640473377</v>
      </c>
      <c r="K19" s="338">
        <f t="shared" ref="K19:AN19" si="26">K17*($B$20+$B$21)</f>
        <v>1104.3731183017753</v>
      </c>
      <c r="L19" s="338">
        <f t="shared" si="26"/>
        <v>1099.938172556213</v>
      </c>
      <c r="M19" s="338">
        <f t="shared" si="26"/>
        <v>1095.5032268106504</v>
      </c>
      <c r="N19" s="338">
        <f t="shared" si="26"/>
        <v>1091.0682810650883</v>
      </c>
      <c r="O19" s="338">
        <f t="shared" si="26"/>
        <v>1086.6333353195259</v>
      </c>
      <c r="P19" s="338">
        <f t="shared" si="26"/>
        <v>1082.1983895739636</v>
      </c>
      <c r="Q19" s="338">
        <f t="shared" si="26"/>
        <v>1077.763443828401</v>
      </c>
      <c r="R19" s="338">
        <f t="shared" si="26"/>
        <v>1073.3284980828387</v>
      </c>
      <c r="S19" s="338">
        <f t="shared" si="26"/>
        <v>1068.8935523372761</v>
      </c>
      <c r="T19" s="338">
        <f t="shared" si="26"/>
        <v>1064.4586065917131</v>
      </c>
      <c r="U19" s="338">
        <f t="shared" si="26"/>
        <v>1053.273649545519</v>
      </c>
      <c r="V19" s="338">
        <f t="shared" si="26"/>
        <v>1042.0886924993249</v>
      </c>
      <c r="W19" s="338">
        <f t="shared" si="26"/>
        <v>1030.9037354531308</v>
      </c>
      <c r="X19" s="338">
        <f t="shared" si="26"/>
        <v>1019.7187784069365</v>
      </c>
      <c r="Y19" s="341">
        <f t="shared" si="26"/>
        <v>1008.5338213607426</v>
      </c>
      <c r="Z19" s="338">
        <f t="shared" si="26"/>
        <v>997.34886431454868</v>
      </c>
      <c r="AA19" s="338">
        <f t="shared" si="26"/>
        <v>986.16390726835436</v>
      </c>
      <c r="AB19" s="338">
        <f t="shared" si="26"/>
        <v>974.97895022216039</v>
      </c>
      <c r="AC19" s="338">
        <f t="shared" si="26"/>
        <v>963.79399317596642</v>
      </c>
      <c r="AD19" s="338">
        <f t="shared" si="26"/>
        <v>952.60903612977233</v>
      </c>
      <c r="AE19" s="338">
        <f t="shared" si="26"/>
        <v>948.11634058597519</v>
      </c>
      <c r="AF19" s="338">
        <f t="shared" si="26"/>
        <v>943.62364504217805</v>
      </c>
      <c r="AG19" s="338">
        <f t="shared" si="26"/>
        <v>939.13094949838103</v>
      </c>
      <c r="AH19" s="338">
        <f t="shared" si="26"/>
        <v>934.63825395458389</v>
      </c>
      <c r="AI19" s="338">
        <f t="shared" si="26"/>
        <v>930.14555841078675</v>
      </c>
      <c r="AJ19" s="338">
        <f t="shared" si="26"/>
        <v>925.65286286698972</v>
      </c>
      <c r="AK19" s="338">
        <f t="shared" si="26"/>
        <v>921.16016732319235</v>
      </c>
      <c r="AL19" s="338">
        <f t="shared" si="26"/>
        <v>916.66747177939567</v>
      </c>
      <c r="AM19" s="338">
        <f t="shared" si="26"/>
        <v>912.17477623559842</v>
      </c>
      <c r="AN19" s="341">
        <f t="shared" si="26"/>
        <v>907.6820806918015</v>
      </c>
      <c r="AO19" s="71">
        <f t="shared" ref="AO19:BH19" si="27">AO16*($B$20+$B$21)</f>
        <v>968.2839484860001</v>
      </c>
      <c r="AP19" s="71">
        <f t="shared" si="27"/>
        <v>948.9374873820002</v>
      </c>
      <c r="AQ19" s="71">
        <f t="shared" si="27"/>
        <v>929.59102627800007</v>
      </c>
      <c r="AR19" s="71">
        <f t="shared" si="27"/>
        <v>910.24456517400017</v>
      </c>
      <c r="AS19" s="71">
        <f t="shared" si="27"/>
        <v>890.89810407000016</v>
      </c>
      <c r="AT19" s="71">
        <f t="shared" si="27"/>
        <v>871.55164296600003</v>
      </c>
      <c r="AU19" s="71">
        <f t="shared" si="27"/>
        <v>852.20518186200013</v>
      </c>
      <c r="AV19" s="71">
        <f t="shared" si="27"/>
        <v>832.85872075800012</v>
      </c>
      <c r="AW19" s="71">
        <f t="shared" si="27"/>
        <v>813.51225965400022</v>
      </c>
      <c r="AX19" s="71">
        <f t="shared" si="27"/>
        <v>794.16579855000009</v>
      </c>
      <c r="AY19" s="71">
        <f t="shared" si="27"/>
        <v>787.37524785599987</v>
      </c>
      <c r="AZ19" s="71">
        <f t="shared" si="27"/>
        <v>780.58469716199988</v>
      </c>
      <c r="BA19" s="71">
        <f t="shared" si="27"/>
        <v>773.79414646800001</v>
      </c>
      <c r="BB19" s="71">
        <f t="shared" si="27"/>
        <v>767.00359577400002</v>
      </c>
      <c r="BC19" s="71">
        <f t="shared" si="27"/>
        <v>760.21304508000003</v>
      </c>
      <c r="BD19" s="71">
        <f t="shared" si="27"/>
        <v>753.42249438599993</v>
      </c>
      <c r="BE19" s="71">
        <f t="shared" si="27"/>
        <v>746.63194369199994</v>
      </c>
      <c r="BF19" s="71">
        <f t="shared" si="27"/>
        <v>739.84139299799995</v>
      </c>
      <c r="BG19" s="71">
        <f t="shared" si="27"/>
        <v>733.05084230399984</v>
      </c>
      <c r="BH19" s="145">
        <f t="shared" si="27"/>
        <v>726.26029161000008</v>
      </c>
      <c r="BI19" s="71"/>
      <c r="BJ19" s="108">
        <f>IFERROR(-(1-(AN19/I19))/31,"")</f>
        <v>-5.9564692116703677E-3</v>
      </c>
      <c r="BK19" s="112">
        <f t="shared" ref="BK19:BK21" si="28">IFERROR(-(1-(BH19/I19))/51,"")</f>
        <v>-6.8160288168981386E-3</v>
      </c>
      <c r="BL19" s="108">
        <f t="shared" ref="BL19:BL21" si="29">IFERROR((AN19/I19)^(1/31)-1,"")</f>
        <v>-6.5634778945676819E-3</v>
      </c>
      <c r="BM19" s="67">
        <f t="shared" ref="BM19:BM21" si="30">IFERROR((BH19/I19)^(1/51)-1,"")</f>
        <v>-8.3400115622503934E-3</v>
      </c>
    </row>
    <row r="20" spans="1:70">
      <c r="A20" s="21" t="s">
        <v>141</v>
      </c>
      <c r="B20" s="72">
        <f>(I20/I19)</f>
        <v>0.92820725522115044</v>
      </c>
      <c r="C20" s="102">
        <f>GACA!D4</f>
        <v>780.71355318200006</v>
      </c>
      <c r="D20" s="102">
        <f>GACA!E4</f>
        <v>826.33519733460002</v>
      </c>
      <c r="E20" s="102">
        <f>GACA!F4</f>
        <v>871.95684148719999</v>
      </c>
      <c r="F20" s="102">
        <f>GACA!G4</f>
        <v>917.57848563979996</v>
      </c>
      <c r="G20" s="102">
        <f>GACA!H4</f>
        <v>963.20012979239993</v>
      </c>
      <c r="H20" s="149">
        <f>GACA!I4</f>
        <v>1008.821773945</v>
      </c>
      <c r="I20" s="149">
        <f>GACA!J4</f>
        <v>1033.320238514</v>
      </c>
      <c r="J20" s="342">
        <f>J17*$B$20</f>
        <v>1029.2036896964569</v>
      </c>
      <c r="K20" s="342">
        <f t="shared" ref="K20:AN20" si="31">K17*$B$20</f>
        <v>1025.0871408789137</v>
      </c>
      <c r="L20" s="342">
        <f t="shared" si="31"/>
        <v>1020.9705920613706</v>
      </c>
      <c r="M20" s="342">
        <f t="shared" si="31"/>
        <v>1016.8540432438273</v>
      </c>
      <c r="N20" s="342">
        <f t="shared" si="31"/>
        <v>1012.7374944262843</v>
      </c>
      <c r="O20" s="342">
        <f t="shared" si="31"/>
        <v>1008.6209456087412</v>
      </c>
      <c r="P20" s="342">
        <f t="shared" si="31"/>
        <v>1004.504396791198</v>
      </c>
      <c r="Q20" s="342">
        <f t="shared" si="31"/>
        <v>1000.3878479736546</v>
      </c>
      <c r="R20" s="342">
        <f t="shared" si="31"/>
        <v>996.27129915611147</v>
      </c>
      <c r="S20" s="342">
        <f t="shared" si="31"/>
        <v>992.15475033856819</v>
      </c>
      <c r="T20" s="342">
        <f t="shared" si="31"/>
        <v>988.03820152102435</v>
      </c>
      <c r="U20" s="342">
        <f t="shared" si="31"/>
        <v>977.65624324141015</v>
      </c>
      <c r="V20" s="342">
        <f t="shared" si="31"/>
        <v>967.27428496179584</v>
      </c>
      <c r="W20" s="342">
        <f t="shared" si="31"/>
        <v>956.89232668218153</v>
      </c>
      <c r="X20" s="342">
        <f t="shared" si="31"/>
        <v>946.51036840256711</v>
      </c>
      <c r="Y20" s="343">
        <f t="shared" si="31"/>
        <v>936.12841012295303</v>
      </c>
      <c r="Z20" s="342">
        <f t="shared" si="31"/>
        <v>925.74645184333883</v>
      </c>
      <c r="AA20" s="342">
        <f t="shared" si="31"/>
        <v>915.3644935637243</v>
      </c>
      <c r="AB20" s="342">
        <f t="shared" si="31"/>
        <v>904.98253528411021</v>
      </c>
      <c r="AC20" s="342">
        <f t="shared" si="31"/>
        <v>894.60057700449602</v>
      </c>
      <c r="AD20" s="342">
        <f t="shared" si="31"/>
        <v>884.21861872488171</v>
      </c>
      <c r="AE20" s="342">
        <f t="shared" si="31"/>
        <v>880.04846612562949</v>
      </c>
      <c r="AF20" s="342">
        <f t="shared" si="31"/>
        <v>875.87831352637727</v>
      </c>
      <c r="AG20" s="342">
        <f t="shared" si="31"/>
        <v>871.70816092712505</v>
      </c>
      <c r="AH20" s="342">
        <f t="shared" si="31"/>
        <v>867.53800832787283</v>
      </c>
      <c r="AI20" s="342">
        <f t="shared" si="31"/>
        <v>863.36785572862061</v>
      </c>
      <c r="AJ20" s="342">
        <f t="shared" si="31"/>
        <v>859.19770312936851</v>
      </c>
      <c r="AK20" s="342">
        <f t="shared" si="31"/>
        <v>855.02755053011606</v>
      </c>
      <c r="AL20" s="342">
        <f t="shared" si="31"/>
        <v>850.85739793086418</v>
      </c>
      <c r="AM20" s="342">
        <f t="shared" si="31"/>
        <v>846.68724533161185</v>
      </c>
      <c r="AN20" s="343">
        <f t="shared" si="31"/>
        <v>842.51709273235986</v>
      </c>
      <c r="AO20" s="99">
        <f t="shared" ref="AO20:BH20" si="32">AO16*$B$20</f>
        <v>898.76818609888801</v>
      </c>
      <c r="AP20" s="99">
        <f t="shared" si="32"/>
        <v>880.81066053930147</v>
      </c>
      <c r="AQ20" s="99">
        <f t="shared" si="32"/>
        <v>862.85313497971481</v>
      </c>
      <c r="AR20" s="99">
        <f t="shared" si="32"/>
        <v>844.89560942012827</v>
      </c>
      <c r="AS20" s="99">
        <f t="shared" si="32"/>
        <v>826.93808386054172</v>
      </c>
      <c r="AT20" s="99">
        <f t="shared" si="32"/>
        <v>808.98055830095495</v>
      </c>
      <c r="AU20" s="99">
        <f t="shared" si="32"/>
        <v>791.02303274136852</v>
      </c>
      <c r="AV20" s="99">
        <f t="shared" si="32"/>
        <v>773.06550718178187</v>
      </c>
      <c r="AW20" s="99">
        <f t="shared" si="32"/>
        <v>755.10798162219544</v>
      </c>
      <c r="AX20" s="99">
        <f t="shared" si="32"/>
        <v>737.15045606260867</v>
      </c>
      <c r="AY20" s="33">
        <f t="shared" si="32"/>
        <v>730.84741764149067</v>
      </c>
      <c r="AZ20" s="33">
        <f t="shared" si="32"/>
        <v>724.54437922037289</v>
      </c>
      <c r="BA20" s="33">
        <f t="shared" si="32"/>
        <v>718.24134079925511</v>
      </c>
      <c r="BB20" s="33">
        <f t="shared" si="32"/>
        <v>711.93830237813734</v>
      </c>
      <c r="BC20" s="33">
        <f t="shared" si="32"/>
        <v>705.63526395701956</v>
      </c>
      <c r="BD20" s="33">
        <f t="shared" si="32"/>
        <v>699.33222553590167</v>
      </c>
      <c r="BE20" s="33">
        <f t="shared" si="32"/>
        <v>693.02918711478378</v>
      </c>
      <c r="BF20" s="33">
        <f t="shared" si="32"/>
        <v>686.726148693666</v>
      </c>
      <c r="BG20" s="33">
        <f t="shared" si="32"/>
        <v>680.42311027254812</v>
      </c>
      <c r="BH20" s="144">
        <f t="shared" si="32"/>
        <v>674.12007185143045</v>
      </c>
      <c r="BI20" s="71"/>
      <c r="BJ20" s="108">
        <f t="shared" ref="BJ20:BJ21" si="33">IFERROR(-(1-(AN20/I20))/31,"")</f>
        <v>-5.9564692116703677E-3</v>
      </c>
      <c r="BK20" s="112">
        <f t="shared" si="28"/>
        <v>-6.8160288168981386E-3</v>
      </c>
      <c r="BL20" s="108">
        <f t="shared" si="29"/>
        <v>-6.5634778945676819E-3</v>
      </c>
      <c r="BM20" s="67">
        <f t="shared" si="30"/>
        <v>-8.3400115622503934E-3</v>
      </c>
    </row>
    <row r="21" spans="1:70">
      <c r="A21" s="21" t="s">
        <v>142</v>
      </c>
      <c r="B21" s="72">
        <f>(I21/I19)</f>
        <v>7.1792744778849574E-2</v>
      </c>
      <c r="C21" s="102">
        <f>GACA!D5</f>
        <v>73.909921562999997</v>
      </c>
      <c r="D21" s="102">
        <f>GACA!E5</f>
        <v>75.973279447199999</v>
      </c>
      <c r="E21" s="102">
        <f>GACA!F5</f>
        <v>78.036637331400001</v>
      </c>
      <c r="F21" s="102">
        <f>GACA!G5</f>
        <v>80.099995215600003</v>
      </c>
      <c r="G21" s="102">
        <f>GACA!H5</f>
        <v>82.163353099800005</v>
      </c>
      <c r="H21" s="149">
        <f>GACA!I5</f>
        <v>84.226710983999993</v>
      </c>
      <c r="I21" s="149">
        <f>GACA!J5</f>
        <v>79.922771278900001</v>
      </c>
      <c r="J21" s="342">
        <f>J17*$B$21</f>
        <v>79.604374350880803</v>
      </c>
      <c r="K21" s="342">
        <f t="shared" ref="K21:AN21" si="34">K17*$B$21</f>
        <v>79.285977422861606</v>
      </c>
      <c r="L21" s="342">
        <f t="shared" si="34"/>
        <v>78.967580494842395</v>
      </c>
      <c r="M21" s="342">
        <f t="shared" si="34"/>
        <v>78.649183566823183</v>
      </c>
      <c r="N21" s="342">
        <f t="shared" si="34"/>
        <v>78.330786638804</v>
      </c>
      <c r="O21" s="342">
        <f t="shared" si="34"/>
        <v>78.012389710784788</v>
      </c>
      <c r="P21" s="342">
        <f t="shared" si="34"/>
        <v>77.693992782765591</v>
      </c>
      <c r="Q21" s="342">
        <f t="shared" si="34"/>
        <v>77.375595854746379</v>
      </c>
      <c r="R21" s="342">
        <f t="shared" si="34"/>
        <v>77.057198926727168</v>
      </c>
      <c r="S21" s="342">
        <f t="shared" si="34"/>
        <v>76.738801998707956</v>
      </c>
      <c r="T21" s="342">
        <f t="shared" si="34"/>
        <v>76.420405070688702</v>
      </c>
      <c r="U21" s="342">
        <f t="shared" si="34"/>
        <v>75.617406304108897</v>
      </c>
      <c r="V21" s="342">
        <f t="shared" si="34"/>
        <v>74.814407537529092</v>
      </c>
      <c r="W21" s="342">
        <f t="shared" si="34"/>
        <v>74.011408770949274</v>
      </c>
      <c r="X21" s="342">
        <f t="shared" si="34"/>
        <v>73.208410004369455</v>
      </c>
      <c r="Y21" s="343">
        <f t="shared" si="34"/>
        <v>72.405411237789664</v>
      </c>
      <c r="Z21" s="342">
        <f t="shared" si="34"/>
        <v>71.60241247120986</v>
      </c>
      <c r="AA21" s="342">
        <f t="shared" si="34"/>
        <v>70.799413704630041</v>
      </c>
      <c r="AB21" s="342">
        <f t="shared" si="34"/>
        <v>69.99641493805025</v>
      </c>
      <c r="AC21" s="342">
        <f t="shared" si="34"/>
        <v>69.193416171470446</v>
      </c>
      <c r="AD21" s="342">
        <f t="shared" si="34"/>
        <v>68.390417404890641</v>
      </c>
      <c r="AE21" s="342">
        <f t="shared" si="34"/>
        <v>68.067874460345735</v>
      </c>
      <c r="AF21" s="342">
        <f t="shared" si="34"/>
        <v>67.745331515800828</v>
      </c>
      <c r="AG21" s="342">
        <f t="shared" si="34"/>
        <v>67.422788571255936</v>
      </c>
      <c r="AH21" s="342">
        <f t="shared" si="34"/>
        <v>67.100245626711029</v>
      </c>
      <c r="AI21" s="342">
        <f t="shared" si="34"/>
        <v>66.777702682166137</v>
      </c>
      <c r="AJ21" s="342">
        <f t="shared" si="34"/>
        <v>66.45515973762123</v>
      </c>
      <c r="AK21" s="342">
        <f t="shared" si="34"/>
        <v>66.132616793076323</v>
      </c>
      <c r="AL21" s="342">
        <f t="shared" si="34"/>
        <v>65.810073848531445</v>
      </c>
      <c r="AM21" s="342">
        <f t="shared" si="34"/>
        <v>65.487530903986539</v>
      </c>
      <c r="AN21" s="343">
        <f t="shared" si="34"/>
        <v>65.164987959441646</v>
      </c>
      <c r="AO21" s="99">
        <f t="shared" ref="AO21:BH21" si="35">AO16*$B$21</f>
        <v>69.515762387112133</v>
      </c>
      <c r="AP21" s="99">
        <f t="shared" si="35"/>
        <v>68.126826842698733</v>
      </c>
      <c r="AQ21" s="99">
        <f t="shared" si="35"/>
        <v>66.737891298285305</v>
      </c>
      <c r="AR21" s="99">
        <f t="shared" si="35"/>
        <v>65.348955753871905</v>
      </c>
      <c r="AS21" s="99">
        <f t="shared" si="35"/>
        <v>63.960020209458492</v>
      </c>
      <c r="AT21" s="99">
        <f t="shared" si="35"/>
        <v>62.571084665045063</v>
      </c>
      <c r="AU21" s="99">
        <f t="shared" si="35"/>
        <v>61.182149120631664</v>
      </c>
      <c r="AV21" s="99">
        <f t="shared" si="35"/>
        <v>59.79321357621825</v>
      </c>
      <c r="AW21" s="99">
        <f t="shared" si="35"/>
        <v>58.404278031804843</v>
      </c>
      <c r="AX21" s="99">
        <f t="shared" si="35"/>
        <v>57.015342487391422</v>
      </c>
      <c r="AY21" s="99">
        <f t="shared" si="35"/>
        <v>56.527830214509223</v>
      </c>
      <c r="AZ21" s="99">
        <f t="shared" si="35"/>
        <v>56.040317941627045</v>
      </c>
      <c r="BA21" s="99">
        <f t="shared" si="35"/>
        <v>55.552805668744867</v>
      </c>
      <c r="BB21" s="99">
        <f t="shared" si="35"/>
        <v>55.065293395862689</v>
      </c>
      <c r="BC21" s="99">
        <f t="shared" si="35"/>
        <v>54.577781122980511</v>
      </c>
      <c r="BD21" s="99">
        <f t="shared" si="35"/>
        <v>54.090268850098319</v>
      </c>
      <c r="BE21" s="99">
        <f t="shared" si="35"/>
        <v>53.602756577216134</v>
      </c>
      <c r="BF21" s="99">
        <f t="shared" si="35"/>
        <v>53.115244304333956</v>
      </c>
      <c r="BG21" s="99">
        <f t="shared" si="35"/>
        <v>52.627732031451764</v>
      </c>
      <c r="BH21" s="146">
        <f t="shared" si="35"/>
        <v>52.1402197585696</v>
      </c>
      <c r="BI21" s="71"/>
      <c r="BJ21" s="108">
        <f t="shared" si="33"/>
        <v>-5.9564692116703677E-3</v>
      </c>
      <c r="BK21" s="112">
        <f t="shared" si="28"/>
        <v>-6.8160288168981368E-3</v>
      </c>
      <c r="BL21" s="108">
        <f t="shared" si="29"/>
        <v>-6.5634778945676819E-3</v>
      </c>
      <c r="BM21" s="67">
        <f t="shared" si="30"/>
        <v>-8.3400115622503934E-3</v>
      </c>
    </row>
    <row r="22" spans="1:70">
      <c r="B22" s="72"/>
      <c r="C22" s="121"/>
      <c r="D22" s="121"/>
      <c r="E22" s="121"/>
      <c r="F22" s="121"/>
      <c r="G22" s="121"/>
      <c r="H22" s="134"/>
      <c r="I22" s="134"/>
      <c r="J22" s="33"/>
      <c r="K22" s="33"/>
      <c r="L22" s="33"/>
      <c r="M22" s="33"/>
      <c r="N22" s="33"/>
      <c r="O22" s="33"/>
      <c r="P22" s="33"/>
      <c r="Q22" s="33"/>
      <c r="R22" s="33"/>
      <c r="S22" s="33"/>
      <c r="T22" s="33"/>
      <c r="U22" s="33"/>
      <c r="V22" s="33"/>
      <c r="W22" s="33"/>
      <c r="X22" s="33"/>
      <c r="Y22" s="134"/>
      <c r="Z22" s="33"/>
      <c r="AA22" s="33"/>
      <c r="AB22" s="33"/>
      <c r="AC22" s="33"/>
      <c r="AD22" s="33"/>
      <c r="AE22" s="33"/>
      <c r="AF22" s="33"/>
      <c r="AG22" s="33"/>
      <c r="AH22" s="33"/>
      <c r="AI22" s="33"/>
      <c r="AJ22" s="33"/>
      <c r="AK22" s="33"/>
      <c r="AL22" s="33"/>
      <c r="AM22" s="33"/>
      <c r="AN22" s="134"/>
      <c r="AO22" s="33"/>
      <c r="AP22" s="33"/>
      <c r="AQ22" s="33"/>
      <c r="AR22" s="33"/>
      <c r="AS22" s="33"/>
      <c r="AT22" s="33"/>
      <c r="AU22" s="33"/>
      <c r="AV22" s="33"/>
      <c r="AW22" s="33"/>
      <c r="AX22" s="33"/>
      <c r="AY22" s="33"/>
      <c r="AZ22" s="33"/>
      <c r="BA22" s="33"/>
      <c r="BB22" s="33"/>
      <c r="BC22" s="33"/>
      <c r="BD22" s="33"/>
      <c r="BE22" s="33"/>
      <c r="BF22" s="33"/>
      <c r="BG22" s="33"/>
      <c r="BH22" s="144"/>
      <c r="BI22" s="71"/>
      <c r="BJ22" s="109"/>
      <c r="BK22" s="1"/>
      <c r="BL22" s="1"/>
    </row>
    <row r="23" spans="1:70" outlineLevel="1">
      <c r="A23" s="68" t="s">
        <v>143</v>
      </c>
      <c r="B23" s="68" t="s">
        <v>440</v>
      </c>
      <c r="C23" s="119"/>
      <c r="D23" s="119"/>
      <c r="E23" s="119"/>
      <c r="F23" s="119"/>
      <c r="G23" s="119"/>
      <c r="H23" s="137">
        <v>975.24862542211463</v>
      </c>
      <c r="I23" s="137">
        <f>ETP!B12</f>
        <v>1015.1</v>
      </c>
      <c r="J23" s="128">
        <f>ETP!C12</f>
        <v>1009.2454545454545</v>
      </c>
      <c r="K23" s="115">
        <f>ETP!D12</f>
        <v>1003.3909090909091</v>
      </c>
      <c r="L23" s="115">
        <f>ETP!E12</f>
        <v>997.5363636363636</v>
      </c>
      <c r="M23" s="115">
        <f>ETP!F12</f>
        <v>991.68181818181813</v>
      </c>
      <c r="N23" s="115">
        <f>ETP!G12</f>
        <v>985.82727272727266</v>
      </c>
      <c r="O23" s="115">
        <f>ETP!H12</f>
        <v>979.97272727272718</v>
      </c>
      <c r="P23" s="115">
        <f>ETP!I12</f>
        <v>974.11818181818171</v>
      </c>
      <c r="Q23" s="115">
        <f>ETP!J12</f>
        <v>968.26363636363624</v>
      </c>
      <c r="R23" s="115">
        <f>ETP!K12</f>
        <v>962.40909090909076</v>
      </c>
      <c r="S23" s="115">
        <f>ETP!L12</f>
        <v>956.55454545454529</v>
      </c>
      <c r="T23" s="115">
        <f>ETP!M12</f>
        <v>950.7</v>
      </c>
      <c r="U23" s="115">
        <f>ETP!N12</f>
        <v>935.56000000000006</v>
      </c>
      <c r="V23" s="115">
        <f>ETP!O12</f>
        <v>920.42000000000007</v>
      </c>
      <c r="W23" s="115">
        <f>ETP!P12</f>
        <v>905.28000000000009</v>
      </c>
      <c r="X23" s="125">
        <f>ETP!Q12</f>
        <v>890.1400000000001</v>
      </c>
      <c r="Y23" s="137">
        <f>ETP!R12</f>
        <v>875.00000000000011</v>
      </c>
      <c r="Z23" s="128">
        <f>ETP!S12</f>
        <v>859.86000000000013</v>
      </c>
      <c r="AA23" s="115">
        <f>ETP!T12</f>
        <v>844.72000000000014</v>
      </c>
      <c r="AB23" s="115">
        <f>ETP!U12</f>
        <v>829.58000000000015</v>
      </c>
      <c r="AC23" s="115">
        <f>ETP!V12</f>
        <v>814.44000000000017</v>
      </c>
      <c r="AD23" s="115">
        <f>ETP!W12</f>
        <v>799.3</v>
      </c>
      <c r="AE23" s="115">
        <f>ETP!X12</f>
        <v>791.12</v>
      </c>
      <c r="AF23" s="115">
        <f>ETP!Y12</f>
        <v>782.94</v>
      </c>
      <c r="AG23" s="115">
        <f>ETP!Z12</f>
        <v>774.7600000000001</v>
      </c>
      <c r="AH23" s="115">
        <f>ETP!AA12</f>
        <v>766.58000000000015</v>
      </c>
      <c r="AI23" s="115">
        <f>ETP!AB12</f>
        <v>758.4000000000002</v>
      </c>
      <c r="AJ23" s="115">
        <f>ETP!AC12</f>
        <v>750.22000000000025</v>
      </c>
      <c r="AK23" s="115">
        <f>ETP!AD12</f>
        <v>742.0400000000003</v>
      </c>
      <c r="AL23" s="115">
        <f>ETP!AE12</f>
        <v>733.86000000000035</v>
      </c>
      <c r="AM23" s="125">
        <f>ETP!AF12</f>
        <v>725.6800000000004</v>
      </c>
      <c r="AN23" s="137">
        <f>ETP!AG12</f>
        <v>717.5</v>
      </c>
      <c r="AO23" s="128">
        <f>ETP!AH12</f>
        <v>699.83</v>
      </c>
      <c r="AP23" s="115">
        <f>ETP!AI12</f>
        <v>682.16000000000008</v>
      </c>
      <c r="AQ23" s="115">
        <f>ETP!AJ12</f>
        <v>664.49000000000012</v>
      </c>
      <c r="AR23" s="115">
        <f>ETP!AK12</f>
        <v>646.82000000000016</v>
      </c>
      <c r="AS23" s="115">
        <f>ETP!AL12</f>
        <v>629.1500000000002</v>
      </c>
      <c r="AT23" s="115">
        <f>ETP!AM12</f>
        <v>611.48000000000025</v>
      </c>
      <c r="AU23" s="115">
        <f>ETP!AN12</f>
        <v>593.81000000000029</v>
      </c>
      <c r="AV23" s="115">
        <f>ETP!AO12</f>
        <v>576.14000000000033</v>
      </c>
      <c r="AW23" s="115">
        <f>ETP!AP12</f>
        <v>558.47000000000037</v>
      </c>
      <c r="AX23" s="115">
        <f>ETP!AQ12</f>
        <v>540.79999999999995</v>
      </c>
      <c r="AY23" s="115">
        <f>ETP!AR12</f>
        <v>530.79999999999995</v>
      </c>
      <c r="AZ23" s="115">
        <f>ETP!AS12</f>
        <v>520.79999999999995</v>
      </c>
      <c r="BA23" s="115">
        <f>ETP!AT12</f>
        <v>510.79999999999995</v>
      </c>
      <c r="BB23" s="115">
        <f>ETP!AU12</f>
        <v>500.79999999999995</v>
      </c>
      <c r="BC23" s="115">
        <f>ETP!AV12</f>
        <v>490.79999999999995</v>
      </c>
      <c r="BD23" s="115">
        <f>ETP!AW12</f>
        <v>480.79999999999995</v>
      </c>
      <c r="BE23" s="115">
        <f>ETP!AX12</f>
        <v>470.79999999999995</v>
      </c>
      <c r="BF23" s="115">
        <f>ETP!AY12</f>
        <v>460.79999999999995</v>
      </c>
      <c r="BG23" s="115">
        <f>ETP!AZ12</f>
        <v>450.79999999999995</v>
      </c>
      <c r="BH23" s="147">
        <f>ETP!BA12</f>
        <v>440.8</v>
      </c>
      <c r="BI23" s="71"/>
      <c r="BJ23" s="108">
        <f t="shared" ref="BJ23:BJ25" si="36">IFERROR(-(1-(AN23/I23))/31,"")</f>
        <v>-9.4571963353364211E-3</v>
      </c>
      <c r="BK23" s="112">
        <f t="shared" ref="BK23:BK25" si="37">IFERROR(-(1-(BH23/I23))/51,"")</f>
        <v>-1.109327584841443E-2</v>
      </c>
      <c r="BL23" s="108">
        <f t="shared" ref="BL23:BL25" si="38">IFERROR((AN23/I23)^(1/31)-1,"")</f>
        <v>-1.1130159563028763E-2</v>
      </c>
    </row>
    <row r="24" spans="1:70" outlineLevel="1">
      <c r="A24" s="21" t="s">
        <v>144</v>
      </c>
      <c r="B24" s="113">
        <v>0.86</v>
      </c>
      <c r="C24" s="119"/>
      <c r="D24" s="119"/>
      <c r="E24" s="119"/>
      <c r="F24" s="119"/>
      <c r="G24" s="119"/>
      <c r="H24" s="138">
        <f t="shared" ref="H24:BH24" si="39">H23*$B$24</f>
        <v>838.71381786301856</v>
      </c>
      <c r="I24" s="138">
        <f t="shared" si="39"/>
        <v>872.98599999999999</v>
      </c>
      <c r="J24" s="129">
        <f t="shared" si="39"/>
        <v>867.95109090909091</v>
      </c>
      <c r="K24" s="114">
        <f t="shared" si="39"/>
        <v>862.91618181818183</v>
      </c>
      <c r="L24" s="114">
        <f t="shared" si="39"/>
        <v>857.88127272727263</v>
      </c>
      <c r="M24" s="114">
        <f t="shared" si="39"/>
        <v>852.84636363636355</v>
      </c>
      <c r="N24" s="114">
        <f t="shared" si="39"/>
        <v>847.81145454545447</v>
      </c>
      <c r="O24" s="114">
        <f t="shared" si="39"/>
        <v>842.77654545454538</v>
      </c>
      <c r="P24" s="114">
        <f t="shared" si="39"/>
        <v>837.7416363636363</v>
      </c>
      <c r="Q24" s="114">
        <f t="shared" si="39"/>
        <v>832.70672727272711</v>
      </c>
      <c r="R24" s="114">
        <f t="shared" si="39"/>
        <v>827.67181818181803</v>
      </c>
      <c r="S24" s="114">
        <f t="shared" si="39"/>
        <v>822.63690909090894</v>
      </c>
      <c r="T24" s="114">
        <f t="shared" si="39"/>
        <v>817.60199999999998</v>
      </c>
      <c r="U24" s="114">
        <f t="shared" si="39"/>
        <v>804.58160000000009</v>
      </c>
      <c r="V24" s="114">
        <f t="shared" si="39"/>
        <v>791.5612000000001</v>
      </c>
      <c r="W24" s="114">
        <f t="shared" si="39"/>
        <v>778.5408000000001</v>
      </c>
      <c r="X24" s="126">
        <f t="shared" si="39"/>
        <v>765.52040000000011</v>
      </c>
      <c r="Y24" s="138">
        <f t="shared" si="39"/>
        <v>752.50000000000011</v>
      </c>
      <c r="Z24" s="129">
        <f t="shared" si="39"/>
        <v>739.47960000000012</v>
      </c>
      <c r="AA24" s="114">
        <f t="shared" si="39"/>
        <v>726.45920000000012</v>
      </c>
      <c r="AB24" s="114">
        <f t="shared" si="39"/>
        <v>713.43880000000013</v>
      </c>
      <c r="AC24" s="114">
        <f t="shared" si="39"/>
        <v>700.41840000000013</v>
      </c>
      <c r="AD24" s="114">
        <f t="shared" si="39"/>
        <v>687.39799999999991</v>
      </c>
      <c r="AE24" s="114">
        <f t="shared" si="39"/>
        <v>680.36320000000001</v>
      </c>
      <c r="AF24" s="114">
        <f t="shared" si="39"/>
        <v>673.32839999999999</v>
      </c>
      <c r="AG24" s="114">
        <f t="shared" si="39"/>
        <v>666.29360000000008</v>
      </c>
      <c r="AH24" s="114">
        <f t="shared" si="39"/>
        <v>659.25880000000018</v>
      </c>
      <c r="AI24" s="114">
        <f t="shared" si="39"/>
        <v>652.22400000000016</v>
      </c>
      <c r="AJ24" s="114">
        <f t="shared" si="39"/>
        <v>645.18920000000026</v>
      </c>
      <c r="AK24" s="114">
        <f t="shared" si="39"/>
        <v>638.15440000000024</v>
      </c>
      <c r="AL24" s="114">
        <f t="shared" si="39"/>
        <v>631.11960000000033</v>
      </c>
      <c r="AM24" s="126">
        <f t="shared" si="39"/>
        <v>624.08480000000031</v>
      </c>
      <c r="AN24" s="138">
        <f t="shared" si="39"/>
        <v>617.04999999999995</v>
      </c>
      <c r="AO24" s="129">
        <f t="shared" si="39"/>
        <v>601.85379999999998</v>
      </c>
      <c r="AP24" s="114">
        <f t="shared" si="39"/>
        <v>586.65760000000012</v>
      </c>
      <c r="AQ24" s="114">
        <f t="shared" si="39"/>
        <v>571.46140000000014</v>
      </c>
      <c r="AR24" s="114">
        <f t="shared" si="39"/>
        <v>556.26520000000016</v>
      </c>
      <c r="AS24" s="114">
        <f t="shared" si="39"/>
        <v>541.06900000000019</v>
      </c>
      <c r="AT24" s="114">
        <f t="shared" si="39"/>
        <v>525.87280000000021</v>
      </c>
      <c r="AU24" s="114">
        <f t="shared" si="39"/>
        <v>510.67660000000024</v>
      </c>
      <c r="AV24" s="114">
        <f t="shared" si="39"/>
        <v>495.48040000000026</v>
      </c>
      <c r="AW24" s="114">
        <f t="shared" si="39"/>
        <v>480.28420000000028</v>
      </c>
      <c r="AX24" s="114">
        <f t="shared" si="39"/>
        <v>465.08799999999997</v>
      </c>
      <c r="AY24" s="114">
        <f t="shared" si="39"/>
        <v>456.48799999999994</v>
      </c>
      <c r="AZ24" s="114">
        <f t="shared" si="39"/>
        <v>447.88799999999998</v>
      </c>
      <c r="BA24" s="114">
        <f t="shared" si="39"/>
        <v>439.28799999999995</v>
      </c>
      <c r="BB24" s="114">
        <f t="shared" si="39"/>
        <v>430.68799999999993</v>
      </c>
      <c r="BC24" s="114">
        <f t="shared" si="39"/>
        <v>422.08799999999997</v>
      </c>
      <c r="BD24" s="114">
        <f t="shared" si="39"/>
        <v>413.48799999999994</v>
      </c>
      <c r="BE24" s="114">
        <f t="shared" si="39"/>
        <v>404.88799999999998</v>
      </c>
      <c r="BF24" s="114">
        <f t="shared" si="39"/>
        <v>396.28799999999995</v>
      </c>
      <c r="BG24" s="114">
        <f t="shared" si="39"/>
        <v>387.68799999999993</v>
      </c>
      <c r="BH24" s="147">
        <f t="shared" si="39"/>
        <v>379.08800000000002</v>
      </c>
      <c r="BI24" s="71"/>
      <c r="BJ24" s="108">
        <f t="shared" si="36"/>
        <v>-9.4571963353364211E-3</v>
      </c>
      <c r="BK24" s="112">
        <f t="shared" si="37"/>
        <v>-1.109327584841443E-2</v>
      </c>
      <c r="BL24" s="108">
        <f t="shared" si="38"/>
        <v>-1.1130159563028763E-2</v>
      </c>
    </row>
    <row r="25" spans="1:70" outlineLevel="1">
      <c r="A25" s="21" t="s">
        <v>145</v>
      </c>
      <c r="B25" s="113">
        <v>0.08</v>
      </c>
      <c r="C25" s="119"/>
      <c r="D25" s="119"/>
      <c r="E25" s="119"/>
      <c r="F25" s="119"/>
      <c r="G25" s="119"/>
      <c r="H25" s="138">
        <f t="shared" ref="H25:BH25" si="40">H23*$B$25</f>
        <v>78.019890033769173</v>
      </c>
      <c r="I25" s="138">
        <f t="shared" si="40"/>
        <v>81.207999999999998</v>
      </c>
      <c r="J25" s="129">
        <f t="shared" si="40"/>
        <v>80.739636363636365</v>
      </c>
      <c r="K25" s="114">
        <f t="shared" si="40"/>
        <v>80.271272727272731</v>
      </c>
      <c r="L25" s="114">
        <f t="shared" si="40"/>
        <v>79.802909090909097</v>
      </c>
      <c r="M25" s="114">
        <f t="shared" si="40"/>
        <v>79.334545454545449</v>
      </c>
      <c r="N25" s="114">
        <f t="shared" si="40"/>
        <v>78.866181818181815</v>
      </c>
      <c r="O25" s="114">
        <f t="shared" si="40"/>
        <v>78.397818181818181</v>
      </c>
      <c r="P25" s="114">
        <f t="shared" si="40"/>
        <v>77.929454545454533</v>
      </c>
      <c r="Q25" s="114">
        <f t="shared" si="40"/>
        <v>77.461090909090899</v>
      </c>
      <c r="R25" s="114">
        <f t="shared" si="40"/>
        <v>76.992727272727265</v>
      </c>
      <c r="S25" s="114">
        <f t="shared" si="40"/>
        <v>76.524363636363631</v>
      </c>
      <c r="T25" s="114">
        <f t="shared" si="40"/>
        <v>76.056000000000012</v>
      </c>
      <c r="U25" s="114">
        <f t="shared" si="40"/>
        <v>74.844800000000006</v>
      </c>
      <c r="V25" s="114">
        <f t="shared" si="40"/>
        <v>73.633600000000001</v>
      </c>
      <c r="W25" s="114">
        <f t="shared" si="40"/>
        <v>72.42240000000001</v>
      </c>
      <c r="X25" s="126">
        <f t="shared" si="40"/>
        <v>71.211200000000005</v>
      </c>
      <c r="Y25" s="138">
        <f t="shared" si="40"/>
        <v>70.000000000000014</v>
      </c>
      <c r="Z25" s="129">
        <f t="shared" si="40"/>
        <v>68.788800000000009</v>
      </c>
      <c r="AA25" s="114">
        <f t="shared" si="40"/>
        <v>67.577600000000018</v>
      </c>
      <c r="AB25" s="114">
        <f t="shared" si="40"/>
        <v>66.366400000000013</v>
      </c>
      <c r="AC25" s="114">
        <f t="shared" si="40"/>
        <v>65.155200000000008</v>
      </c>
      <c r="AD25" s="114">
        <f t="shared" si="40"/>
        <v>63.943999999999996</v>
      </c>
      <c r="AE25" s="114">
        <f t="shared" si="40"/>
        <v>63.2896</v>
      </c>
      <c r="AF25" s="114">
        <f t="shared" si="40"/>
        <v>62.635200000000005</v>
      </c>
      <c r="AG25" s="114">
        <f t="shared" si="40"/>
        <v>61.980800000000009</v>
      </c>
      <c r="AH25" s="114">
        <f t="shared" si="40"/>
        <v>61.326400000000014</v>
      </c>
      <c r="AI25" s="114">
        <f t="shared" si="40"/>
        <v>60.672000000000018</v>
      </c>
      <c r="AJ25" s="114">
        <f t="shared" si="40"/>
        <v>60.017600000000023</v>
      </c>
      <c r="AK25" s="114">
        <f t="shared" si="40"/>
        <v>59.363200000000028</v>
      </c>
      <c r="AL25" s="114">
        <f t="shared" si="40"/>
        <v>58.708800000000032</v>
      </c>
      <c r="AM25" s="126">
        <f t="shared" si="40"/>
        <v>58.054400000000037</v>
      </c>
      <c r="AN25" s="138">
        <f t="shared" si="40"/>
        <v>57.4</v>
      </c>
      <c r="AO25" s="129">
        <f t="shared" si="40"/>
        <v>55.986400000000003</v>
      </c>
      <c r="AP25" s="114">
        <f t="shared" si="40"/>
        <v>54.572800000000008</v>
      </c>
      <c r="AQ25" s="114">
        <f t="shared" si="40"/>
        <v>53.159200000000013</v>
      </c>
      <c r="AR25" s="114">
        <f t="shared" si="40"/>
        <v>51.745600000000017</v>
      </c>
      <c r="AS25" s="114">
        <f t="shared" si="40"/>
        <v>50.332000000000015</v>
      </c>
      <c r="AT25" s="114">
        <f t="shared" si="40"/>
        <v>48.91840000000002</v>
      </c>
      <c r="AU25" s="114">
        <f t="shared" si="40"/>
        <v>47.504800000000024</v>
      </c>
      <c r="AV25" s="114">
        <f t="shared" si="40"/>
        <v>46.091200000000029</v>
      </c>
      <c r="AW25" s="114">
        <f t="shared" si="40"/>
        <v>44.677600000000034</v>
      </c>
      <c r="AX25" s="114">
        <f t="shared" si="40"/>
        <v>43.263999999999996</v>
      </c>
      <c r="AY25" s="114">
        <f t="shared" si="40"/>
        <v>42.463999999999999</v>
      </c>
      <c r="AZ25" s="114">
        <f t="shared" si="40"/>
        <v>41.663999999999994</v>
      </c>
      <c r="BA25" s="114">
        <f t="shared" si="40"/>
        <v>40.863999999999997</v>
      </c>
      <c r="BB25" s="114">
        <f t="shared" si="40"/>
        <v>40.064</v>
      </c>
      <c r="BC25" s="114">
        <f t="shared" si="40"/>
        <v>39.263999999999996</v>
      </c>
      <c r="BD25" s="114">
        <f t="shared" si="40"/>
        <v>38.463999999999999</v>
      </c>
      <c r="BE25" s="114">
        <f t="shared" si="40"/>
        <v>37.663999999999994</v>
      </c>
      <c r="BF25" s="114">
        <f t="shared" si="40"/>
        <v>36.863999999999997</v>
      </c>
      <c r="BG25" s="114">
        <f t="shared" si="40"/>
        <v>36.064</v>
      </c>
      <c r="BH25" s="147">
        <f t="shared" si="40"/>
        <v>35.264000000000003</v>
      </c>
      <c r="BI25" s="71"/>
      <c r="BJ25" s="108">
        <f t="shared" si="36"/>
        <v>-9.4571963353364211E-3</v>
      </c>
      <c r="BK25" s="112">
        <f t="shared" si="37"/>
        <v>-1.109327584841443E-2</v>
      </c>
      <c r="BL25" s="108">
        <f t="shared" si="38"/>
        <v>-1.1130159563028763E-2</v>
      </c>
    </row>
    <row r="26" spans="1:70" outlineLevel="1">
      <c r="H26" s="134"/>
      <c r="I26" s="134"/>
      <c r="J26" s="33"/>
      <c r="K26" s="33"/>
      <c r="L26" s="33"/>
      <c r="M26" s="33"/>
      <c r="N26" s="33"/>
      <c r="O26" s="33"/>
      <c r="P26" s="33"/>
      <c r="Q26" s="33"/>
      <c r="R26" s="33"/>
      <c r="S26" s="33"/>
      <c r="T26" s="33"/>
      <c r="U26" s="33"/>
      <c r="V26" s="33"/>
      <c r="W26" s="33"/>
      <c r="X26" s="33"/>
      <c r="Y26" s="134"/>
      <c r="Z26" s="33"/>
      <c r="AA26" s="33"/>
      <c r="AB26" s="33"/>
      <c r="AC26" s="33"/>
      <c r="AD26" s="33"/>
      <c r="AE26" s="33"/>
      <c r="AF26" s="33"/>
      <c r="AG26" s="33"/>
      <c r="AH26" s="33"/>
      <c r="AI26" s="33"/>
      <c r="AJ26" s="33"/>
      <c r="AK26" s="33"/>
      <c r="AL26" s="33"/>
      <c r="AM26" s="33"/>
      <c r="AN26" s="134"/>
      <c r="AO26" s="33"/>
      <c r="AP26" s="33"/>
      <c r="AQ26" s="33"/>
      <c r="AR26" s="33"/>
      <c r="AS26" s="33"/>
      <c r="AT26" s="33"/>
      <c r="AU26" s="33"/>
      <c r="AV26" s="33"/>
      <c r="AW26" s="33"/>
      <c r="AX26" s="33"/>
      <c r="AY26" s="33"/>
      <c r="AZ26" s="33"/>
      <c r="BA26" s="33"/>
      <c r="BB26" s="33"/>
      <c r="BC26" s="33"/>
      <c r="BD26" s="33"/>
      <c r="BE26" s="33"/>
      <c r="BF26" s="33"/>
      <c r="BG26" s="33"/>
      <c r="BH26" s="144"/>
      <c r="BI26" s="33"/>
      <c r="BJ26" s="109"/>
      <c r="BK26" s="1"/>
      <c r="BL26" s="1"/>
    </row>
    <row r="27" spans="1:70" s="65" customFormat="1">
      <c r="A27" s="64" t="s">
        <v>589</v>
      </c>
      <c r="B27" s="117" t="s">
        <v>450</v>
      </c>
      <c r="C27" s="107"/>
      <c r="D27" s="107"/>
      <c r="E27" s="107"/>
      <c r="F27" s="107"/>
      <c r="G27" s="107"/>
      <c r="H27" s="131"/>
      <c r="I27" s="131"/>
      <c r="J27" s="107"/>
      <c r="K27" s="107"/>
      <c r="L27" s="107"/>
      <c r="M27" s="107"/>
      <c r="N27" s="107"/>
      <c r="O27" s="107"/>
      <c r="P27" s="107"/>
      <c r="Q27" s="107"/>
      <c r="R27" s="107"/>
      <c r="S27" s="107"/>
      <c r="T27" s="107"/>
      <c r="U27" s="107"/>
      <c r="V27" s="107"/>
      <c r="W27" s="107"/>
      <c r="X27" s="107"/>
      <c r="Y27" s="131"/>
      <c r="Z27" s="107"/>
      <c r="AA27" s="107"/>
      <c r="AB27" s="107"/>
      <c r="AC27" s="107"/>
      <c r="AD27" s="107"/>
      <c r="AE27" s="107"/>
      <c r="AF27" s="107"/>
      <c r="AG27" s="107"/>
      <c r="AH27" s="107"/>
      <c r="AI27" s="107"/>
      <c r="AJ27" s="107"/>
      <c r="AK27" s="107"/>
      <c r="AL27" s="107"/>
      <c r="AM27" s="107"/>
      <c r="AN27" s="131"/>
      <c r="AO27" s="107"/>
      <c r="AP27" s="107"/>
      <c r="AQ27" s="107"/>
      <c r="AR27" s="107"/>
      <c r="AS27" s="107"/>
      <c r="AT27" s="107"/>
      <c r="AU27" s="107"/>
      <c r="AV27" s="107"/>
      <c r="AW27" s="107"/>
      <c r="AX27" s="107"/>
      <c r="AY27" s="107"/>
      <c r="AZ27" s="107"/>
      <c r="BA27" s="107"/>
      <c r="BB27" s="107"/>
      <c r="BC27" s="107"/>
      <c r="BD27" s="107"/>
      <c r="BE27" s="107"/>
      <c r="BF27" s="107"/>
      <c r="BG27" s="107"/>
      <c r="BH27" s="141"/>
      <c r="BI27" s="107"/>
      <c r="BJ27" s="110"/>
      <c r="BK27" s="107"/>
      <c r="BL27" s="107"/>
    </row>
    <row r="28" spans="1:70" s="105" customFormat="1" outlineLevel="1">
      <c r="A28" s="103" t="s">
        <v>444</v>
      </c>
      <c r="B28" s="104"/>
      <c r="C28" s="111"/>
      <c r="D28" s="111"/>
      <c r="E28" s="111"/>
      <c r="F28" s="111"/>
      <c r="G28" s="111"/>
      <c r="H28" s="150"/>
      <c r="I28" s="138">
        <f>ETP!B13</f>
        <v>8608.4</v>
      </c>
      <c r="J28" s="129">
        <f>ETP!C13</f>
        <v>8888.1636363636353</v>
      </c>
      <c r="K28" s="114">
        <f>ETP!D13</f>
        <v>9167.927272727271</v>
      </c>
      <c r="L28" s="114">
        <f>ETP!E13</f>
        <v>9447.6909090909066</v>
      </c>
      <c r="M28" s="114">
        <f>ETP!F13</f>
        <v>9727.4545454545423</v>
      </c>
      <c r="N28" s="114">
        <f>ETP!G13</f>
        <v>10007.218181818178</v>
      </c>
      <c r="O28" s="114">
        <f>ETP!H13</f>
        <v>10286.981818181814</v>
      </c>
      <c r="P28" s="114">
        <f>ETP!I13</f>
        <v>10566.745454545449</v>
      </c>
      <c r="Q28" s="114">
        <f>ETP!J13</f>
        <v>10846.509090909085</v>
      </c>
      <c r="R28" s="114">
        <f>ETP!K13</f>
        <v>11126.272727272721</v>
      </c>
      <c r="S28" s="114">
        <f>ETP!L13</f>
        <v>11406.036363636356</v>
      </c>
      <c r="T28" s="114">
        <f>ETP!M13</f>
        <v>11685.8</v>
      </c>
      <c r="U28" s="114">
        <f>ETP!N13</f>
        <v>12040.56</v>
      </c>
      <c r="V28" s="114">
        <f>ETP!O13</f>
        <v>12395.32</v>
      </c>
      <c r="W28" s="114">
        <f>ETP!P13</f>
        <v>12750.08</v>
      </c>
      <c r="X28" s="126">
        <f>ETP!Q13</f>
        <v>13104.84</v>
      </c>
      <c r="Y28" s="138">
        <f>ETP!R13</f>
        <v>13459.6</v>
      </c>
      <c r="Z28" s="129">
        <f>ETP!S13</f>
        <v>13814.36</v>
      </c>
      <c r="AA28" s="114">
        <f>ETP!T13</f>
        <v>14169.12</v>
      </c>
      <c r="AB28" s="114">
        <f>ETP!U13</f>
        <v>14523.880000000001</v>
      </c>
      <c r="AC28" s="114">
        <f>ETP!V13</f>
        <v>14878.640000000001</v>
      </c>
      <c r="AD28" s="114">
        <f>ETP!W13</f>
        <v>15233.4</v>
      </c>
      <c r="AE28" s="114">
        <f>ETP!X13</f>
        <v>15726.07</v>
      </c>
      <c r="AF28" s="114">
        <f>ETP!Y13</f>
        <v>16218.74</v>
      </c>
      <c r="AG28" s="114">
        <f>ETP!Z13</f>
        <v>16711.41</v>
      </c>
      <c r="AH28" s="114">
        <f>ETP!AA13</f>
        <v>17204.079999999998</v>
      </c>
      <c r="AI28" s="114">
        <f>ETP!AB13</f>
        <v>17696.749999999996</v>
      </c>
      <c r="AJ28" s="114">
        <f>ETP!AC13</f>
        <v>18189.419999999995</v>
      </c>
      <c r="AK28" s="114">
        <f>ETP!AD13</f>
        <v>18682.089999999993</v>
      </c>
      <c r="AL28" s="114">
        <f>ETP!AE13</f>
        <v>19174.759999999991</v>
      </c>
      <c r="AM28" s="126">
        <f>ETP!AF13</f>
        <v>19667.429999999989</v>
      </c>
      <c r="AN28" s="138">
        <f>ETP!AG13</f>
        <v>20160.099999999999</v>
      </c>
      <c r="AO28" s="129">
        <f>ETP!AH13</f>
        <v>20588.379999999997</v>
      </c>
      <c r="AP28" s="114">
        <f>ETP!AI13</f>
        <v>21016.659999999996</v>
      </c>
      <c r="AQ28" s="114">
        <f>ETP!AJ13</f>
        <v>21444.939999999995</v>
      </c>
      <c r="AR28" s="114">
        <f>ETP!AK13</f>
        <v>21873.219999999994</v>
      </c>
      <c r="AS28" s="114">
        <f>ETP!AL13</f>
        <v>22301.499999999993</v>
      </c>
      <c r="AT28" s="114">
        <f>ETP!AM13</f>
        <v>22729.779999999992</v>
      </c>
      <c r="AU28" s="114">
        <f>ETP!AN13</f>
        <v>23158.05999999999</v>
      </c>
      <c r="AV28" s="114">
        <f>ETP!AO13</f>
        <v>23586.339999999989</v>
      </c>
      <c r="AW28" s="114">
        <f>ETP!AP13</f>
        <v>24014.619999999988</v>
      </c>
      <c r="AX28" s="114">
        <f>ETP!AQ13</f>
        <v>24442.9</v>
      </c>
      <c r="AY28" s="114">
        <f>ETP!AR13</f>
        <v>24891.41</v>
      </c>
      <c r="AZ28" s="114">
        <f>ETP!AS13</f>
        <v>25339.919999999998</v>
      </c>
      <c r="BA28" s="114">
        <f>ETP!AT13</f>
        <v>25788.429999999997</v>
      </c>
      <c r="BB28" s="114">
        <f>ETP!AU13</f>
        <v>26236.939999999995</v>
      </c>
      <c r="BC28" s="114">
        <f>ETP!AV13</f>
        <v>26685.449999999993</v>
      </c>
      <c r="BD28" s="114">
        <f>ETP!AW13</f>
        <v>27133.959999999992</v>
      </c>
      <c r="BE28" s="114">
        <f>ETP!AX13</f>
        <v>27582.46999999999</v>
      </c>
      <c r="BF28" s="114">
        <f>ETP!AY13</f>
        <v>28030.979999999989</v>
      </c>
      <c r="BG28" s="114">
        <f>ETP!AZ13</f>
        <v>28479.489999999987</v>
      </c>
      <c r="BH28" s="147">
        <f>ETP!BA13</f>
        <v>28928</v>
      </c>
      <c r="BI28" s="33"/>
      <c r="BJ28" s="108">
        <f t="shared" ref="BJ28" si="41">IFERROR(-(1-(AN28/I28))/31,"")</f>
        <v>4.32874266845137E-2</v>
      </c>
      <c r="BK28" s="108">
        <f t="shared" ref="BK28" si="42">IFERROR(-(1-(AO28/J28))/31,"")</f>
        <v>4.2463927280401048E-2</v>
      </c>
      <c r="BL28" s="108">
        <f t="shared" ref="BL28" si="43">(AN28/I28)^(1/31)-1</f>
        <v>2.7830783731149111E-2</v>
      </c>
      <c r="BM28" s="67">
        <f t="shared" ref="BM28" si="44">(BH28/I28)^(1/51)-1</f>
        <v>2.4050772704349521E-2</v>
      </c>
      <c r="BN28" s="15"/>
      <c r="BO28" s="15"/>
      <c r="BP28" s="15"/>
      <c r="BQ28" s="15"/>
      <c r="BR28" s="15"/>
    </row>
    <row r="29" spans="1:70" outlineLevel="1">
      <c r="A29" s="21" t="s">
        <v>442</v>
      </c>
      <c r="B29" s="72">
        <v>0.15</v>
      </c>
      <c r="C29" s="111"/>
      <c r="D29" s="111"/>
      <c r="E29" s="111"/>
      <c r="F29" s="111"/>
      <c r="G29" s="111"/>
      <c r="H29" s="150"/>
      <c r="I29" s="138">
        <f t="shared" ref="I29:AN29" si="45">((I30*activity_co)/(1-$B$29))-(I30*activity_co)</f>
        <v>176.09642066435299</v>
      </c>
      <c r="J29" s="129">
        <f t="shared" si="45"/>
        <v>181.81936279014644</v>
      </c>
      <c r="K29" s="114">
        <f t="shared" si="45"/>
        <v>187.54230491593989</v>
      </c>
      <c r="L29" s="114">
        <f t="shared" si="45"/>
        <v>193.26524704173312</v>
      </c>
      <c r="M29" s="114">
        <f t="shared" si="45"/>
        <v>198.98818916752657</v>
      </c>
      <c r="N29" s="114">
        <f t="shared" si="45"/>
        <v>204.71113129332002</v>
      </c>
      <c r="O29" s="114">
        <f t="shared" si="45"/>
        <v>210.43407341911347</v>
      </c>
      <c r="P29" s="114">
        <f t="shared" si="45"/>
        <v>216.1570155449067</v>
      </c>
      <c r="Q29" s="114">
        <f t="shared" si="45"/>
        <v>221.87995767070015</v>
      </c>
      <c r="R29" s="114">
        <f t="shared" si="45"/>
        <v>227.6028997964936</v>
      </c>
      <c r="S29" s="114">
        <f t="shared" si="45"/>
        <v>233.32584192228705</v>
      </c>
      <c r="T29" s="114">
        <f t="shared" si="45"/>
        <v>239.04878404808051</v>
      </c>
      <c r="U29" s="114">
        <f t="shared" si="45"/>
        <v>246.30587783959641</v>
      </c>
      <c r="V29" s="114">
        <f t="shared" si="45"/>
        <v>253.56297163111253</v>
      </c>
      <c r="W29" s="114">
        <f t="shared" si="45"/>
        <v>260.82006542262843</v>
      </c>
      <c r="X29" s="126">
        <f t="shared" si="45"/>
        <v>268.07715921414433</v>
      </c>
      <c r="Y29" s="138">
        <f t="shared" si="45"/>
        <v>275.33425300566023</v>
      </c>
      <c r="Z29" s="129">
        <f t="shared" si="45"/>
        <v>282.59134679717613</v>
      </c>
      <c r="AA29" s="114">
        <f t="shared" si="45"/>
        <v>289.84844058869226</v>
      </c>
      <c r="AB29" s="114">
        <f t="shared" si="45"/>
        <v>297.10553438020816</v>
      </c>
      <c r="AC29" s="114">
        <f t="shared" si="45"/>
        <v>304.36262817172405</v>
      </c>
      <c r="AD29" s="114">
        <f t="shared" si="45"/>
        <v>311.61972196323995</v>
      </c>
      <c r="AE29" s="114">
        <f t="shared" si="45"/>
        <v>321.6979506199832</v>
      </c>
      <c r="AF29" s="114">
        <f t="shared" si="45"/>
        <v>331.77617927672622</v>
      </c>
      <c r="AG29" s="114">
        <f t="shared" si="45"/>
        <v>341.85440793346902</v>
      </c>
      <c r="AH29" s="114">
        <f t="shared" si="45"/>
        <v>351.93263659021204</v>
      </c>
      <c r="AI29" s="114">
        <f t="shared" si="45"/>
        <v>362.01086524695484</v>
      </c>
      <c r="AJ29" s="114">
        <f t="shared" si="45"/>
        <v>372.08909390369809</v>
      </c>
      <c r="AK29" s="114">
        <f t="shared" si="45"/>
        <v>382.16732256044133</v>
      </c>
      <c r="AL29" s="114">
        <f t="shared" si="45"/>
        <v>392.24555121718413</v>
      </c>
      <c r="AM29" s="126">
        <f t="shared" si="45"/>
        <v>402.32377987392692</v>
      </c>
      <c r="AN29" s="138">
        <f t="shared" si="45"/>
        <v>412.40200853067017</v>
      </c>
      <c r="AO29" s="129">
        <f t="shared" ref="AO29:BG29" si="46">((AO30*activity_co)/(1-$B$29))-(AO30*activity_co)</f>
        <v>421.16305298052521</v>
      </c>
      <c r="AP29" s="114">
        <f t="shared" si="46"/>
        <v>429.92409743037979</v>
      </c>
      <c r="AQ29" s="114">
        <f t="shared" si="46"/>
        <v>438.68514188023437</v>
      </c>
      <c r="AR29" s="114">
        <f t="shared" si="46"/>
        <v>447.44618633008895</v>
      </c>
      <c r="AS29" s="114">
        <f t="shared" si="46"/>
        <v>456.20723077994353</v>
      </c>
      <c r="AT29" s="114">
        <f t="shared" si="46"/>
        <v>464.96827522979856</v>
      </c>
      <c r="AU29" s="114">
        <f t="shared" si="46"/>
        <v>473.72931967965314</v>
      </c>
      <c r="AV29" s="114">
        <f t="shared" si="46"/>
        <v>482.49036412950773</v>
      </c>
      <c r="AW29" s="114">
        <f t="shared" si="46"/>
        <v>491.25140857936231</v>
      </c>
      <c r="AX29" s="114">
        <f t="shared" si="46"/>
        <v>500.01245302921734</v>
      </c>
      <c r="AY29" s="114">
        <f t="shared" si="46"/>
        <v>509.18732938628364</v>
      </c>
      <c r="AZ29" s="114">
        <f t="shared" si="46"/>
        <v>518.36220574334948</v>
      </c>
      <c r="BA29" s="114">
        <f t="shared" si="46"/>
        <v>527.53708210041577</v>
      </c>
      <c r="BB29" s="114">
        <f t="shared" si="46"/>
        <v>536.71195845748207</v>
      </c>
      <c r="BC29" s="114">
        <f t="shared" si="46"/>
        <v>545.88683481454837</v>
      </c>
      <c r="BD29" s="114">
        <f t="shared" si="46"/>
        <v>555.06171117161466</v>
      </c>
      <c r="BE29" s="114">
        <f t="shared" si="46"/>
        <v>564.23658752868096</v>
      </c>
      <c r="BF29" s="114">
        <f t="shared" si="46"/>
        <v>573.4114638857468</v>
      </c>
      <c r="BG29" s="114">
        <f t="shared" si="46"/>
        <v>582.58634024281309</v>
      </c>
      <c r="BH29" s="147">
        <f>((BH30*activity_co)/(1-$B$29))-(BH30*activity_co)</f>
        <v>591.76121659987984</v>
      </c>
      <c r="BI29" s="33"/>
      <c r="BJ29" s="108">
        <f>IFERROR(-(1-(AN29/I29))/31,"")</f>
        <v>4.3287426684513665E-2</v>
      </c>
      <c r="BK29" s="108">
        <f>IFERROR(-(1-(AO29/J29))/31,"")</f>
        <v>4.2463927280401062E-2</v>
      </c>
      <c r="BL29" s="108">
        <f>(AN29/I29)^(1/31)-1</f>
        <v>2.7830783731149111E-2</v>
      </c>
      <c r="BM29" s="67">
        <f>(BH29/I29)^(1/51)-1</f>
        <v>2.4050772704349521E-2</v>
      </c>
    </row>
    <row r="30" spans="1:70">
      <c r="A30" s="21" t="s">
        <v>445</v>
      </c>
      <c r="B30" s="21" t="s">
        <v>146</v>
      </c>
      <c r="C30" s="102">
        <f>GACA!D7</f>
        <v>6694.2207498999996</v>
      </c>
      <c r="D30" s="102">
        <f>GACA!E7</f>
        <v>7263.1624415819997</v>
      </c>
      <c r="E30" s="102">
        <f>GACA!F7</f>
        <v>7832.1041332639998</v>
      </c>
      <c r="F30" s="102">
        <f>GACA!G7</f>
        <v>8401.0458249460007</v>
      </c>
      <c r="G30" s="102">
        <f>GACA!H7</f>
        <v>8969.9875166280017</v>
      </c>
      <c r="H30" s="149">
        <f>GACA!I7</f>
        <v>9538.9292083100008</v>
      </c>
      <c r="I30" s="149">
        <f>GACA!J7</f>
        <v>9978.7971709800004</v>
      </c>
      <c r="J30" s="99">
        <f t="shared" ref="J30:AO30" si="47">J28*($I30/$I28)</f>
        <v>10303.09722477496</v>
      </c>
      <c r="K30" s="99">
        <f t="shared" si="47"/>
        <v>10627.397278569919</v>
      </c>
      <c r="L30" s="99">
        <f t="shared" si="47"/>
        <v>10951.697332364878</v>
      </c>
      <c r="M30" s="99">
        <f t="shared" si="47"/>
        <v>11275.997386159837</v>
      </c>
      <c r="N30" s="99">
        <f t="shared" si="47"/>
        <v>11600.297439954797</v>
      </c>
      <c r="O30" s="99">
        <f t="shared" si="47"/>
        <v>11924.597493749756</v>
      </c>
      <c r="P30" s="99">
        <f t="shared" si="47"/>
        <v>12248.897547544715</v>
      </c>
      <c r="Q30" s="99">
        <f t="shared" si="47"/>
        <v>12573.197601339674</v>
      </c>
      <c r="R30" s="99">
        <f t="shared" si="47"/>
        <v>12897.497655134632</v>
      </c>
      <c r="S30" s="99">
        <f t="shared" si="47"/>
        <v>13221.797708929591</v>
      </c>
      <c r="T30" s="99">
        <f t="shared" si="47"/>
        <v>13546.097762724559</v>
      </c>
      <c r="U30" s="99">
        <f t="shared" si="47"/>
        <v>13957.33307757713</v>
      </c>
      <c r="V30" s="99">
        <f t="shared" si="47"/>
        <v>14368.568392429701</v>
      </c>
      <c r="W30" s="99">
        <f t="shared" si="47"/>
        <v>14779.80370728227</v>
      </c>
      <c r="X30" s="99">
        <f t="shared" si="47"/>
        <v>15191.039022134841</v>
      </c>
      <c r="Y30" s="136">
        <f>Y28*($I30/$I28)</f>
        <v>15602.274336987412</v>
      </c>
      <c r="Z30" s="99">
        <f t="shared" si="47"/>
        <v>16013.509651839982</v>
      </c>
      <c r="AA30" s="99">
        <f t="shared" si="47"/>
        <v>16424.744966692553</v>
      </c>
      <c r="AB30" s="99">
        <f t="shared" si="47"/>
        <v>16835.980281545122</v>
      </c>
      <c r="AC30" s="99">
        <f t="shared" si="47"/>
        <v>17247.215596397695</v>
      </c>
      <c r="AD30" s="99">
        <f t="shared" si="47"/>
        <v>17658.45091125026</v>
      </c>
      <c r="AE30" s="99">
        <f t="shared" si="47"/>
        <v>18229.550535132366</v>
      </c>
      <c r="AF30" s="99">
        <f t="shared" si="47"/>
        <v>18800.650159014473</v>
      </c>
      <c r="AG30" s="99">
        <f t="shared" si="47"/>
        <v>19371.749782896579</v>
      </c>
      <c r="AH30" s="99">
        <f t="shared" si="47"/>
        <v>19942.849406778681</v>
      </c>
      <c r="AI30" s="99">
        <f t="shared" si="47"/>
        <v>20513.949030660784</v>
      </c>
      <c r="AJ30" s="99">
        <f t="shared" si="47"/>
        <v>21085.04865454289</v>
      </c>
      <c r="AK30" s="99">
        <f t="shared" si="47"/>
        <v>21656.148278424993</v>
      </c>
      <c r="AL30" s="99">
        <f t="shared" si="47"/>
        <v>22227.247902307096</v>
      </c>
      <c r="AM30" s="99">
        <f t="shared" si="47"/>
        <v>22798.347526189198</v>
      </c>
      <c r="AN30" s="136">
        <f>AN28*($I30/$I28)</f>
        <v>23369.447150071315</v>
      </c>
      <c r="AO30" s="33">
        <f t="shared" si="47"/>
        <v>23865.906335563079</v>
      </c>
      <c r="AP30" s="33">
        <f t="shared" ref="AP30:BH30" si="48">AP28*($I30/$I28)</f>
        <v>24362.365521054846</v>
      </c>
      <c r="AQ30" s="33">
        <f t="shared" si="48"/>
        <v>24858.824706546609</v>
      </c>
      <c r="AR30" s="33">
        <f t="shared" si="48"/>
        <v>25355.283892038373</v>
      </c>
      <c r="AS30" s="33">
        <f t="shared" si="48"/>
        <v>25851.743077530136</v>
      </c>
      <c r="AT30" s="33">
        <f t="shared" si="48"/>
        <v>26348.2022630219</v>
      </c>
      <c r="AU30" s="33">
        <f t="shared" si="48"/>
        <v>26844.661448513667</v>
      </c>
      <c r="AV30" s="33">
        <f t="shared" si="48"/>
        <v>27341.12063400543</v>
      </c>
      <c r="AW30" s="33">
        <f t="shared" si="48"/>
        <v>27837.579819497194</v>
      </c>
      <c r="AX30" s="33">
        <f t="shared" si="48"/>
        <v>28334.039004988976</v>
      </c>
      <c r="AY30" s="33">
        <f t="shared" si="48"/>
        <v>28853.948665222728</v>
      </c>
      <c r="AZ30" s="33">
        <f t="shared" si="48"/>
        <v>29373.858325456476</v>
      </c>
      <c r="BA30" s="33">
        <f t="shared" si="48"/>
        <v>29893.767985690229</v>
      </c>
      <c r="BB30" s="33">
        <f t="shared" si="48"/>
        <v>30413.677645923981</v>
      </c>
      <c r="BC30" s="33">
        <f t="shared" si="48"/>
        <v>30933.587306157733</v>
      </c>
      <c r="BD30" s="33">
        <f t="shared" si="48"/>
        <v>31453.496966391482</v>
      </c>
      <c r="BE30" s="33">
        <f t="shared" si="48"/>
        <v>31973.406626625234</v>
      </c>
      <c r="BF30" s="33">
        <f t="shared" si="48"/>
        <v>32493.316286858986</v>
      </c>
      <c r="BG30" s="33">
        <f t="shared" si="48"/>
        <v>33013.225947092738</v>
      </c>
      <c r="BH30" s="144">
        <f t="shared" si="48"/>
        <v>33533.135607326505</v>
      </c>
      <c r="BI30" s="33"/>
      <c r="BJ30" s="108">
        <f t="shared" ref="BJ30:BJ31" si="49">IFERROR(-(1-(AN30/I30))/31,"")</f>
        <v>4.32874266845137E-2</v>
      </c>
      <c r="BK30" s="112">
        <f t="shared" ref="BK30:BK31" si="50">IFERROR(-(1-(BH30/I30))/51,"")</f>
        <v>4.6283110614256398E-2</v>
      </c>
      <c r="BL30" s="108">
        <f t="shared" ref="BL30:BL31" si="51">IFERROR((AN30/I30)^(1/31)-1,"")</f>
        <v>2.7830783731149111E-2</v>
      </c>
      <c r="BM30" s="67">
        <f t="shared" ref="BM30:BM31" si="52">IFERROR((BH30/I30)^(1/51)-1,"")</f>
        <v>2.4050772704349521E-2</v>
      </c>
    </row>
    <row r="31" spans="1:70">
      <c r="A31" s="21" t="s">
        <v>443</v>
      </c>
      <c r="C31" s="102">
        <f>GACA!D8</f>
        <v>101.68847211000001</v>
      </c>
      <c r="D31" s="102">
        <f>GACA!E8</f>
        <v>109.1484482572</v>
      </c>
      <c r="E31" s="102">
        <f>GACA!F8</f>
        <v>116.6084244044</v>
      </c>
      <c r="F31" s="102">
        <f>GACA!G8</f>
        <v>124.06840055159999</v>
      </c>
      <c r="G31" s="102">
        <f>GACA!H8</f>
        <v>131.5283766988</v>
      </c>
      <c r="H31" s="149">
        <f>GACA!I8</f>
        <v>138.988352846</v>
      </c>
      <c r="I31" s="149">
        <f>GACA!J8</f>
        <v>126.120369653</v>
      </c>
      <c r="J31" s="99">
        <f t="shared" ref="J31:AO31" si="53">J29*($I31/$I29)</f>
        <v>130.21914448149886</v>
      </c>
      <c r="K31" s="99">
        <f t="shared" si="53"/>
        <v>134.31791930999771</v>
      </c>
      <c r="L31" s="99">
        <f t="shared" si="53"/>
        <v>138.41669413849641</v>
      </c>
      <c r="M31" s="99">
        <f t="shared" si="53"/>
        <v>142.51546896699526</v>
      </c>
      <c r="N31" s="99">
        <f t="shared" si="53"/>
        <v>146.61424379549413</v>
      </c>
      <c r="O31" s="99">
        <f t="shared" si="53"/>
        <v>150.71301862399298</v>
      </c>
      <c r="P31" s="99">
        <f t="shared" si="53"/>
        <v>154.81179345249166</v>
      </c>
      <c r="Q31" s="99">
        <f t="shared" si="53"/>
        <v>158.91056828099053</v>
      </c>
      <c r="R31" s="99">
        <f t="shared" si="53"/>
        <v>163.00934310948938</v>
      </c>
      <c r="S31" s="99">
        <f t="shared" si="53"/>
        <v>167.10811793798823</v>
      </c>
      <c r="T31" s="99">
        <f t="shared" si="53"/>
        <v>171.2068927664871</v>
      </c>
      <c r="U31" s="99">
        <f t="shared" si="53"/>
        <v>176.40442800394098</v>
      </c>
      <c r="V31" s="99">
        <f t="shared" si="53"/>
        <v>181.60196324139503</v>
      </c>
      <c r="W31" s="99">
        <f t="shared" si="53"/>
        <v>186.7994984788489</v>
      </c>
      <c r="X31" s="99">
        <f t="shared" si="53"/>
        <v>191.99703371630278</v>
      </c>
      <c r="Y31" s="136">
        <f t="shared" si="53"/>
        <v>197.19456895375666</v>
      </c>
      <c r="Z31" s="99">
        <f t="shared" si="53"/>
        <v>202.39210419121054</v>
      </c>
      <c r="AA31" s="99">
        <f t="shared" si="53"/>
        <v>207.58963942866458</v>
      </c>
      <c r="AB31" s="99">
        <f t="shared" si="53"/>
        <v>212.78717466611846</v>
      </c>
      <c r="AC31" s="99">
        <f t="shared" si="53"/>
        <v>217.98470990357237</v>
      </c>
      <c r="AD31" s="99">
        <f t="shared" si="53"/>
        <v>223.18224514102624</v>
      </c>
      <c r="AE31" s="99">
        <f t="shared" si="53"/>
        <v>230.40027898203559</v>
      </c>
      <c r="AF31" s="99">
        <f t="shared" si="53"/>
        <v>237.61831282304476</v>
      </c>
      <c r="AG31" s="99">
        <f t="shared" si="53"/>
        <v>244.83634666405376</v>
      </c>
      <c r="AH31" s="99">
        <f t="shared" si="53"/>
        <v>252.05438050506294</v>
      </c>
      <c r="AI31" s="99">
        <f t="shared" si="53"/>
        <v>259.27241434607197</v>
      </c>
      <c r="AJ31" s="99">
        <f t="shared" si="53"/>
        <v>266.49044818708131</v>
      </c>
      <c r="AK31" s="99">
        <f t="shared" si="53"/>
        <v>273.70848202809066</v>
      </c>
      <c r="AL31" s="99">
        <f t="shared" si="53"/>
        <v>280.92651586909966</v>
      </c>
      <c r="AM31" s="99">
        <f t="shared" si="53"/>
        <v>288.14454971010866</v>
      </c>
      <c r="AN31" s="136">
        <f t="shared" si="53"/>
        <v>295.36258355111801</v>
      </c>
      <c r="AO31" s="33">
        <f t="shared" si="53"/>
        <v>301.63724921662947</v>
      </c>
      <c r="AP31" s="33">
        <f t="shared" ref="AP31:BH31" si="54">AP29*($I31/$I29)</f>
        <v>307.91191488214065</v>
      </c>
      <c r="AQ31" s="33">
        <f t="shared" si="54"/>
        <v>314.18658054765177</v>
      </c>
      <c r="AR31" s="33">
        <f t="shared" si="54"/>
        <v>320.46124621316295</v>
      </c>
      <c r="AS31" s="33">
        <f t="shared" si="54"/>
        <v>326.73591187867407</v>
      </c>
      <c r="AT31" s="33">
        <f t="shared" si="54"/>
        <v>333.01057754418554</v>
      </c>
      <c r="AU31" s="33">
        <f t="shared" si="54"/>
        <v>339.28524320969672</v>
      </c>
      <c r="AV31" s="33">
        <f t="shared" si="54"/>
        <v>345.55990887520784</v>
      </c>
      <c r="AW31" s="33">
        <f t="shared" si="54"/>
        <v>351.83457454071902</v>
      </c>
      <c r="AX31" s="33">
        <f t="shared" si="54"/>
        <v>358.10924020623048</v>
      </c>
      <c r="AY31" s="33">
        <f t="shared" si="54"/>
        <v>364.68029254964705</v>
      </c>
      <c r="AZ31" s="33">
        <f t="shared" si="54"/>
        <v>371.25134489306333</v>
      </c>
      <c r="BA31" s="33">
        <f t="shared" si="54"/>
        <v>377.82239723647996</v>
      </c>
      <c r="BB31" s="33">
        <f t="shared" si="54"/>
        <v>384.39344957989653</v>
      </c>
      <c r="BC31" s="33">
        <f t="shared" si="54"/>
        <v>390.96450192331315</v>
      </c>
      <c r="BD31" s="33">
        <f t="shared" si="54"/>
        <v>397.53555426672972</v>
      </c>
      <c r="BE31" s="33">
        <f t="shared" si="54"/>
        <v>404.10660661014629</v>
      </c>
      <c r="BF31" s="33">
        <f t="shared" si="54"/>
        <v>410.67765895356257</v>
      </c>
      <c r="BG31" s="33">
        <f t="shared" si="54"/>
        <v>417.2487112969792</v>
      </c>
      <c r="BH31" s="144">
        <f t="shared" si="54"/>
        <v>423.8197636403961</v>
      </c>
      <c r="BI31" s="33"/>
      <c r="BJ31" s="108">
        <f t="shared" si="49"/>
        <v>4.3287426684513665E-2</v>
      </c>
      <c r="BK31" s="112">
        <f t="shared" si="50"/>
        <v>4.6283110614256419E-2</v>
      </c>
      <c r="BL31" s="108">
        <f t="shared" si="51"/>
        <v>2.7830783731149111E-2</v>
      </c>
      <c r="BM31" s="67">
        <f t="shared" si="52"/>
        <v>2.4050772704349521E-2</v>
      </c>
    </row>
    <row r="32" spans="1:70">
      <c r="A32" s="21" t="s">
        <v>452</v>
      </c>
      <c r="B32" s="21">
        <v>10</v>
      </c>
      <c r="C32" s="71">
        <f t="shared" ref="C32:AN32" si="55">(C30/$B$32)+C31</f>
        <v>771.11054709999996</v>
      </c>
      <c r="D32" s="71">
        <f t="shared" si="55"/>
        <v>835.46469241540001</v>
      </c>
      <c r="E32" s="71">
        <f t="shared" si="55"/>
        <v>899.81883773079994</v>
      </c>
      <c r="F32" s="71">
        <f t="shared" si="55"/>
        <v>964.1729830462001</v>
      </c>
      <c r="G32" s="71">
        <f t="shared" si="55"/>
        <v>1028.5271283616003</v>
      </c>
      <c r="H32" s="135">
        <f t="shared" si="55"/>
        <v>1092.8812736770001</v>
      </c>
      <c r="I32" s="135">
        <f t="shared" si="55"/>
        <v>1124.000086751</v>
      </c>
      <c r="J32" s="71">
        <f t="shared" si="55"/>
        <v>1160.528866958995</v>
      </c>
      <c r="K32" s="71">
        <f t="shared" si="55"/>
        <v>1197.0576471669897</v>
      </c>
      <c r="L32" s="71">
        <f t="shared" si="55"/>
        <v>1233.5864273749844</v>
      </c>
      <c r="M32" s="71">
        <f t="shared" si="55"/>
        <v>1270.1152075829791</v>
      </c>
      <c r="N32" s="71">
        <f t="shared" si="55"/>
        <v>1306.6439877909738</v>
      </c>
      <c r="O32" s="71">
        <f t="shared" si="55"/>
        <v>1343.1727679989685</v>
      </c>
      <c r="P32" s="71">
        <f t="shared" si="55"/>
        <v>1379.7015482069633</v>
      </c>
      <c r="Q32" s="71">
        <f t="shared" si="55"/>
        <v>1416.230328414958</v>
      </c>
      <c r="R32" s="71">
        <f t="shared" si="55"/>
        <v>1452.7591086229527</v>
      </c>
      <c r="S32" s="71">
        <f t="shared" si="55"/>
        <v>1489.2878888309474</v>
      </c>
      <c r="T32" s="71">
        <f t="shared" si="55"/>
        <v>1525.816669038943</v>
      </c>
      <c r="U32" s="71">
        <f t="shared" si="55"/>
        <v>1572.1377357616539</v>
      </c>
      <c r="V32" s="71">
        <f t="shared" si="55"/>
        <v>1618.4588024843652</v>
      </c>
      <c r="W32" s="71">
        <f t="shared" si="55"/>
        <v>1664.7798692070758</v>
      </c>
      <c r="X32" s="71">
        <f t="shared" si="55"/>
        <v>1711.1009359297868</v>
      </c>
      <c r="Y32" s="135">
        <f t="shared" si="55"/>
        <v>1757.4220026524979</v>
      </c>
      <c r="Z32" s="71">
        <f t="shared" si="55"/>
        <v>1803.7430693752087</v>
      </c>
      <c r="AA32" s="71">
        <f t="shared" si="55"/>
        <v>1850.06413609792</v>
      </c>
      <c r="AB32" s="71">
        <f t="shared" si="55"/>
        <v>1896.3852028206306</v>
      </c>
      <c r="AC32" s="71">
        <f t="shared" si="55"/>
        <v>1942.7062695433419</v>
      </c>
      <c r="AD32" s="71">
        <f t="shared" si="55"/>
        <v>1989.0273362660523</v>
      </c>
      <c r="AE32" s="71">
        <f t="shared" si="55"/>
        <v>2053.3553324952723</v>
      </c>
      <c r="AF32" s="71">
        <f t="shared" si="55"/>
        <v>2117.6833287244917</v>
      </c>
      <c r="AG32" s="71">
        <f t="shared" si="55"/>
        <v>2182.0113249537117</v>
      </c>
      <c r="AH32" s="71">
        <f t="shared" si="55"/>
        <v>2246.3393211829311</v>
      </c>
      <c r="AI32" s="71">
        <f t="shared" si="55"/>
        <v>2310.6673174121502</v>
      </c>
      <c r="AJ32" s="71">
        <f t="shared" si="55"/>
        <v>2374.9953136413701</v>
      </c>
      <c r="AK32" s="71">
        <f t="shared" si="55"/>
        <v>2439.32330987059</v>
      </c>
      <c r="AL32" s="71">
        <f t="shared" si="55"/>
        <v>2503.6513060998091</v>
      </c>
      <c r="AM32" s="71">
        <f t="shared" si="55"/>
        <v>2567.9793023290285</v>
      </c>
      <c r="AN32" s="135">
        <f t="shared" si="55"/>
        <v>2632.3072985582494</v>
      </c>
      <c r="AO32" s="33">
        <f t="shared" ref="AO32" si="56">(AO30/$B$32)+AO31</f>
        <v>2688.2278827729369</v>
      </c>
      <c r="AP32" s="33">
        <f t="shared" ref="AP32" si="57">(AP30/$B$32)+AP31</f>
        <v>2744.1484669876249</v>
      </c>
      <c r="AQ32" s="33">
        <f t="shared" ref="AQ32" si="58">(AQ30/$B$32)+AQ31</f>
        <v>2800.0690512023129</v>
      </c>
      <c r="AR32" s="33">
        <f t="shared" ref="AR32" si="59">(AR30/$B$32)+AR31</f>
        <v>2855.9896354170005</v>
      </c>
      <c r="AS32" s="33">
        <f t="shared" ref="AS32" si="60">(AS30/$B$32)+AS31</f>
        <v>2911.9102196316876</v>
      </c>
      <c r="AT32" s="33">
        <f t="shared" ref="AT32" si="61">(AT30/$B$32)+AT31</f>
        <v>2967.8308038463756</v>
      </c>
      <c r="AU32" s="33">
        <f t="shared" ref="AU32" si="62">(AU30/$B$32)+AU31</f>
        <v>3023.7513880610632</v>
      </c>
      <c r="AV32" s="33">
        <f t="shared" ref="AV32" si="63">(AV30/$B$32)+AV31</f>
        <v>3079.6719722757507</v>
      </c>
      <c r="AW32" s="33">
        <f t="shared" ref="AW32" si="64">(AW30/$B$32)+AW31</f>
        <v>3135.5925564904387</v>
      </c>
      <c r="AX32" s="33">
        <f t="shared" ref="AX32" si="65">(AX30/$B$32)+AX31</f>
        <v>3191.5131407051281</v>
      </c>
      <c r="AY32" s="33">
        <f t="shared" ref="AY32" si="66">(AY30/$B$32)+AY31</f>
        <v>3250.0751590719201</v>
      </c>
      <c r="AZ32" s="33">
        <f t="shared" ref="AZ32" si="67">(AZ30/$B$32)+AZ31</f>
        <v>3308.6371774387108</v>
      </c>
      <c r="BA32" s="33">
        <f t="shared" ref="BA32" si="68">(BA30/$B$32)+BA31</f>
        <v>3367.1991958055028</v>
      </c>
      <c r="BB32" s="33">
        <f t="shared" ref="BB32" si="69">(BB30/$B$32)+BB31</f>
        <v>3425.7612141722948</v>
      </c>
      <c r="BC32" s="33">
        <f t="shared" ref="BC32" si="70">(BC30/$B$32)+BC31</f>
        <v>3484.3232325390863</v>
      </c>
      <c r="BD32" s="33">
        <f t="shared" ref="BD32" si="71">(BD30/$B$32)+BD31</f>
        <v>3542.8852509058779</v>
      </c>
      <c r="BE32" s="33">
        <f t="shared" ref="BE32" si="72">(BE30/$B$32)+BE31</f>
        <v>3601.4472692726695</v>
      </c>
      <c r="BF32" s="33">
        <f t="shared" ref="BF32" si="73">(BF30/$B$32)+BF31</f>
        <v>3660.009287639461</v>
      </c>
      <c r="BG32" s="33">
        <f t="shared" ref="BG32" si="74">(BG30/$B$32)+BG31</f>
        <v>3718.5713060062531</v>
      </c>
      <c r="BH32" s="145">
        <f t="shared" ref="BH32" si="75">(BH30/$B$32)+BH31</f>
        <v>3777.1333243730464</v>
      </c>
      <c r="BI32" s="33"/>
      <c r="BJ32" s="109"/>
      <c r="BK32" s="1"/>
      <c r="BL32" s="1"/>
    </row>
    <row r="33" spans="1:65">
      <c r="C33" s="71"/>
      <c r="D33" s="71"/>
      <c r="E33" s="71"/>
      <c r="F33" s="71"/>
      <c r="G33" s="71"/>
      <c r="H33" s="135"/>
      <c r="I33" s="135"/>
      <c r="J33" s="71"/>
      <c r="K33" s="71"/>
      <c r="L33" s="71"/>
      <c r="M33" s="71"/>
      <c r="N33" s="71"/>
      <c r="O33" s="71"/>
      <c r="P33" s="71"/>
      <c r="Q33" s="71"/>
      <c r="R33" s="71"/>
      <c r="S33" s="71"/>
      <c r="T33" s="71"/>
      <c r="U33" s="71"/>
      <c r="V33" s="71"/>
      <c r="W33" s="71"/>
      <c r="X33" s="71"/>
      <c r="Y33" s="135"/>
      <c r="Z33" s="71"/>
      <c r="AA33" s="71"/>
      <c r="AB33" s="71"/>
      <c r="AC33" s="71"/>
      <c r="AD33" s="71"/>
      <c r="AE33" s="71"/>
      <c r="AF33" s="71"/>
      <c r="AG33" s="71"/>
      <c r="AH33" s="71"/>
      <c r="AI33" s="71"/>
      <c r="AJ33" s="71"/>
      <c r="AK33" s="71"/>
      <c r="AL33" s="71"/>
      <c r="AM33" s="71"/>
      <c r="AN33" s="135"/>
      <c r="AO33" s="33"/>
      <c r="AP33" s="33"/>
      <c r="AQ33" s="33"/>
      <c r="AR33" s="33"/>
      <c r="AS33" s="33"/>
      <c r="AT33" s="33"/>
      <c r="AU33" s="33"/>
      <c r="AV33" s="33"/>
      <c r="AW33" s="33"/>
      <c r="AX33" s="33"/>
      <c r="AY33" s="33"/>
      <c r="AZ33" s="33"/>
      <c r="BA33" s="33"/>
      <c r="BB33" s="33"/>
      <c r="BC33" s="33"/>
      <c r="BD33" s="33"/>
      <c r="BE33" s="33"/>
      <c r="BF33" s="33"/>
      <c r="BG33" s="33"/>
      <c r="BH33" s="144"/>
      <c r="BI33" s="33"/>
      <c r="BJ33" s="109"/>
      <c r="BK33" s="1"/>
      <c r="BL33" s="1"/>
    </row>
    <row r="34" spans="1:65" s="65" customFormat="1" collapsed="1">
      <c r="A34" s="64" t="s">
        <v>127</v>
      </c>
      <c r="B34" s="117" t="s">
        <v>450</v>
      </c>
      <c r="C34" s="107"/>
      <c r="D34" s="107"/>
      <c r="E34" s="107"/>
      <c r="F34" s="107"/>
      <c r="G34" s="107"/>
      <c r="H34" s="131"/>
      <c r="I34" s="131"/>
      <c r="J34" s="107"/>
      <c r="K34" s="107"/>
      <c r="L34" s="107"/>
      <c r="M34" s="107"/>
      <c r="N34" s="107"/>
      <c r="O34" s="107"/>
      <c r="P34" s="107"/>
      <c r="Q34" s="107"/>
      <c r="R34" s="107"/>
      <c r="S34" s="107"/>
      <c r="T34" s="107"/>
      <c r="U34" s="107"/>
      <c r="V34" s="107"/>
      <c r="W34" s="107"/>
      <c r="X34" s="107"/>
      <c r="Y34" s="131"/>
      <c r="Z34" s="107"/>
      <c r="AA34" s="107"/>
      <c r="AB34" s="107"/>
      <c r="AC34" s="107"/>
      <c r="AD34" s="107"/>
      <c r="AE34" s="107"/>
      <c r="AF34" s="107"/>
      <c r="AG34" s="107"/>
      <c r="AH34" s="107"/>
      <c r="AI34" s="107"/>
      <c r="AJ34" s="107"/>
      <c r="AK34" s="107"/>
      <c r="AL34" s="107"/>
      <c r="AM34" s="107"/>
      <c r="AN34" s="131"/>
      <c r="AO34" s="107"/>
      <c r="AP34" s="107"/>
      <c r="AQ34" s="107"/>
      <c r="AR34" s="107"/>
      <c r="AS34" s="107"/>
      <c r="AT34" s="107"/>
      <c r="AU34" s="107"/>
      <c r="AV34" s="107"/>
      <c r="AW34" s="107"/>
      <c r="AX34" s="107"/>
      <c r="AY34" s="107"/>
      <c r="AZ34" s="107"/>
      <c r="BA34" s="107"/>
      <c r="BB34" s="107"/>
      <c r="BC34" s="107"/>
      <c r="BD34" s="107"/>
      <c r="BE34" s="107"/>
      <c r="BF34" s="107"/>
      <c r="BG34" s="107"/>
      <c r="BH34" s="141"/>
      <c r="BI34" s="107"/>
      <c r="BJ34" s="110"/>
      <c r="BK34" s="107"/>
      <c r="BL34" s="107"/>
    </row>
    <row r="35" spans="1:65">
      <c r="A35" s="21" t="s">
        <v>593</v>
      </c>
      <c r="C35" s="71">
        <f>(C19/C32)*1000</f>
        <v>1108.3021467662145</v>
      </c>
      <c r="D35" s="71">
        <f t="shared" ref="D35:BH35" si="76">(D19/D32)*1000</f>
        <v>1080.0079105355712</v>
      </c>
      <c r="E35" s="71">
        <f t="shared" si="76"/>
        <v>1055.7608253838434</v>
      </c>
      <c r="F35" s="71">
        <f t="shared" si="76"/>
        <v>1034.7505047313634</v>
      </c>
      <c r="G35" s="71">
        <f t="shared" si="76"/>
        <v>1016.3693830394336</v>
      </c>
      <c r="H35" s="135">
        <f t="shared" si="76"/>
        <v>1000.1530003816767</v>
      </c>
      <c r="I35" s="135">
        <f t="shared" si="76"/>
        <v>990.42964757307618</v>
      </c>
      <c r="J35" s="71">
        <f>(J19/J32)*1000</f>
        <v>955.43341972424639</v>
      </c>
      <c r="K35" s="71">
        <f t="shared" si="76"/>
        <v>922.57304476140666</v>
      </c>
      <c r="L35" s="71">
        <f t="shared" si="76"/>
        <v>891.65878299814892</v>
      </c>
      <c r="M35" s="71">
        <f t="shared" si="76"/>
        <v>862.52272256103902</v>
      </c>
      <c r="N35" s="71">
        <f t="shared" si="76"/>
        <v>835.01572827779955</v>
      </c>
      <c r="O35" s="71">
        <f t="shared" si="76"/>
        <v>809.00488843171695</v>
      </c>
      <c r="P35" s="71">
        <f t="shared" si="76"/>
        <v>784.37136711223548</v>
      </c>
      <c r="Q35" s="71">
        <f t="shared" si="76"/>
        <v>761.00858893103327</v>
      </c>
      <c r="R35" s="71">
        <f t="shared" si="76"/>
        <v>738.82069760363083</v>
      </c>
      <c r="S35" s="71">
        <f t="shared" si="76"/>
        <v>717.72124137552078</v>
      </c>
      <c r="T35" s="71">
        <f t="shared" si="76"/>
        <v>697.6320472774604</v>
      </c>
      <c r="U35" s="71">
        <f t="shared" si="76"/>
        <v>669.96270465783289</v>
      </c>
      <c r="V35" s="71">
        <f t="shared" si="76"/>
        <v>643.87718173591986</v>
      </c>
      <c r="W35" s="71">
        <f t="shared" si="76"/>
        <v>619.24327325278375</v>
      </c>
      <c r="X35" s="71">
        <f t="shared" si="76"/>
        <v>595.94308961840204</v>
      </c>
      <c r="Y35" s="135">
        <f t="shared" si="76"/>
        <v>573.87117029293506</v>
      </c>
      <c r="Z35" s="71">
        <f t="shared" si="76"/>
        <v>552.93288786413268</v>
      </c>
      <c r="AA35" s="71">
        <f t="shared" si="76"/>
        <v>533.04309187265869</v>
      </c>
      <c r="AB35" s="71">
        <f t="shared" si="76"/>
        <v>514.12495139278872</v>
      </c>
      <c r="AC35" s="71">
        <f t="shared" si="76"/>
        <v>496.10896319520219</v>
      </c>
      <c r="AD35" s="71">
        <f t="shared" si="76"/>
        <v>478.93209849899785</v>
      </c>
      <c r="AE35" s="71">
        <f t="shared" si="76"/>
        <v>461.74002403851267</v>
      </c>
      <c r="AF35" s="71">
        <f t="shared" si="76"/>
        <v>445.59242273986968</v>
      </c>
      <c r="AG35" s="71">
        <f t="shared" si="76"/>
        <v>430.39691809037856</v>
      </c>
      <c r="AH35" s="71">
        <f t="shared" si="76"/>
        <v>416.07171505255923</v>
      </c>
      <c r="AI35" s="71">
        <f t="shared" si="76"/>
        <v>402.54412714527444</v>
      </c>
      <c r="AJ35" s="71">
        <f t="shared" si="76"/>
        <v>389.74934289355213</v>
      </c>
      <c r="AK35" s="71">
        <f t="shared" si="76"/>
        <v>377.6293874599433</v>
      </c>
      <c r="AL35" s="71">
        <f t="shared" si="76"/>
        <v>366.13224435290124</v>
      </c>
      <c r="AM35" s="71">
        <f t="shared" si="76"/>
        <v>355.21110914262493</v>
      </c>
      <c r="AN35" s="135">
        <f t="shared" si="76"/>
        <v>344.8237526024987</v>
      </c>
      <c r="AO35" s="33">
        <f t="shared" si="76"/>
        <v>360.19414674294813</v>
      </c>
      <c r="AP35" s="33">
        <f t="shared" si="76"/>
        <v>345.80398939700649</v>
      </c>
      <c r="AQ35" s="33">
        <f t="shared" si="76"/>
        <v>331.98860788052559</v>
      </c>
      <c r="AR35" s="33">
        <f t="shared" si="76"/>
        <v>318.71423967583701</v>
      </c>
      <c r="AS35" s="33">
        <f t="shared" si="76"/>
        <v>305.94971577890379</v>
      </c>
      <c r="AT35" s="33">
        <f t="shared" si="76"/>
        <v>293.6662163612728</v>
      </c>
      <c r="AU35" s="33">
        <f t="shared" si="76"/>
        <v>281.83705354442662</v>
      </c>
      <c r="AV35" s="33">
        <f t="shared" si="76"/>
        <v>270.43747784039215</v>
      </c>
      <c r="AW35" s="33">
        <f t="shared" si="76"/>
        <v>259.44450530413832</v>
      </c>
      <c r="AX35" s="33">
        <f t="shared" si="76"/>
        <v>248.83676285742578</v>
      </c>
      <c r="AY35" s="33">
        <f t="shared" si="76"/>
        <v>242.2637044740959</v>
      </c>
      <c r="AZ35" s="33">
        <f t="shared" si="76"/>
        <v>235.9233289418176</v>
      </c>
      <c r="BA35" s="33">
        <f t="shared" si="76"/>
        <v>229.80349586442944</v>
      </c>
      <c r="BB35" s="33">
        <f t="shared" si="76"/>
        <v>223.89289498664527</v>
      </c>
      <c r="BC35" s="33">
        <f t="shared" si="76"/>
        <v>218.18097643197692</v>
      </c>
      <c r="BD35" s="33">
        <f t="shared" si="76"/>
        <v>212.65788785943826</v>
      </c>
      <c r="BE35" s="33">
        <f t="shared" si="76"/>
        <v>207.31441775150188</v>
      </c>
      <c r="BF35" s="33">
        <f t="shared" si="76"/>
        <v>202.14194414658544</v>
      </c>
      <c r="BG35" s="33">
        <f t="shared" si="76"/>
        <v>197.13238821586472</v>
      </c>
      <c r="BH35" s="145">
        <f t="shared" si="76"/>
        <v>192.27817215865676</v>
      </c>
      <c r="BI35" s="33"/>
      <c r="BJ35" s="108">
        <f t="shared" ref="BJ35" si="77">IFERROR(-(1-(AN35/I35))/31,"")</f>
        <v>-2.102723465819668E-2</v>
      </c>
      <c r="BK35" s="112">
        <f t="shared" ref="BK35" si="78">IFERROR(-(1-(BH35/I35))/51,"")</f>
        <v>-1.5801252484760463E-2</v>
      </c>
      <c r="BL35" s="108">
        <f t="shared" ref="BL35" si="79">IFERROR((AN35/I35)^(1/31)-1,"")</f>
        <v>-3.3462961189838492E-2</v>
      </c>
      <c r="BM35" s="67">
        <f t="shared" ref="BM35" si="80">IFERROR((BH35/I35)^(1/51)-1,"")</f>
        <v>-3.1630056956122532E-2</v>
      </c>
    </row>
    <row r="36" spans="1:65">
      <c r="C36" s="71"/>
      <c r="D36" s="71"/>
      <c r="E36" s="71"/>
      <c r="F36" s="71"/>
      <c r="G36" s="71"/>
      <c r="H36" s="135"/>
      <c r="I36" s="135"/>
      <c r="J36" s="71"/>
      <c r="K36" s="71"/>
      <c r="L36" s="71"/>
      <c r="M36" s="71"/>
      <c r="N36" s="71"/>
      <c r="O36" s="71"/>
      <c r="P36" s="71"/>
      <c r="Q36" s="71"/>
      <c r="R36" s="71"/>
      <c r="S36" s="71"/>
      <c r="T36" s="71"/>
      <c r="U36" s="71"/>
      <c r="V36" s="71"/>
      <c r="W36" s="71"/>
      <c r="X36" s="71"/>
      <c r="Y36" s="340">
        <f>(Y35-I35)/I35</f>
        <v>-0.42058361065913719</v>
      </c>
      <c r="Z36" s="71"/>
      <c r="AA36" s="71"/>
      <c r="AB36" s="71"/>
      <c r="AC36" s="71"/>
      <c r="AD36" s="71"/>
      <c r="AE36" s="71"/>
      <c r="AF36" s="71"/>
      <c r="AG36" s="71"/>
      <c r="AH36" s="71"/>
      <c r="AI36" s="71"/>
      <c r="AJ36" s="71"/>
      <c r="AK36" s="71"/>
      <c r="AL36" s="71"/>
      <c r="AM36" s="71"/>
      <c r="AN36" s="135"/>
      <c r="AO36" s="33"/>
      <c r="AP36" s="33"/>
      <c r="AQ36" s="33"/>
      <c r="AR36" s="33"/>
      <c r="AS36" s="33"/>
      <c r="AT36" s="33"/>
      <c r="AU36" s="33"/>
      <c r="AV36" s="33"/>
      <c r="AW36" s="33"/>
      <c r="AX36" s="33"/>
      <c r="AY36" s="33"/>
      <c r="AZ36" s="33"/>
      <c r="BA36" s="33"/>
      <c r="BB36" s="33"/>
      <c r="BC36" s="33"/>
      <c r="BD36" s="33"/>
      <c r="BE36" s="33"/>
      <c r="BF36" s="33"/>
      <c r="BG36" s="33"/>
      <c r="BH36" s="144"/>
      <c r="BI36" s="33"/>
      <c r="BJ36" s="109"/>
      <c r="BK36" s="1"/>
      <c r="BL36" s="1"/>
    </row>
    <row r="37" spans="1:65" s="65" customFormat="1" collapsed="1">
      <c r="A37" s="64" t="s">
        <v>590</v>
      </c>
      <c r="B37" s="117" t="s">
        <v>450</v>
      </c>
      <c r="C37" s="107"/>
      <c r="D37" s="107"/>
      <c r="E37" s="107"/>
      <c r="F37" s="107"/>
      <c r="G37" s="107"/>
      <c r="H37" s="131"/>
      <c r="I37" s="131"/>
      <c r="J37" s="107"/>
      <c r="K37" s="107"/>
      <c r="L37" s="107"/>
      <c r="M37" s="107"/>
      <c r="N37" s="107"/>
      <c r="O37" s="107"/>
      <c r="P37" s="107"/>
      <c r="Q37" s="107"/>
      <c r="R37" s="107"/>
      <c r="S37" s="107"/>
      <c r="T37" s="107"/>
      <c r="U37" s="107"/>
      <c r="V37" s="107"/>
      <c r="W37" s="107"/>
      <c r="X37" s="107"/>
      <c r="Y37" s="131"/>
      <c r="Z37" s="107"/>
      <c r="AA37" s="107"/>
      <c r="AB37" s="107"/>
      <c r="AC37" s="107"/>
      <c r="AD37" s="107"/>
      <c r="AE37" s="107"/>
      <c r="AF37" s="107"/>
      <c r="AG37" s="107"/>
      <c r="AH37" s="107"/>
      <c r="AI37" s="107"/>
      <c r="AJ37" s="107"/>
      <c r="AK37" s="107"/>
      <c r="AL37" s="107"/>
      <c r="AM37" s="107"/>
      <c r="AN37" s="131"/>
      <c r="AO37" s="107"/>
      <c r="AP37" s="107"/>
      <c r="AQ37" s="107"/>
      <c r="AR37" s="107"/>
      <c r="AS37" s="107"/>
      <c r="AT37" s="107"/>
      <c r="AU37" s="107"/>
      <c r="AV37" s="107"/>
      <c r="AW37" s="107"/>
      <c r="AX37" s="107"/>
      <c r="AY37" s="107"/>
      <c r="AZ37" s="107"/>
      <c r="BA37" s="107"/>
      <c r="BB37" s="107"/>
      <c r="BC37" s="107"/>
      <c r="BD37" s="107"/>
      <c r="BE37" s="107"/>
      <c r="BF37" s="107"/>
      <c r="BG37" s="107"/>
      <c r="BH37" s="141"/>
      <c r="BI37" s="107"/>
      <c r="BJ37" s="110"/>
      <c r="BK37" s="107"/>
      <c r="BL37" s="107"/>
    </row>
    <row r="38" spans="1:65">
      <c r="A38" s="21" t="s">
        <v>150</v>
      </c>
      <c r="B38" s="73">
        <v>0.16</v>
      </c>
      <c r="C38" s="134">
        <f t="shared" ref="C38:G39" si="81">$B38*C$21</f>
        <v>11.82558745008</v>
      </c>
      <c r="D38" s="134">
        <f t="shared" si="81"/>
        <v>12.155724711552001</v>
      </c>
      <c r="E38" s="134">
        <f t="shared" si="81"/>
        <v>12.485861973024001</v>
      </c>
      <c r="F38" s="134">
        <f t="shared" si="81"/>
        <v>12.815999234496001</v>
      </c>
      <c r="G38" s="134">
        <f t="shared" si="81"/>
        <v>13.146136495968001</v>
      </c>
      <c r="H38" s="134">
        <f t="shared" ref="H38:Q39" si="82">$B38*H$21</f>
        <v>13.47627375744</v>
      </c>
      <c r="I38" s="134">
        <f t="shared" si="82"/>
        <v>12.787643404624001</v>
      </c>
      <c r="J38" s="33">
        <f t="shared" si="82"/>
        <v>12.736699896140928</v>
      </c>
      <c r="K38" s="33">
        <f t="shared" si="82"/>
        <v>12.685756387657857</v>
      </c>
      <c r="L38" s="33">
        <f t="shared" si="82"/>
        <v>12.634812879174783</v>
      </c>
      <c r="M38" s="33">
        <f t="shared" si="82"/>
        <v>12.58386937069171</v>
      </c>
      <c r="N38" s="33">
        <f t="shared" si="82"/>
        <v>12.532925862208641</v>
      </c>
      <c r="O38" s="33">
        <f t="shared" si="82"/>
        <v>12.481982353725567</v>
      </c>
      <c r="P38" s="33">
        <f t="shared" si="82"/>
        <v>12.431038845242496</v>
      </c>
      <c r="Q38" s="33">
        <f t="shared" si="82"/>
        <v>12.380095336759421</v>
      </c>
      <c r="R38" s="33">
        <f t="shared" ref="R38:AA39" si="83">$B38*R$21</f>
        <v>12.329151828276347</v>
      </c>
      <c r="S38" s="33">
        <f t="shared" si="83"/>
        <v>12.278208319793274</v>
      </c>
      <c r="T38" s="33">
        <f t="shared" si="83"/>
        <v>12.227264811310192</v>
      </c>
      <c r="U38" s="33">
        <f t="shared" si="83"/>
        <v>12.098785008657424</v>
      </c>
      <c r="V38" s="33">
        <f t="shared" si="83"/>
        <v>11.970305206004655</v>
      </c>
      <c r="W38" s="33">
        <f t="shared" si="83"/>
        <v>11.841825403351883</v>
      </c>
      <c r="X38" s="33">
        <f t="shared" si="83"/>
        <v>11.713345600699112</v>
      </c>
      <c r="Y38" s="134">
        <f t="shared" si="83"/>
        <v>11.584865798046346</v>
      </c>
      <c r="Z38" s="33">
        <f t="shared" si="83"/>
        <v>11.456385995393578</v>
      </c>
      <c r="AA38" s="33">
        <f t="shared" si="83"/>
        <v>11.327906192740807</v>
      </c>
      <c r="AB38" s="33">
        <f t="shared" ref="AB38:AK39" si="84">$B38*AB$21</f>
        <v>11.199426390088041</v>
      </c>
      <c r="AC38" s="33">
        <f t="shared" si="84"/>
        <v>11.070946587435271</v>
      </c>
      <c r="AD38" s="33">
        <f t="shared" si="84"/>
        <v>10.942466784782503</v>
      </c>
      <c r="AE38" s="33">
        <f t="shared" si="84"/>
        <v>10.890859913655317</v>
      </c>
      <c r="AF38" s="33">
        <f t="shared" si="84"/>
        <v>10.839253042528133</v>
      </c>
      <c r="AG38" s="33">
        <f t="shared" si="84"/>
        <v>10.787646171400949</v>
      </c>
      <c r="AH38" s="33">
        <f t="shared" si="84"/>
        <v>10.736039300273765</v>
      </c>
      <c r="AI38" s="33">
        <f t="shared" si="84"/>
        <v>10.684432429146582</v>
      </c>
      <c r="AJ38" s="33">
        <f t="shared" si="84"/>
        <v>10.632825558019396</v>
      </c>
      <c r="AK38" s="33">
        <f t="shared" si="84"/>
        <v>10.581218686892212</v>
      </c>
      <c r="AL38" s="33">
        <f t="shared" ref="AL38:AU39" si="85">$B38*AL$21</f>
        <v>10.529611815765032</v>
      </c>
      <c r="AM38" s="33">
        <f t="shared" si="85"/>
        <v>10.478004944637846</v>
      </c>
      <c r="AN38" s="134">
        <f t="shared" si="85"/>
        <v>10.426398073510663</v>
      </c>
      <c r="AO38" s="33">
        <f t="shared" si="85"/>
        <v>11.122521981937942</v>
      </c>
      <c r="AP38" s="33">
        <f t="shared" si="85"/>
        <v>10.900292294831798</v>
      </c>
      <c r="AQ38" s="33">
        <f t="shared" si="85"/>
        <v>10.678062607725648</v>
      </c>
      <c r="AR38" s="33">
        <f t="shared" si="85"/>
        <v>10.455832920619505</v>
      </c>
      <c r="AS38" s="33">
        <f t="shared" si="85"/>
        <v>10.233603233513358</v>
      </c>
      <c r="AT38" s="33">
        <f t="shared" si="85"/>
        <v>10.01137354640721</v>
      </c>
      <c r="AU38" s="33">
        <f t="shared" si="85"/>
        <v>9.7891438593010669</v>
      </c>
      <c r="AV38" s="33">
        <f t="shared" ref="AV38:BH39" si="86">$B38*AV$21</f>
        <v>9.5669141721949202</v>
      </c>
      <c r="AW38" s="33">
        <f t="shared" si="86"/>
        <v>9.3446844850887754</v>
      </c>
      <c r="AX38" s="33">
        <f t="shared" si="86"/>
        <v>9.1224547979826269</v>
      </c>
      <c r="AY38" s="33">
        <f t="shared" si="86"/>
        <v>9.0444528343214756</v>
      </c>
      <c r="AZ38" s="33">
        <f t="shared" si="86"/>
        <v>8.9664508706603279</v>
      </c>
      <c r="BA38" s="33">
        <f t="shared" si="86"/>
        <v>8.8884489069991783</v>
      </c>
      <c r="BB38" s="33">
        <f t="shared" si="86"/>
        <v>8.8104469433380306</v>
      </c>
      <c r="BC38" s="33">
        <f t="shared" si="86"/>
        <v>8.7324449796768828</v>
      </c>
      <c r="BD38" s="33">
        <f t="shared" si="86"/>
        <v>8.6544430160157315</v>
      </c>
      <c r="BE38" s="33">
        <f t="shared" si="86"/>
        <v>8.576441052354582</v>
      </c>
      <c r="BF38" s="33">
        <f t="shared" si="86"/>
        <v>8.4984390886934325</v>
      </c>
      <c r="BG38" s="33">
        <f t="shared" si="86"/>
        <v>8.4204371250322829</v>
      </c>
      <c r="BH38" s="144">
        <f t="shared" si="86"/>
        <v>8.3424351613711369</v>
      </c>
      <c r="BI38" s="33"/>
      <c r="BJ38" s="108">
        <f t="shared" ref="BJ38:BJ42" si="87">IFERROR(-(1-(AN38/I38))/31,"")</f>
        <v>-5.9564692116703677E-3</v>
      </c>
      <c r="BK38" s="112">
        <f t="shared" ref="BK38:BK42" si="88">IFERROR(-(1-(BH38/I38))/51,"")</f>
        <v>-6.8160288168981368E-3</v>
      </c>
      <c r="BL38" s="108">
        <f t="shared" ref="BL38:BL42" si="89">IFERROR((AN38/I38)^(1/31)-1,"")</f>
        <v>-6.5634778945676819E-3</v>
      </c>
      <c r="BM38" s="67">
        <f t="shared" ref="BM38:BM42" si="90">IFERROR((BH38/I38)^(1/51)-1,"")</f>
        <v>-8.3400115622503934E-3</v>
      </c>
    </row>
    <row r="39" spans="1:65">
      <c r="A39" s="172" t="s">
        <v>151</v>
      </c>
      <c r="B39" s="173">
        <f>1-B38</f>
        <v>0.84</v>
      </c>
      <c r="C39" s="174">
        <f t="shared" si="81"/>
        <v>62.084334112919997</v>
      </c>
      <c r="D39" s="174">
        <f t="shared" si="81"/>
        <v>63.817554735647995</v>
      </c>
      <c r="E39" s="174">
        <f t="shared" si="81"/>
        <v>65.550775358376001</v>
      </c>
      <c r="F39" s="174">
        <f t="shared" si="81"/>
        <v>67.283995981103999</v>
      </c>
      <c r="G39" s="174">
        <f t="shared" si="81"/>
        <v>69.017216603831997</v>
      </c>
      <c r="H39" s="174">
        <f t="shared" si="82"/>
        <v>70.750437226559995</v>
      </c>
      <c r="I39" s="174">
        <f t="shared" si="82"/>
        <v>67.135127874275994</v>
      </c>
      <c r="J39" s="175">
        <f t="shared" si="82"/>
        <v>66.86767445473987</v>
      </c>
      <c r="K39" s="175">
        <f t="shared" si="82"/>
        <v>66.600221035203745</v>
      </c>
      <c r="L39" s="175">
        <f t="shared" si="82"/>
        <v>66.332767615667606</v>
      </c>
      <c r="M39" s="175">
        <f t="shared" si="82"/>
        <v>66.065314196131467</v>
      </c>
      <c r="N39" s="175">
        <f t="shared" si="82"/>
        <v>65.797860776595357</v>
      </c>
      <c r="O39" s="175">
        <f t="shared" si="82"/>
        <v>65.530407357059218</v>
      </c>
      <c r="P39" s="175">
        <f t="shared" si="82"/>
        <v>65.262953937523093</v>
      </c>
      <c r="Q39" s="175">
        <f t="shared" si="82"/>
        <v>64.995500517986954</v>
      </c>
      <c r="R39" s="175">
        <f t="shared" si="83"/>
        <v>64.728047098450816</v>
      </c>
      <c r="S39" s="175">
        <f t="shared" si="83"/>
        <v>64.460593678914677</v>
      </c>
      <c r="T39" s="175">
        <f t="shared" si="83"/>
        <v>64.193140259378509</v>
      </c>
      <c r="U39" s="175">
        <f t="shared" si="83"/>
        <v>63.518621295451474</v>
      </c>
      <c r="V39" s="175">
        <f t="shared" si="83"/>
        <v>62.844102331524432</v>
      </c>
      <c r="W39" s="175">
        <f t="shared" si="83"/>
        <v>62.16958336759739</v>
      </c>
      <c r="X39" s="175">
        <f t="shared" si="83"/>
        <v>61.495064403670341</v>
      </c>
      <c r="Y39" s="174">
        <f t="shared" si="83"/>
        <v>60.820545439743313</v>
      </c>
      <c r="Z39" s="175">
        <f t="shared" si="83"/>
        <v>60.146026475816278</v>
      </c>
      <c r="AA39" s="175">
        <f t="shared" si="83"/>
        <v>59.471507511889229</v>
      </c>
      <c r="AB39" s="175">
        <f t="shared" si="84"/>
        <v>58.796988547962208</v>
      </c>
      <c r="AC39" s="175">
        <f t="shared" si="84"/>
        <v>58.122469584035173</v>
      </c>
      <c r="AD39" s="175">
        <f t="shared" si="84"/>
        <v>57.447950620108138</v>
      </c>
      <c r="AE39" s="175">
        <f t="shared" si="84"/>
        <v>57.177014546690415</v>
      </c>
      <c r="AF39" s="175">
        <f t="shared" si="84"/>
        <v>56.906078473272693</v>
      </c>
      <c r="AG39" s="175">
        <f t="shared" si="84"/>
        <v>56.635142399854985</v>
      </c>
      <c r="AH39" s="175">
        <f t="shared" si="84"/>
        <v>56.364206326437262</v>
      </c>
      <c r="AI39" s="175">
        <f t="shared" si="84"/>
        <v>56.093270253019554</v>
      </c>
      <c r="AJ39" s="175">
        <f t="shared" si="84"/>
        <v>55.822334179601832</v>
      </c>
      <c r="AK39" s="175">
        <f t="shared" si="84"/>
        <v>55.551398106184109</v>
      </c>
      <c r="AL39" s="175">
        <f t="shared" si="85"/>
        <v>55.280462032766415</v>
      </c>
      <c r="AM39" s="175">
        <f t="shared" si="85"/>
        <v>55.009525959348693</v>
      </c>
      <c r="AN39" s="174">
        <f t="shared" si="85"/>
        <v>54.738589885930978</v>
      </c>
      <c r="AO39" s="175">
        <f t="shared" si="85"/>
        <v>58.39324040517419</v>
      </c>
      <c r="AP39" s="175">
        <f t="shared" si="85"/>
        <v>57.226534547866933</v>
      </c>
      <c r="AQ39" s="175">
        <f t="shared" si="85"/>
        <v>56.059828690559655</v>
      </c>
      <c r="AR39" s="175">
        <f t="shared" si="85"/>
        <v>54.893122833252399</v>
      </c>
      <c r="AS39" s="175">
        <f t="shared" si="85"/>
        <v>53.726416975945128</v>
      </c>
      <c r="AT39" s="175">
        <f t="shared" si="85"/>
        <v>52.55971111863785</v>
      </c>
      <c r="AU39" s="175">
        <f t="shared" si="85"/>
        <v>51.393005261330593</v>
      </c>
      <c r="AV39" s="175">
        <f t="shared" si="86"/>
        <v>50.226299404023329</v>
      </c>
      <c r="AW39" s="175">
        <f t="shared" si="86"/>
        <v>49.059593546716066</v>
      </c>
      <c r="AX39" s="175">
        <f t="shared" si="86"/>
        <v>47.892887689408795</v>
      </c>
      <c r="AY39" s="175">
        <f t="shared" si="86"/>
        <v>47.483377380187747</v>
      </c>
      <c r="AZ39" s="175">
        <f t="shared" si="86"/>
        <v>47.073867070966713</v>
      </c>
      <c r="BA39" s="175">
        <f t="shared" si="86"/>
        <v>46.664356761745687</v>
      </c>
      <c r="BB39" s="175">
        <f t="shared" si="86"/>
        <v>46.25484645252466</v>
      </c>
      <c r="BC39" s="175">
        <f t="shared" si="86"/>
        <v>45.845336143303626</v>
      </c>
      <c r="BD39" s="175">
        <f t="shared" si="86"/>
        <v>45.435825834082586</v>
      </c>
      <c r="BE39" s="175">
        <f t="shared" si="86"/>
        <v>45.026315524861552</v>
      </c>
      <c r="BF39" s="175">
        <f t="shared" si="86"/>
        <v>44.616805215640518</v>
      </c>
      <c r="BG39" s="175">
        <f t="shared" si="86"/>
        <v>44.207294906419477</v>
      </c>
      <c r="BH39" s="178">
        <f t="shared" si="86"/>
        <v>43.797784597198465</v>
      </c>
      <c r="BI39" s="175"/>
      <c r="BJ39" s="179">
        <f t="shared" si="87"/>
        <v>-5.9564692116703677E-3</v>
      </c>
      <c r="BK39" s="180">
        <f t="shared" si="88"/>
        <v>-6.8160288168981368E-3</v>
      </c>
      <c r="BL39" s="179">
        <f t="shared" si="89"/>
        <v>-6.5634778945676819E-3</v>
      </c>
      <c r="BM39" s="181">
        <f t="shared" si="90"/>
        <v>-8.3400115622503934E-3</v>
      </c>
    </row>
    <row r="40" spans="1:65">
      <c r="A40" s="21" t="s">
        <v>112</v>
      </c>
      <c r="B40" s="73">
        <v>8.1222845037845964E-2</v>
      </c>
      <c r="C40" s="134">
        <f t="shared" ref="C40:G42" si="91">C$20*$B40</f>
        <v>63.411775949047701</v>
      </c>
      <c r="D40" s="134">
        <f t="shared" si="91"/>
        <v>67.117295682426089</v>
      </c>
      <c r="E40" s="134">
        <f t="shared" si="91"/>
        <v>70.822815415804456</v>
      </c>
      <c r="F40" s="134">
        <f t="shared" si="91"/>
        <v>74.528335149182837</v>
      </c>
      <c r="G40" s="134">
        <f t="shared" si="91"/>
        <v>78.233854882561218</v>
      </c>
      <c r="H40" s="134">
        <f t="shared" ref="H40:Q42" si="92">H$20*$B40</f>
        <v>81.939374615939613</v>
      </c>
      <c r="I40" s="134">
        <f t="shared" si="92"/>
        <v>83.929209607292663</v>
      </c>
      <c r="J40" s="33">
        <f t="shared" si="92"/>
        <v>83.594851800594626</v>
      </c>
      <c r="K40" s="33">
        <f t="shared" si="92"/>
        <v>83.260493993896588</v>
      </c>
      <c r="L40" s="33">
        <f t="shared" si="92"/>
        <v>82.926136187198551</v>
      </c>
      <c r="M40" s="33">
        <f t="shared" si="92"/>
        <v>82.5917783805005</v>
      </c>
      <c r="N40" s="33">
        <f t="shared" si="92"/>
        <v>82.257420573802477</v>
      </c>
      <c r="O40" s="33">
        <f t="shared" si="92"/>
        <v>81.923062767104454</v>
      </c>
      <c r="P40" s="33">
        <f t="shared" si="92"/>
        <v>81.588704960406417</v>
      </c>
      <c r="Q40" s="33">
        <f t="shared" si="92"/>
        <v>81.254347153708352</v>
      </c>
      <c r="R40" s="33">
        <f t="shared" ref="R40:AA42" si="93">R$20*$B40</f>
        <v>80.919989347010315</v>
      </c>
      <c r="S40" s="33">
        <f t="shared" si="93"/>
        <v>80.585631540312278</v>
      </c>
      <c r="T40" s="33">
        <f t="shared" si="93"/>
        <v>80.251273733614184</v>
      </c>
      <c r="U40" s="33">
        <f t="shared" si="93"/>
        <v>79.408021545079691</v>
      </c>
      <c r="V40" s="33">
        <f t="shared" si="93"/>
        <v>78.564769356545199</v>
      </c>
      <c r="W40" s="33">
        <f t="shared" si="93"/>
        <v>77.721517168010706</v>
      </c>
      <c r="X40" s="33">
        <f t="shared" si="93"/>
        <v>76.878264979476199</v>
      </c>
      <c r="Y40" s="134">
        <f t="shared" si="93"/>
        <v>76.035012790941721</v>
      </c>
      <c r="Z40" s="33">
        <f t="shared" si="93"/>
        <v>75.191760602407243</v>
      </c>
      <c r="AA40" s="33">
        <f t="shared" si="93"/>
        <v>74.348508413872722</v>
      </c>
      <c r="AB40" s="33">
        <f t="shared" ref="AB40:AK42" si="94">AB$20*$B40</f>
        <v>73.505256225338258</v>
      </c>
      <c r="AC40" s="33">
        <f t="shared" si="94"/>
        <v>72.662004036803765</v>
      </c>
      <c r="AD40" s="33">
        <f t="shared" si="94"/>
        <v>71.818751848269272</v>
      </c>
      <c r="AE40" s="33">
        <f t="shared" si="94"/>
        <v>71.480040189916039</v>
      </c>
      <c r="AF40" s="33">
        <f t="shared" si="94"/>
        <v>71.141328531562806</v>
      </c>
      <c r="AG40" s="33">
        <f t="shared" si="94"/>
        <v>70.802616873209573</v>
      </c>
      <c r="AH40" s="33">
        <f t="shared" si="94"/>
        <v>70.463905214856339</v>
      </c>
      <c r="AI40" s="33">
        <f t="shared" si="94"/>
        <v>70.125193556503106</v>
      </c>
      <c r="AJ40" s="33">
        <f t="shared" si="94"/>
        <v>69.786481898149873</v>
      </c>
      <c r="AK40" s="33">
        <f t="shared" si="94"/>
        <v>69.447770239796625</v>
      </c>
      <c r="AL40" s="33">
        <f t="shared" ref="AL40:AU42" si="95">AL$20*$B40</f>
        <v>69.109058581443421</v>
      </c>
      <c r="AM40" s="33">
        <f t="shared" si="95"/>
        <v>68.770346923090173</v>
      </c>
      <c r="AN40" s="134">
        <f t="shared" si="95"/>
        <v>68.431635264736968</v>
      </c>
      <c r="AO40" s="33">
        <f t="shared" si="95"/>
        <v>73.000509104455887</v>
      </c>
      <c r="AP40" s="33">
        <f t="shared" si="95"/>
        <v>71.541947788666434</v>
      </c>
      <c r="AQ40" s="33">
        <f t="shared" si="95"/>
        <v>70.083386472876967</v>
      </c>
      <c r="AR40" s="33">
        <f t="shared" si="95"/>
        <v>68.624825157087514</v>
      </c>
      <c r="AS40" s="33">
        <f t="shared" si="95"/>
        <v>67.166263841298047</v>
      </c>
      <c r="AT40" s="33">
        <f t="shared" si="95"/>
        <v>65.70770252550858</v>
      </c>
      <c r="AU40" s="33">
        <f t="shared" si="95"/>
        <v>64.249141209719127</v>
      </c>
      <c r="AV40" s="33">
        <f t="shared" ref="AV40:BH42" si="96">AV$20*$B40</f>
        <v>62.790579893929667</v>
      </c>
      <c r="AW40" s="33">
        <f t="shared" si="96"/>
        <v>61.332018578140222</v>
      </c>
      <c r="AX40" s="33">
        <f t="shared" si="96"/>
        <v>59.873457262350747</v>
      </c>
      <c r="AY40" s="33">
        <f t="shared" si="96"/>
        <v>59.361506549404687</v>
      </c>
      <c r="AZ40" s="33">
        <f t="shared" si="96"/>
        <v>58.849555836458649</v>
      </c>
      <c r="BA40" s="33">
        <f t="shared" si="96"/>
        <v>58.33760512351261</v>
      </c>
      <c r="BB40" s="33">
        <f t="shared" si="96"/>
        <v>57.825654410566571</v>
      </c>
      <c r="BC40" s="33">
        <f t="shared" si="96"/>
        <v>57.313703697620532</v>
      </c>
      <c r="BD40" s="33">
        <f t="shared" si="96"/>
        <v>56.801752984674486</v>
      </c>
      <c r="BE40" s="33">
        <f t="shared" si="96"/>
        <v>56.289802271728441</v>
      </c>
      <c r="BF40" s="33">
        <f t="shared" si="96"/>
        <v>55.777851558782402</v>
      </c>
      <c r="BG40" s="33">
        <f t="shared" si="96"/>
        <v>55.265900845836349</v>
      </c>
      <c r="BH40" s="144">
        <f t="shared" si="96"/>
        <v>54.753950132890324</v>
      </c>
      <c r="BI40" s="33"/>
      <c r="BJ40" s="108">
        <f t="shared" si="87"/>
        <v>-5.9564692116703677E-3</v>
      </c>
      <c r="BK40" s="112">
        <f t="shared" si="88"/>
        <v>-6.8160288168981386E-3</v>
      </c>
      <c r="BL40" s="108">
        <f t="shared" si="89"/>
        <v>-6.5634778945676819E-3</v>
      </c>
      <c r="BM40" s="67">
        <f t="shared" si="90"/>
        <v>-8.3400115622503934E-3</v>
      </c>
    </row>
    <row r="41" spans="1:65">
      <c r="A41" s="21" t="s">
        <v>148</v>
      </c>
      <c r="B41" s="73">
        <v>0.29661412422436478</v>
      </c>
      <c r="C41" s="134">
        <f t="shared" si="91"/>
        <v>231.570666847171</v>
      </c>
      <c r="D41" s="134">
        <f t="shared" si="91"/>
        <v>245.10269087317005</v>
      </c>
      <c r="E41" s="134">
        <f t="shared" si="91"/>
        <v>258.63471489916907</v>
      </c>
      <c r="F41" s="134">
        <f t="shared" si="91"/>
        <v>272.16673892516815</v>
      </c>
      <c r="G41" s="134">
        <f t="shared" si="91"/>
        <v>285.69876295116723</v>
      </c>
      <c r="H41" s="134">
        <f t="shared" si="92"/>
        <v>299.2307869771663</v>
      </c>
      <c r="I41" s="134">
        <f t="shared" si="92"/>
        <v>306.49737759014187</v>
      </c>
      <c r="J41" s="33">
        <f t="shared" si="92"/>
        <v>305.27635106779945</v>
      </c>
      <c r="K41" s="33">
        <f t="shared" si="92"/>
        <v>304.05532454545704</v>
      </c>
      <c r="L41" s="33">
        <f t="shared" si="92"/>
        <v>302.83429802311463</v>
      </c>
      <c r="M41" s="33">
        <f t="shared" si="92"/>
        <v>301.61327150077216</v>
      </c>
      <c r="N41" s="33">
        <f t="shared" si="92"/>
        <v>300.39224497842986</v>
      </c>
      <c r="O41" s="33">
        <f t="shared" si="92"/>
        <v>299.17121845608744</v>
      </c>
      <c r="P41" s="33">
        <f t="shared" si="92"/>
        <v>297.95019193374503</v>
      </c>
      <c r="Q41" s="33">
        <f t="shared" si="92"/>
        <v>296.72916541140256</v>
      </c>
      <c r="R41" s="33">
        <f t="shared" si="93"/>
        <v>295.50813888906015</v>
      </c>
      <c r="S41" s="33">
        <f t="shared" si="93"/>
        <v>294.28711236671768</v>
      </c>
      <c r="T41" s="33">
        <f t="shared" si="93"/>
        <v>293.0660858443751</v>
      </c>
      <c r="U41" s="33">
        <f t="shared" si="93"/>
        <v>289.98665038153342</v>
      </c>
      <c r="V41" s="33">
        <f t="shared" si="93"/>
        <v>286.90721491869175</v>
      </c>
      <c r="W41" s="33">
        <f t="shared" si="93"/>
        <v>283.82777945585002</v>
      </c>
      <c r="X41" s="33">
        <f t="shared" si="93"/>
        <v>280.74834399300829</v>
      </c>
      <c r="Y41" s="134">
        <f t="shared" si="93"/>
        <v>277.66890853016668</v>
      </c>
      <c r="Z41" s="33">
        <f t="shared" si="93"/>
        <v>274.58947306732506</v>
      </c>
      <c r="AA41" s="33">
        <f t="shared" si="93"/>
        <v>271.51003760448327</v>
      </c>
      <c r="AB41" s="33">
        <f t="shared" si="94"/>
        <v>268.43060214164166</v>
      </c>
      <c r="AC41" s="33">
        <f t="shared" si="94"/>
        <v>265.35116667879998</v>
      </c>
      <c r="AD41" s="33">
        <f t="shared" si="94"/>
        <v>262.27173121595831</v>
      </c>
      <c r="AE41" s="33">
        <f t="shared" si="94"/>
        <v>261.03480505484913</v>
      </c>
      <c r="AF41" s="33">
        <f t="shared" si="94"/>
        <v>259.79787889374001</v>
      </c>
      <c r="AG41" s="33">
        <f t="shared" si="94"/>
        <v>258.56095273263082</v>
      </c>
      <c r="AH41" s="33">
        <f t="shared" si="94"/>
        <v>257.3240265715217</v>
      </c>
      <c r="AI41" s="33">
        <f t="shared" si="94"/>
        <v>256.08710041041252</v>
      </c>
      <c r="AJ41" s="33">
        <f t="shared" si="94"/>
        <v>254.85017424930339</v>
      </c>
      <c r="AK41" s="33">
        <f t="shared" si="94"/>
        <v>253.61324808819418</v>
      </c>
      <c r="AL41" s="33">
        <f t="shared" si="95"/>
        <v>252.37632192708512</v>
      </c>
      <c r="AM41" s="33">
        <f t="shared" si="95"/>
        <v>251.13939576597593</v>
      </c>
      <c r="AN41" s="134">
        <f t="shared" si="95"/>
        <v>249.90246960486684</v>
      </c>
      <c r="AO41" s="33">
        <f t="shared" si="95"/>
        <v>266.58733840044255</v>
      </c>
      <c r="AP41" s="33">
        <f t="shared" si="95"/>
        <v>261.26088268334917</v>
      </c>
      <c r="AQ41" s="33">
        <f t="shared" si="95"/>
        <v>255.93442696625573</v>
      </c>
      <c r="AR41" s="33">
        <f t="shared" si="95"/>
        <v>250.60797124916232</v>
      </c>
      <c r="AS41" s="33">
        <f t="shared" si="95"/>
        <v>245.28151553206891</v>
      </c>
      <c r="AT41" s="33">
        <f t="shared" si="95"/>
        <v>239.95505981497544</v>
      </c>
      <c r="AU41" s="33">
        <f t="shared" si="95"/>
        <v>234.62860409788206</v>
      </c>
      <c r="AV41" s="33">
        <f t="shared" si="96"/>
        <v>229.30214838078862</v>
      </c>
      <c r="AW41" s="33">
        <f t="shared" si="96"/>
        <v>223.97569266369524</v>
      </c>
      <c r="AX41" s="33">
        <f t="shared" si="96"/>
        <v>218.64923694660177</v>
      </c>
      <c r="AY41" s="33">
        <f t="shared" si="96"/>
        <v>216.77966672536931</v>
      </c>
      <c r="AZ41" s="33">
        <f t="shared" si="96"/>
        <v>214.91009650413696</v>
      </c>
      <c r="BA41" s="33">
        <f t="shared" si="96"/>
        <v>213.04052628290458</v>
      </c>
      <c r="BB41" s="33">
        <f t="shared" si="96"/>
        <v>211.1709560616722</v>
      </c>
      <c r="BC41" s="33">
        <f t="shared" si="96"/>
        <v>209.30138584043982</v>
      </c>
      <c r="BD41" s="33">
        <f t="shared" si="96"/>
        <v>207.43181561920744</v>
      </c>
      <c r="BE41" s="33">
        <f t="shared" si="96"/>
        <v>205.56224539797503</v>
      </c>
      <c r="BF41" s="33">
        <f t="shared" si="96"/>
        <v>203.69267517674265</v>
      </c>
      <c r="BG41" s="33">
        <f t="shared" si="96"/>
        <v>201.82310495551025</v>
      </c>
      <c r="BH41" s="144">
        <f t="shared" si="96"/>
        <v>199.95353473427789</v>
      </c>
      <c r="BI41" s="33"/>
      <c r="BJ41" s="108">
        <f t="shared" si="87"/>
        <v>-5.9564692116703712E-3</v>
      </c>
      <c r="BK41" s="112">
        <f t="shared" si="88"/>
        <v>-6.8160288168981412E-3</v>
      </c>
      <c r="BL41" s="108">
        <f t="shared" si="89"/>
        <v>-6.5634778945676819E-3</v>
      </c>
      <c r="BM41" s="67">
        <f t="shared" si="90"/>
        <v>-8.3400115622503934E-3</v>
      </c>
    </row>
    <row r="42" spans="1:65">
      <c r="A42" s="172" t="s">
        <v>149</v>
      </c>
      <c r="B42" s="173">
        <f>1-B41-B40</f>
        <v>0.62216303073778934</v>
      </c>
      <c r="C42" s="174">
        <f t="shared" si="91"/>
        <v>485.73111038578145</v>
      </c>
      <c r="D42" s="174">
        <f t="shared" si="91"/>
        <v>514.11521077900397</v>
      </c>
      <c r="E42" s="174">
        <f t="shared" si="91"/>
        <v>542.4993111722265</v>
      </c>
      <c r="F42" s="174">
        <f t="shared" si="91"/>
        <v>570.88341156544902</v>
      </c>
      <c r="G42" s="174">
        <f t="shared" si="91"/>
        <v>599.26751195867155</v>
      </c>
      <c r="H42" s="174">
        <f t="shared" si="92"/>
        <v>627.65161235189419</v>
      </c>
      <c r="I42" s="174">
        <f t="shared" si="92"/>
        <v>642.89365131656564</v>
      </c>
      <c r="J42" s="175">
        <f t="shared" si="92"/>
        <v>640.33248682806288</v>
      </c>
      <c r="K42" s="175">
        <f t="shared" si="92"/>
        <v>637.77132233956013</v>
      </c>
      <c r="L42" s="175">
        <f t="shared" si="92"/>
        <v>635.21015785105749</v>
      </c>
      <c r="M42" s="175">
        <f t="shared" si="92"/>
        <v>632.64899336255462</v>
      </c>
      <c r="N42" s="175">
        <f t="shared" si="92"/>
        <v>630.08782887405209</v>
      </c>
      <c r="O42" s="175">
        <f t="shared" si="92"/>
        <v>627.52666438554934</v>
      </c>
      <c r="P42" s="175">
        <f t="shared" si="92"/>
        <v>624.9654998970467</v>
      </c>
      <c r="Q42" s="175">
        <f t="shared" si="92"/>
        <v>622.40433540854383</v>
      </c>
      <c r="R42" s="175">
        <f t="shared" si="93"/>
        <v>619.84317092004108</v>
      </c>
      <c r="S42" s="175">
        <f t="shared" si="93"/>
        <v>617.28200643153832</v>
      </c>
      <c r="T42" s="175">
        <f t="shared" si="93"/>
        <v>614.72084194303511</v>
      </c>
      <c r="U42" s="175">
        <f t="shared" si="93"/>
        <v>608.26157131479715</v>
      </c>
      <c r="V42" s="175">
        <f t="shared" si="93"/>
        <v>601.80230068655897</v>
      </c>
      <c r="W42" s="175">
        <f t="shared" si="93"/>
        <v>595.34303005832089</v>
      </c>
      <c r="X42" s="175">
        <f t="shared" si="93"/>
        <v>588.8837594300827</v>
      </c>
      <c r="Y42" s="174">
        <f t="shared" si="93"/>
        <v>582.42448880184463</v>
      </c>
      <c r="Z42" s="175">
        <f t="shared" si="93"/>
        <v>575.96521817360667</v>
      </c>
      <c r="AA42" s="175">
        <f t="shared" si="93"/>
        <v>569.50594754536837</v>
      </c>
      <c r="AB42" s="175">
        <f t="shared" si="94"/>
        <v>563.04667691713041</v>
      </c>
      <c r="AC42" s="175">
        <f t="shared" si="94"/>
        <v>556.58740628889234</v>
      </c>
      <c r="AD42" s="175">
        <f t="shared" si="94"/>
        <v>550.12813566065415</v>
      </c>
      <c r="AE42" s="175">
        <f t="shared" si="94"/>
        <v>547.53362088086442</v>
      </c>
      <c r="AF42" s="175">
        <f t="shared" si="94"/>
        <v>544.93910610107457</v>
      </c>
      <c r="AG42" s="175">
        <f t="shared" si="94"/>
        <v>542.34459132128472</v>
      </c>
      <c r="AH42" s="175">
        <f t="shared" si="94"/>
        <v>539.75007654149488</v>
      </c>
      <c r="AI42" s="175">
        <f t="shared" si="94"/>
        <v>537.15556176170503</v>
      </c>
      <c r="AJ42" s="175">
        <f t="shared" si="94"/>
        <v>534.5610469819153</v>
      </c>
      <c r="AK42" s="175">
        <f t="shared" si="94"/>
        <v>531.96653220212534</v>
      </c>
      <c r="AL42" s="175">
        <f t="shared" si="95"/>
        <v>529.37201742233572</v>
      </c>
      <c r="AM42" s="175">
        <f t="shared" si="95"/>
        <v>526.77750264254576</v>
      </c>
      <c r="AN42" s="174">
        <f t="shared" si="95"/>
        <v>524.18298786275614</v>
      </c>
      <c r="AO42" s="175">
        <f t="shared" si="95"/>
        <v>559.18033859398963</v>
      </c>
      <c r="AP42" s="175">
        <f t="shared" si="95"/>
        <v>548.00783006728591</v>
      </c>
      <c r="AQ42" s="175">
        <f t="shared" si="95"/>
        <v>536.83532154058219</v>
      </c>
      <c r="AR42" s="175">
        <f t="shared" si="95"/>
        <v>525.66281301387846</v>
      </c>
      <c r="AS42" s="175">
        <f t="shared" si="95"/>
        <v>514.49030448717485</v>
      </c>
      <c r="AT42" s="175">
        <f t="shared" si="95"/>
        <v>503.31779596047102</v>
      </c>
      <c r="AU42" s="175">
        <f t="shared" si="95"/>
        <v>492.14528743376741</v>
      </c>
      <c r="AV42" s="175">
        <f t="shared" si="96"/>
        <v>480.97277890706363</v>
      </c>
      <c r="AW42" s="175">
        <f t="shared" si="96"/>
        <v>469.80027038036002</v>
      </c>
      <c r="AX42" s="175">
        <f t="shared" si="96"/>
        <v>458.62776185365624</v>
      </c>
      <c r="AY42" s="175">
        <f t="shared" si="96"/>
        <v>454.7062443667167</v>
      </c>
      <c r="AZ42" s="175">
        <f t="shared" si="96"/>
        <v>450.78472687977734</v>
      </c>
      <c r="BA42" s="175">
        <f t="shared" si="96"/>
        <v>446.86320939283797</v>
      </c>
      <c r="BB42" s="175">
        <f t="shared" si="96"/>
        <v>442.94169190589861</v>
      </c>
      <c r="BC42" s="175">
        <f t="shared" si="96"/>
        <v>439.02017441895924</v>
      </c>
      <c r="BD42" s="175">
        <f t="shared" si="96"/>
        <v>435.09865693201982</v>
      </c>
      <c r="BE42" s="175">
        <f t="shared" si="96"/>
        <v>431.1771394450804</v>
      </c>
      <c r="BF42" s="175">
        <f t="shared" si="96"/>
        <v>427.25562195814103</v>
      </c>
      <c r="BG42" s="175">
        <f t="shared" si="96"/>
        <v>423.33410447120156</v>
      </c>
      <c r="BH42" s="178">
        <f t="shared" si="96"/>
        <v>419.4125869842623</v>
      </c>
      <c r="BI42" s="175"/>
      <c r="BJ42" s="179">
        <f t="shared" si="87"/>
        <v>-5.9564692116703677E-3</v>
      </c>
      <c r="BK42" s="180">
        <f t="shared" si="88"/>
        <v>-6.8160288168981386E-3</v>
      </c>
      <c r="BL42" s="179">
        <f t="shared" si="89"/>
        <v>-6.5634778945676819E-3</v>
      </c>
      <c r="BM42" s="181">
        <f t="shared" si="90"/>
        <v>-8.3400115622503934E-3</v>
      </c>
    </row>
    <row r="43" spans="1:65">
      <c r="BJ43" s="1"/>
      <c r="BK43" s="1"/>
      <c r="BL43" s="1"/>
    </row>
    <row r="44" spans="1:65" s="65" customFormat="1" collapsed="1">
      <c r="A44" s="64" t="s">
        <v>592</v>
      </c>
      <c r="B44" s="117" t="s">
        <v>450</v>
      </c>
      <c r="C44" s="107"/>
      <c r="D44" s="107"/>
      <c r="E44" s="107"/>
      <c r="F44" s="107"/>
      <c r="G44" s="107"/>
      <c r="H44" s="131"/>
      <c r="I44" s="131"/>
      <c r="J44" s="107"/>
      <c r="K44" s="107"/>
      <c r="L44" s="107"/>
      <c r="M44" s="107"/>
      <c r="N44" s="107"/>
      <c r="O44" s="107"/>
      <c r="P44" s="107"/>
      <c r="Q44" s="107"/>
      <c r="R44" s="107"/>
      <c r="S44" s="107"/>
      <c r="T44" s="107"/>
      <c r="U44" s="107"/>
      <c r="V44" s="107"/>
      <c r="W44" s="107"/>
      <c r="X44" s="107"/>
      <c r="Y44" s="131"/>
      <c r="Z44" s="107"/>
      <c r="AA44" s="107"/>
      <c r="AB44" s="107"/>
      <c r="AC44" s="107"/>
      <c r="AD44" s="107"/>
      <c r="AE44" s="107"/>
      <c r="AF44" s="107"/>
      <c r="AG44" s="107"/>
      <c r="AH44" s="107"/>
      <c r="AI44" s="107"/>
      <c r="AJ44" s="107"/>
      <c r="AK44" s="107"/>
      <c r="AL44" s="107"/>
      <c r="AM44" s="107"/>
      <c r="AN44" s="131"/>
      <c r="AO44" s="107"/>
      <c r="AP44" s="107"/>
      <c r="AQ44" s="107"/>
      <c r="AR44" s="107"/>
      <c r="AS44" s="107"/>
      <c r="AT44" s="107"/>
      <c r="AU44" s="107"/>
      <c r="AV44" s="107"/>
      <c r="AW44" s="107"/>
      <c r="AX44" s="107"/>
      <c r="AY44" s="107"/>
      <c r="AZ44" s="107"/>
      <c r="BA44" s="107"/>
      <c r="BB44" s="107"/>
      <c r="BC44" s="107"/>
      <c r="BD44" s="107"/>
      <c r="BE44" s="107"/>
      <c r="BF44" s="107"/>
      <c r="BG44" s="107"/>
      <c r="BH44" s="141"/>
      <c r="BI44" s="107"/>
      <c r="BJ44" s="110"/>
      <c r="BK44" s="107"/>
      <c r="BL44" s="107"/>
    </row>
    <row r="45" spans="1:65">
      <c r="A45" s="21" t="s">
        <v>150</v>
      </c>
      <c r="B45" s="171">
        <v>0.09</v>
      </c>
      <c r="C45" s="134">
        <f t="shared" ref="C45:G45" si="97">C31*$B45</f>
        <v>9.1519624899000007</v>
      </c>
      <c r="D45" s="134">
        <f t="shared" si="97"/>
        <v>9.8233603431479999</v>
      </c>
      <c r="E45" s="134">
        <f t="shared" si="97"/>
        <v>10.494758196395999</v>
      </c>
      <c r="F45" s="134">
        <f t="shared" si="97"/>
        <v>11.166156049643998</v>
      </c>
      <c r="G45" s="134">
        <f t="shared" si="97"/>
        <v>11.837553902891999</v>
      </c>
      <c r="H45" s="482">
        <f t="shared" ref="H45:AM45" si="98">H31*$B45</f>
        <v>12.50895175614</v>
      </c>
      <c r="I45" s="134">
        <f t="shared" si="98"/>
        <v>11.35083326877</v>
      </c>
      <c r="J45" s="33">
        <f t="shared" si="98"/>
        <v>11.719723003334897</v>
      </c>
      <c r="K45" s="33">
        <f t="shared" si="98"/>
        <v>12.088612737899792</v>
      </c>
      <c r="L45" s="33">
        <f t="shared" si="98"/>
        <v>12.457502472464677</v>
      </c>
      <c r="M45" s="33">
        <f t="shared" si="98"/>
        <v>12.826392207029572</v>
      </c>
      <c r="N45" s="33">
        <f t="shared" si="98"/>
        <v>13.195281941594471</v>
      </c>
      <c r="O45" s="33">
        <f t="shared" si="98"/>
        <v>13.564171676159368</v>
      </c>
      <c r="P45" s="33">
        <f t="shared" si="98"/>
        <v>13.933061410724248</v>
      </c>
      <c r="Q45" s="33">
        <f t="shared" si="98"/>
        <v>14.301951145289147</v>
      </c>
      <c r="R45" s="33">
        <f t="shared" si="98"/>
        <v>14.670840879854044</v>
      </c>
      <c r="S45" s="33">
        <f t="shared" si="98"/>
        <v>15.039730614418939</v>
      </c>
      <c r="T45" s="33">
        <f t="shared" si="98"/>
        <v>15.408620348983838</v>
      </c>
      <c r="U45" s="33">
        <f t="shared" si="98"/>
        <v>15.876398520354687</v>
      </c>
      <c r="V45" s="33">
        <f t="shared" si="98"/>
        <v>16.344176691725551</v>
      </c>
      <c r="W45" s="33">
        <f t="shared" si="98"/>
        <v>16.8119548630964</v>
      </c>
      <c r="X45" s="33">
        <f t="shared" si="98"/>
        <v>17.279733034467249</v>
      </c>
      <c r="Y45" s="134">
        <f t="shared" si="98"/>
        <v>17.747511205838098</v>
      </c>
      <c r="Z45" s="33">
        <f t="shared" si="98"/>
        <v>18.215289377208947</v>
      </c>
      <c r="AA45" s="33">
        <f t="shared" si="98"/>
        <v>18.68306754857981</v>
      </c>
      <c r="AB45" s="33">
        <f t="shared" si="98"/>
        <v>19.150845719950659</v>
      </c>
      <c r="AC45" s="33">
        <f t="shared" si="98"/>
        <v>19.618623891321512</v>
      </c>
      <c r="AD45" s="33">
        <f t="shared" si="98"/>
        <v>20.086402062692361</v>
      </c>
      <c r="AE45" s="33">
        <f t="shared" si="98"/>
        <v>20.736025108383203</v>
      </c>
      <c r="AF45" s="33">
        <f t="shared" si="98"/>
        <v>21.385648154074026</v>
      </c>
      <c r="AG45" s="33">
        <f t="shared" si="98"/>
        <v>22.035271199764839</v>
      </c>
      <c r="AH45" s="33">
        <f t="shared" si="98"/>
        <v>22.684894245455663</v>
      </c>
      <c r="AI45" s="33">
        <f t="shared" si="98"/>
        <v>23.334517291146476</v>
      </c>
      <c r="AJ45" s="33">
        <f t="shared" si="98"/>
        <v>23.984140336837317</v>
      </c>
      <c r="AK45" s="33">
        <f t="shared" si="98"/>
        <v>24.633763382528159</v>
      </c>
      <c r="AL45" s="33">
        <f t="shared" si="98"/>
        <v>25.283386428218968</v>
      </c>
      <c r="AM45" s="33">
        <f t="shared" si="98"/>
        <v>25.933009473909777</v>
      </c>
      <c r="AN45" s="134">
        <f t="shared" ref="AN45:BH45" si="99">AN31*$B45</f>
        <v>26.582632519600619</v>
      </c>
      <c r="AO45" s="33">
        <f t="shared" si="99"/>
        <v>27.147352429496653</v>
      </c>
      <c r="AP45" s="33">
        <f t="shared" si="99"/>
        <v>27.712072339392659</v>
      </c>
      <c r="AQ45" s="33">
        <f t="shared" si="99"/>
        <v>28.276792249288658</v>
      </c>
      <c r="AR45" s="33">
        <f t="shared" si="99"/>
        <v>28.841512159184663</v>
      </c>
      <c r="AS45" s="33">
        <f t="shared" si="99"/>
        <v>29.406232069080666</v>
      </c>
      <c r="AT45" s="33">
        <f t="shared" si="99"/>
        <v>29.970951978976696</v>
      </c>
      <c r="AU45" s="33">
        <f t="shared" si="99"/>
        <v>30.535671888872702</v>
      </c>
      <c r="AV45" s="33">
        <f t="shared" si="99"/>
        <v>31.100391798768705</v>
      </c>
      <c r="AW45" s="33">
        <f t="shared" si="99"/>
        <v>31.66511170866471</v>
      </c>
      <c r="AX45" s="33">
        <f t="shared" si="99"/>
        <v>32.229831618560745</v>
      </c>
      <c r="AY45" s="33">
        <f t="shared" si="99"/>
        <v>32.821226329468232</v>
      </c>
      <c r="AZ45" s="33">
        <f t="shared" si="99"/>
        <v>33.412621040375697</v>
      </c>
      <c r="BA45" s="33">
        <f t="shared" si="99"/>
        <v>34.004015751283198</v>
      </c>
      <c r="BB45" s="33">
        <f t="shared" si="99"/>
        <v>34.595410462190685</v>
      </c>
      <c r="BC45" s="33">
        <f t="shared" si="99"/>
        <v>35.186805173098179</v>
      </c>
      <c r="BD45" s="33">
        <f t="shared" si="99"/>
        <v>35.778199884005673</v>
      </c>
      <c r="BE45" s="33">
        <f t="shared" si="99"/>
        <v>36.369594594913167</v>
      </c>
      <c r="BF45" s="33">
        <f t="shared" si="99"/>
        <v>36.960989305820632</v>
      </c>
      <c r="BG45" s="33">
        <f t="shared" si="99"/>
        <v>37.552384016728126</v>
      </c>
      <c r="BH45" s="144">
        <f t="shared" si="99"/>
        <v>38.143778727635649</v>
      </c>
      <c r="BI45" s="33"/>
      <c r="BJ45" s="176">
        <f t="shared" ref="BJ45:BJ49" si="100">IFERROR(-(1-(AN45/I45))/31,"")</f>
        <v>4.3287426684513665E-2</v>
      </c>
      <c r="BK45" s="177">
        <f t="shared" ref="BK45:BK49" si="101">IFERROR(-(1-(BH45/I45))/51,"")</f>
        <v>4.6283110614256419E-2</v>
      </c>
      <c r="BL45" s="176">
        <f t="shared" ref="BL45:BL49" si="102">IFERROR((AN45/I45)^(1/31)-1,"")</f>
        <v>2.7830783731149111E-2</v>
      </c>
      <c r="BM45" s="100">
        <f t="shared" ref="BM45:BM49" si="103">IFERROR((BH45/I45)^(1/51)-1,"")</f>
        <v>2.4050772704349521E-2</v>
      </c>
    </row>
    <row r="46" spans="1:65">
      <c r="A46" s="172" t="s">
        <v>151</v>
      </c>
      <c r="B46" s="173">
        <f>1-B45</f>
        <v>0.91</v>
      </c>
      <c r="C46" s="174">
        <f t="shared" ref="C46:G46" si="104">C31*$B46</f>
        <v>92.536509620100006</v>
      </c>
      <c r="D46" s="174">
        <f t="shared" si="104"/>
        <v>99.325087914052006</v>
      </c>
      <c r="E46" s="174">
        <f t="shared" si="104"/>
        <v>106.11366620800401</v>
      </c>
      <c r="F46" s="174">
        <f t="shared" si="104"/>
        <v>112.90224450195599</v>
      </c>
      <c r="G46" s="174">
        <f t="shared" si="104"/>
        <v>119.69082279590801</v>
      </c>
      <c r="H46" s="174">
        <f t="shared" ref="H46:AM46" si="105">H31*$B46</f>
        <v>126.47940108986</v>
      </c>
      <c r="I46" s="174">
        <f t="shared" si="105"/>
        <v>114.76953638423001</v>
      </c>
      <c r="J46" s="175">
        <f t="shared" si="105"/>
        <v>118.49942147816397</v>
      </c>
      <c r="K46" s="175">
        <f t="shared" si="105"/>
        <v>122.22930657209791</v>
      </c>
      <c r="L46" s="175">
        <f t="shared" si="105"/>
        <v>125.95919166603174</v>
      </c>
      <c r="M46" s="175">
        <f t="shared" si="105"/>
        <v>129.6890767599657</v>
      </c>
      <c r="N46" s="175">
        <f t="shared" si="105"/>
        <v>133.41896185389967</v>
      </c>
      <c r="O46" s="175">
        <f t="shared" si="105"/>
        <v>137.14884694783362</v>
      </c>
      <c r="P46" s="175">
        <f t="shared" si="105"/>
        <v>140.87873204176742</v>
      </c>
      <c r="Q46" s="175">
        <f t="shared" si="105"/>
        <v>144.60861713570139</v>
      </c>
      <c r="R46" s="175">
        <f t="shared" si="105"/>
        <v>148.33850222963534</v>
      </c>
      <c r="S46" s="175">
        <f t="shared" si="105"/>
        <v>152.06838732356928</v>
      </c>
      <c r="T46" s="175">
        <f t="shared" si="105"/>
        <v>155.79827241750326</v>
      </c>
      <c r="U46" s="175">
        <f t="shared" si="105"/>
        <v>160.52802948358629</v>
      </c>
      <c r="V46" s="175">
        <f t="shared" si="105"/>
        <v>165.25778654966948</v>
      </c>
      <c r="W46" s="175">
        <f t="shared" si="105"/>
        <v>169.98754361575251</v>
      </c>
      <c r="X46" s="175">
        <f t="shared" si="105"/>
        <v>174.71730068183552</v>
      </c>
      <c r="Y46" s="174">
        <f t="shared" si="105"/>
        <v>179.44705774791856</v>
      </c>
      <c r="Z46" s="175">
        <f t="shared" si="105"/>
        <v>184.1768148140016</v>
      </c>
      <c r="AA46" s="175">
        <f t="shared" si="105"/>
        <v>188.90657188008478</v>
      </c>
      <c r="AB46" s="175">
        <f t="shared" si="105"/>
        <v>193.63632894616779</v>
      </c>
      <c r="AC46" s="175">
        <f t="shared" si="105"/>
        <v>198.36608601225086</v>
      </c>
      <c r="AD46" s="175">
        <f t="shared" si="105"/>
        <v>203.0958430783339</v>
      </c>
      <c r="AE46" s="175">
        <f t="shared" si="105"/>
        <v>209.6642538736524</v>
      </c>
      <c r="AF46" s="175">
        <f t="shared" si="105"/>
        <v>216.23266466897073</v>
      </c>
      <c r="AG46" s="175">
        <f t="shared" si="105"/>
        <v>222.80107546428894</v>
      </c>
      <c r="AH46" s="175">
        <f t="shared" si="105"/>
        <v>229.36948625960727</v>
      </c>
      <c r="AI46" s="175">
        <f t="shared" si="105"/>
        <v>235.93789705492549</v>
      </c>
      <c r="AJ46" s="175">
        <f t="shared" si="105"/>
        <v>242.50630785024401</v>
      </c>
      <c r="AK46" s="175">
        <f t="shared" si="105"/>
        <v>249.07471864556251</v>
      </c>
      <c r="AL46" s="175">
        <f t="shared" si="105"/>
        <v>255.6431294408807</v>
      </c>
      <c r="AM46" s="175">
        <f t="shared" si="105"/>
        <v>262.21154023619891</v>
      </c>
      <c r="AN46" s="174">
        <f t="shared" ref="AN46:BH46" si="106">AN31*$B46</f>
        <v>268.77995103151738</v>
      </c>
      <c r="AO46" s="175">
        <f t="shared" si="106"/>
        <v>274.48989678713281</v>
      </c>
      <c r="AP46" s="175">
        <f t="shared" si="106"/>
        <v>280.199842542748</v>
      </c>
      <c r="AQ46" s="175">
        <f t="shared" si="106"/>
        <v>285.90978829836314</v>
      </c>
      <c r="AR46" s="175">
        <f t="shared" si="106"/>
        <v>291.61973405397828</v>
      </c>
      <c r="AS46" s="175">
        <f t="shared" si="106"/>
        <v>297.32967980959342</v>
      </c>
      <c r="AT46" s="175">
        <f t="shared" si="106"/>
        <v>303.03962556520884</v>
      </c>
      <c r="AU46" s="175">
        <f t="shared" si="106"/>
        <v>308.74957132082403</v>
      </c>
      <c r="AV46" s="175">
        <f t="shared" si="106"/>
        <v>314.45951707643917</v>
      </c>
      <c r="AW46" s="175">
        <f t="shared" si="106"/>
        <v>320.16946283205431</v>
      </c>
      <c r="AX46" s="175">
        <f t="shared" si="106"/>
        <v>325.87940858766973</v>
      </c>
      <c r="AY46" s="175">
        <f t="shared" si="106"/>
        <v>331.85906622017882</v>
      </c>
      <c r="AZ46" s="175">
        <f t="shared" si="106"/>
        <v>337.83872385268762</v>
      </c>
      <c r="BA46" s="175">
        <f t="shared" si="106"/>
        <v>343.81838148519677</v>
      </c>
      <c r="BB46" s="175">
        <f t="shared" si="106"/>
        <v>349.79803911770586</v>
      </c>
      <c r="BC46" s="175">
        <f t="shared" si="106"/>
        <v>355.777696750215</v>
      </c>
      <c r="BD46" s="175">
        <f t="shared" si="106"/>
        <v>361.75735438272403</v>
      </c>
      <c r="BE46" s="175">
        <f t="shared" si="106"/>
        <v>367.73701201523312</v>
      </c>
      <c r="BF46" s="175">
        <f t="shared" si="106"/>
        <v>373.71666964774192</v>
      </c>
      <c r="BG46" s="175">
        <f t="shared" si="106"/>
        <v>379.69632728025107</v>
      </c>
      <c r="BH46" s="178">
        <f t="shared" si="106"/>
        <v>385.67598491276044</v>
      </c>
      <c r="BI46" s="175"/>
      <c r="BJ46" s="179">
        <f t="shared" si="100"/>
        <v>4.3287426684513665E-2</v>
      </c>
      <c r="BK46" s="180">
        <f t="shared" si="101"/>
        <v>4.6283110614256412E-2</v>
      </c>
      <c r="BL46" s="179">
        <f t="shared" si="102"/>
        <v>2.7830783731149111E-2</v>
      </c>
      <c r="BM46" s="181">
        <f t="shared" si="103"/>
        <v>2.4050772704349521E-2</v>
      </c>
    </row>
    <row r="47" spans="1:65">
      <c r="A47" s="21" t="s">
        <v>112</v>
      </c>
      <c r="B47" s="171">
        <v>0.1323391593786046</v>
      </c>
      <c r="C47" s="134">
        <f t="shared" ref="C47:G47" si="107">(C$30*$B$47)*0.1</f>
        <v>88.590754673657813</v>
      </c>
      <c r="D47" s="134">
        <f t="shared" si="107"/>
        <v>96.120081194921525</v>
      </c>
      <c r="E47" s="134">
        <f t="shared" si="107"/>
        <v>103.64940771618524</v>
      </c>
      <c r="F47" s="134">
        <f t="shared" si="107"/>
        <v>111.17873423744896</v>
      </c>
      <c r="G47" s="134">
        <f t="shared" si="107"/>
        <v>118.70806075871269</v>
      </c>
      <c r="H47" s="134">
        <f t="shared" ref="H47:AM47" si="108">(H$30*$B$47)*0.1</f>
        <v>126.23738727997639</v>
      </c>
      <c r="I47" s="134">
        <f t="shared" si="108"/>
        <v>132.05856292170913</v>
      </c>
      <c r="J47" s="33">
        <f t="shared" si="108"/>
        <v>136.35032257227522</v>
      </c>
      <c r="K47" s="33">
        <f t="shared" si="108"/>
        <v>140.64208222284134</v>
      </c>
      <c r="L47" s="33">
        <f t="shared" si="108"/>
        <v>144.93384187340743</v>
      </c>
      <c r="M47" s="33">
        <f t="shared" si="108"/>
        <v>149.22560152397358</v>
      </c>
      <c r="N47" s="33">
        <f t="shared" si="108"/>
        <v>153.51736117453967</v>
      </c>
      <c r="O47" s="33">
        <f t="shared" si="108"/>
        <v>157.80912082510579</v>
      </c>
      <c r="P47" s="33">
        <f t="shared" si="108"/>
        <v>162.10088047567194</v>
      </c>
      <c r="Q47" s="33">
        <f t="shared" si="108"/>
        <v>166.39264012623804</v>
      </c>
      <c r="R47" s="33">
        <f t="shared" si="108"/>
        <v>170.68439977680413</v>
      </c>
      <c r="S47" s="33">
        <f t="shared" si="108"/>
        <v>174.97615942737025</v>
      </c>
      <c r="T47" s="33">
        <f t="shared" si="108"/>
        <v>179.26791907793648</v>
      </c>
      <c r="U47" s="33">
        <f t="shared" si="108"/>
        <v>184.71017266537498</v>
      </c>
      <c r="V47" s="33">
        <f t="shared" si="108"/>
        <v>190.15242625281348</v>
      </c>
      <c r="W47" s="33">
        <f t="shared" si="108"/>
        <v>195.59467984025196</v>
      </c>
      <c r="X47" s="33">
        <f t="shared" si="108"/>
        <v>201.03693342769046</v>
      </c>
      <c r="Y47" s="134">
        <f t="shared" si="108"/>
        <v>206.47918701512896</v>
      </c>
      <c r="Z47" s="33">
        <f t="shared" si="108"/>
        <v>211.92144060256749</v>
      </c>
      <c r="AA47" s="33">
        <f t="shared" si="108"/>
        <v>217.36369419000596</v>
      </c>
      <c r="AB47" s="33">
        <f t="shared" si="108"/>
        <v>222.80594777744446</v>
      </c>
      <c r="AC47" s="33">
        <f t="shared" si="108"/>
        <v>228.24820136488299</v>
      </c>
      <c r="AD47" s="33">
        <f t="shared" si="108"/>
        <v>233.6904549523214</v>
      </c>
      <c r="AE47" s="33">
        <f t="shared" si="108"/>
        <v>241.2483393669209</v>
      </c>
      <c r="AF47" s="33">
        <f t="shared" si="108"/>
        <v>248.80622378152043</v>
      </c>
      <c r="AG47" s="33">
        <f t="shared" si="108"/>
        <v>256.36410819611996</v>
      </c>
      <c r="AH47" s="33">
        <f t="shared" si="108"/>
        <v>263.92199261071943</v>
      </c>
      <c r="AI47" s="33">
        <f t="shared" si="108"/>
        <v>271.4798770253189</v>
      </c>
      <c r="AJ47" s="33">
        <f t="shared" si="108"/>
        <v>279.03776143991843</v>
      </c>
      <c r="AK47" s="33">
        <f t="shared" si="108"/>
        <v>286.5956458545179</v>
      </c>
      <c r="AL47" s="33">
        <f t="shared" si="108"/>
        <v>294.15353026911737</v>
      </c>
      <c r="AM47" s="33">
        <f t="shared" si="108"/>
        <v>301.71141468371684</v>
      </c>
      <c r="AN47" s="134">
        <f t="shared" ref="AN47:BH47" si="109">(AN$30*$B$47)*0.1</f>
        <v>309.26929909831654</v>
      </c>
      <c r="AO47" s="33">
        <f t="shared" si="109"/>
        <v>315.83939822569323</v>
      </c>
      <c r="AP47" s="33">
        <f t="shared" si="109"/>
        <v>322.40949735306992</v>
      </c>
      <c r="AQ47" s="33">
        <f t="shared" si="109"/>
        <v>328.97959648044662</v>
      </c>
      <c r="AR47" s="33">
        <f t="shared" si="109"/>
        <v>335.54969560782325</v>
      </c>
      <c r="AS47" s="33">
        <f t="shared" si="109"/>
        <v>342.11979473519995</v>
      </c>
      <c r="AT47" s="33">
        <f t="shared" si="109"/>
        <v>348.68989386257658</v>
      </c>
      <c r="AU47" s="33">
        <f t="shared" si="109"/>
        <v>355.25999298995333</v>
      </c>
      <c r="AV47" s="33">
        <f t="shared" si="109"/>
        <v>361.83009211732997</v>
      </c>
      <c r="AW47" s="33">
        <f t="shared" si="109"/>
        <v>368.40019124470666</v>
      </c>
      <c r="AX47" s="33">
        <f t="shared" si="109"/>
        <v>374.97029037208358</v>
      </c>
      <c r="AY47" s="33">
        <f t="shared" si="109"/>
        <v>381.85073111089861</v>
      </c>
      <c r="AZ47" s="33">
        <f t="shared" si="109"/>
        <v>388.73117184971369</v>
      </c>
      <c r="BA47" s="33">
        <f t="shared" si="109"/>
        <v>395.61161258852871</v>
      </c>
      <c r="BB47" s="33">
        <f t="shared" si="109"/>
        <v>402.4920533273438</v>
      </c>
      <c r="BC47" s="33">
        <f t="shared" si="109"/>
        <v>409.37249406615888</v>
      </c>
      <c r="BD47" s="33">
        <f t="shared" si="109"/>
        <v>416.25293480497385</v>
      </c>
      <c r="BE47" s="33">
        <f t="shared" si="109"/>
        <v>423.13337554378899</v>
      </c>
      <c r="BF47" s="33">
        <f t="shared" si="109"/>
        <v>430.01381628260407</v>
      </c>
      <c r="BG47" s="33">
        <f t="shared" si="109"/>
        <v>436.89425702141909</v>
      </c>
      <c r="BH47" s="144">
        <f t="shared" si="109"/>
        <v>443.7746977602344</v>
      </c>
      <c r="BI47" s="33"/>
      <c r="BJ47" s="108">
        <f t="shared" si="100"/>
        <v>4.32874266845137E-2</v>
      </c>
      <c r="BK47" s="112">
        <f t="shared" si="101"/>
        <v>4.6283110614256398E-2</v>
      </c>
      <c r="BL47" s="108">
        <f t="shared" si="102"/>
        <v>2.7830783731149111E-2</v>
      </c>
      <c r="BM47" s="67">
        <f t="shared" si="103"/>
        <v>2.4050772704349521E-2</v>
      </c>
    </row>
    <row r="48" spans="1:65">
      <c r="A48" s="21" t="s">
        <v>148</v>
      </c>
      <c r="B48" s="73">
        <v>0.23569375312982396</v>
      </c>
      <c r="C48" s="134">
        <f t="shared" ref="C48:G48" si="110">(C$30*$B$48)*0.1</f>
        <v>157.77860128234758</v>
      </c>
      <c r="D48" s="134">
        <f t="shared" si="110"/>
        <v>171.18820154480375</v>
      </c>
      <c r="E48" s="134">
        <f t="shared" si="110"/>
        <v>184.59780180725991</v>
      </c>
      <c r="F48" s="134">
        <f t="shared" si="110"/>
        <v>198.00740206971611</v>
      </c>
      <c r="G48" s="134">
        <f t="shared" si="110"/>
        <v>211.4170023321723</v>
      </c>
      <c r="H48" s="134">
        <f t="shared" ref="H48:AM48" si="111">(H$30*$B$48)*0.1</f>
        <v>224.82660259462847</v>
      </c>
      <c r="I48" s="134">
        <f t="shared" si="111"/>
        <v>235.1940156949546</v>
      </c>
      <c r="J48" s="33">
        <f t="shared" si="111"/>
        <v>242.83756537686838</v>
      </c>
      <c r="K48" s="33">
        <f t="shared" si="111"/>
        <v>250.48111505878217</v>
      </c>
      <c r="L48" s="33">
        <f t="shared" si="111"/>
        <v>258.12466474069595</v>
      </c>
      <c r="M48" s="33">
        <f t="shared" si="111"/>
        <v>265.76821442260973</v>
      </c>
      <c r="N48" s="33">
        <f t="shared" si="111"/>
        <v>273.41176410452351</v>
      </c>
      <c r="O48" s="33">
        <f t="shared" si="111"/>
        <v>281.05531378643724</v>
      </c>
      <c r="P48" s="33">
        <f t="shared" si="111"/>
        <v>288.69886346835102</v>
      </c>
      <c r="Q48" s="33">
        <f t="shared" si="111"/>
        <v>296.3424131502648</v>
      </c>
      <c r="R48" s="33">
        <f t="shared" si="111"/>
        <v>303.98596283217853</v>
      </c>
      <c r="S48" s="33">
        <f t="shared" si="111"/>
        <v>311.62951251409231</v>
      </c>
      <c r="T48" s="33">
        <f t="shared" si="111"/>
        <v>319.27306219600632</v>
      </c>
      <c r="U48" s="33">
        <f t="shared" si="111"/>
        <v>328.96562167371906</v>
      </c>
      <c r="V48" s="33">
        <f t="shared" si="111"/>
        <v>338.65818115143179</v>
      </c>
      <c r="W48" s="33">
        <f t="shared" si="111"/>
        <v>348.35074062914441</v>
      </c>
      <c r="X48" s="33">
        <f t="shared" si="111"/>
        <v>358.0433001068572</v>
      </c>
      <c r="Y48" s="134">
        <f t="shared" si="111"/>
        <v>367.73585958456988</v>
      </c>
      <c r="Z48" s="33">
        <f t="shared" si="111"/>
        <v>377.42841906228261</v>
      </c>
      <c r="AA48" s="33">
        <f t="shared" si="111"/>
        <v>387.12097853999535</v>
      </c>
      <c r="AB48" s="33">
        <f t="shared" si="111"/>
        <v>396.81353801770803</v>
      </c>
      <c r="AC48" s="33">
        <f t="shared" si="111"/>
        <v>406.50609749542082</v>
      </c>
      <c r="AD48" s="33">
        <f t="shared" si="111"/>
        <v>416.19865697313338</v>
      </c>
      <c r="AE48" s="33">
        <f t="shared" si="111"/>
        <v>429.65911834951385</v>
      </c>
      <c r="AF48" s="33">
        <f t="shared" si="111"/>
        <v>443.11957972589425</v>
      </c>
      <c r="AG48" s="33">
        <f t="shared" si="111"/>
        <v>456.58004110227478</v>
      </c>
      <c r="AH48" s="33">
        <f t="shared" si="111"/>
        <v>470.04050247865507</v>
      </c>
      <c r="AI48" s="33">
        <f t="shared" si="111"/>
        <v>483.50096385503548</v>
      </c>
      <c r="AJ48" s="33">
        <f t="shared" si="111"/>
        <v>496.96142523141589</v>
      </c>
      <c r="AK48" s="33">
        <f t="shared" si="111"/>
        <v>510.42188660779624</v>
      </c>
      <c r="AL48" s="33">
        <f t="shared" si="111"/>
        <v>523.88234798417659</v>
      </c>
      <c r="AM48" s="33">
        <f t="shared" si="111"/>
        <v>537.342809360557</v>
      </c>
      <c r="AN48" s="134">
        <f t="shared" ref="AN48:BH48" si="112">(AN$30*$B$48)*0.1</f>
        <v>550.80327073693775</v>
      </c>
      <c r="AO48" s="33">
        <f t="shared" si="112"/>
        <v>562.50450360737057</v>
      </c>
      <c r="AP48" s="33">
        <f t="shared" si="112"/>
        <v>574.20573647780361</v>
      </c>
      <c r="AQ48" s="33">
        <f t="shared" si="112"/>
        <v>585.90696934823654</v>
      </c>
      <c r="AR48" s="33">
        <f t="shared" si="112"/>
        <v>597.60820221866948</v>
      </c>
      <c r="AS48" s="33">
        <f t="shared" si="112"/>
        <v>609.30943508910229</v>
      </c>
      <c r="AT48" s="33">
        <f t="shared" si="112"/>
        <v>621.01066795953534</v>
      </c>
      <c r="AU48" s="33">
        <f t="shared" si="112"/>
        <v>632.71190082996827</v>
      </c>
      <c r="AV48" s="33">
        <f t="shared" si="112"/>
        <v>644.4131337004012</v>
      </c>
      <c r="AW48" s="33">
        <f t="shared" si="112"/>
        <v>656.11436657083414</v>
      </c>
      <c r="AX48" s="33">
        <f t="shared" si="112"/>
        <v>667.81559944126752</v>
      </c>
      <c r="AY48" s="33">
        <f t="shared" si="112"/>
        <v>680.06954535216198</v>
      </c>
      <c r="AZ48" s="33">
        <f t="shared" si="112"/>
        <v>692.32349126305644</v>
      </c>
      <c r="BA48" s="33">
        <f t="shared" si="112"/>
        <v>704.57743717395078</v>
      </c>
      <c r="BB48" s="33">
        <f t="shared" si="112"/>
        <v>716.83138308484524</v>
      </c>
      <c r="BC48" s="33">
        <f t="shared" si="112"/>
        <v>729.08532899573981</v>
      </c>
      <c r="BD48" s="33">
        <f t="shared" si="112"/>
        <v>741.33927490663416</v>
      </c>
      <c r="BE48" s="33">
        <f t="shared" si="112"/>
        <v>753.59322081752862</v>
      </c>
      <c r="BF48" s="33">
        <f t="shared" si="112"/>
        <v>765.84716672842308</v>
      </c>
      <c r="BG48" s="33">
        <f t="shared" si="112"/>
        <v>778.10111263931753</v>
      </c>
      <c r="BH48" s="144">
        <f t="shared" si="112"/>
        <v>790.35505855021233</v>
      </c>
      <c r="BI48" s="33"/>
      <c r="BJ48" s="108">
        <f t="shared" si="100"/>
        <v>4.3287426684513713E-2</v>
      </c>
      <c r="BK48" s="112">
        <f t="shared" si="101"/>
        <v>4.6283110614256405E-2</v>
      </c>
      <c r="BL48" s="108">
        <f t="shared" si="102"/>
        <v>2.7830783731149111E-2</v>
      </c>
      <c r="BM48" s="67">
        <f t="shared" si="103"/>
        <v>2.4050772704349521E-2</v>
      </c>
    </row>
    <row r="49" spans="1:67">
      <c r="A49" s="172" t="s">
        <v>149</v>
      </c>
      <c r="B49" s="173">
        <f>1-B48-B47</f>
        <v>0.63196708749157138</v>
      </c>
      <c r="C49" s="174">
        <f t="shared" ref="C49:G49" si="113">(C$30*$B$49)*0.1</f>
        <v>423.05271903399455</v>
      </c>
      <c r="D49" s="174">
        <f t="shared" si="113"/>
        <v>459.00796141847468</v>
      </c>
      <c r="E49" s="174">
        <f t="shared" si="113"/>
        <v>494.96320380295487</v>
      </c>
      <c r="F49" s="174">
        <f t="shared" si="113"/>
        <v>530.91844618743505</v>
      </c>
      <c r="G49" s="174">
        <f t="shared" si="113"/>
        <v>566.87368857191518</v>
      </c>
      <c r="H49" s="174">
        <f t="shared" ref="H49:AM49" si="114">(H$30*$B$49)*0.1</f>
        <v>602.8289309563952</v>
      </c>
      <c r="I49" s="174">
        <f t="shared" si="114"/>
        <v>630.62713848133626</v>
      </c>
      <c r="J49" s="175">
        <f t="shared" si="114"/>
        <v>651.12183452835234</v>
      </c>
      <c r="K49" s="175">
        <f t="shared" si="114"/>
        <v>671.61653057536842</v>
      </c>
      <c r="L49" s="175">
        <f t="shared" si="114"/>
        <v>692.11122662238449</v>
      </c>
      <c r="M49" s="175">
        <f t="shared" si="114"/>
        <v>712.60592266940046</v>
      </c>
      <c r="N49" s="175">
        <f t="shared" si="114"/>
        <v>733.10061871641653</v>
      </c>
      <c r="O49" s="175">
        <f t="shared" si="114"/>
        <v>753.5953147634325</v>
      </c>
      <c r="P49" s="175">
        <f t="shared" si="114"/>
        <v>774.09001081044858</v>
      </c>
      <c r="Q49" s="175">
        <f t="shared" si="114"/>
        <v>794.58470685746454</v>
      </c>
      <c r="R49" s="175">
        <f t="shared" si="114"/>
        <v>815.0794029044805</v>
      </c>
      <c r="S49" s="175">
        <f t="shared" si="114"/>
        <v>835.57409895149658</v>
      </c>
      <c r="T49" s="175">
        <f t="shared" si="114"/>
        <v>856.06879499851311</v>
      </c>
      <c r="U49" s="175">
        <f t="shared" si="114"/>
        <v>882.0575134186189</v>
      </c>
      <c r="V49" s="175">
        <f t="shared" si="114"/>
        <v>908.04623183872491</v>
      </c>
      <c r="W49" s="175">
        <f t="shared" si="114"/>
        <v>934.03495025883058</v>
      </c>
      <c r="X49" s="175">
        <f t="shared" si="114"/>
        <v>960.02366867893636</v>
      </c>
      <c r="Y49" s="174">
        <f t="shared" si="114"/>
        <v>986.01238709904237</v>
      </c>
      <c r="Z49" s="175">
        <f t="shared" si="114"/>
        <v>1012.001105519148</v>
      </c>
      <c r="AA49" s="175">
        <f t="shared" si="114"/>
        <v>1037.9898239392539</v>
      </c>
      <c r="AB49" s="175">
        <f t="shared" si="114"/>
        <v>1063.9785423593598</v>
      </c>
      <c r="AC49" s="175">
        <f t="shared" si="114"/>
        <v>1089.9672607794657</v>
      </c>
      <c r="AD49" s="175">
        <f t="shared" si="114"/>
        <v>1115.9559791995712</v>
      </c>
      <c r="AE49" s="175">
        <f t="shared" si="114"/>
        <v>1152.0475957968017</v>
      </c>
      <c r="AF49" s="175">
        <f t="shared" si="114"/>
        <v>1188.1392123940325</v>
      </c>
      <c r="AG49" s="175">
        <f t="shared" si="114"/>
        <v>1224.2308289912633</v>
      </c>
      <c r="AH49" s="175">
        <f t="shared" si="114"/>
        <v>1260.3224455884938</v>
      </c>
      <c r="AI49" s="175">
        <f t="shared" si="114"/>
        <v>1296.4140621857241</v>
      </c>
      <c r="AJ49" s="175">
        <f t="shared" si="114"/>
        <v>1332.5056787829546</v>
      </c>
      <c r="AK49" s="175">
        <f t="shared" si="114"/>
        <v>1368.5972953801852</v>
      </c>
      <c r="AL49" s="175">
        <f t="shared" si="114"/>
        <v>1404.6889119774155</v>
      </c>
      <c r="AM49" s="175">
        <f t="shared" si="114"/>
        <v>1440.780528574646</v>
      </c>
      <c r="AN49" s="174">
        <f t="shared" ref="AN49:BH49" si="115">(AN$30*$B$49)*0.1</f>
        <v>1476.8721451718775</v>
      </c>
      <c r="AO49" s="175">
        <f t="shared" si="115"/>
        <v>1508.246731723244</v>
      </c>
      <c r="AP49" s="175">
        <f t="shared" si="115"/>
        <v>1539.621318274611</v>
      </c>
      <c r="AQ49" s="175">
        <f t="shared" si="115"/>
        <v>1570.995904825978</v>
      </c>
      <c r="AR49" s="175">
        <f t="shared" si="115"/>
        <v>1602.3704913773445</v>
      </c>
      <c r="AS49" s="175">
        <f t="shared" si="115"/>
        <v>1633.7450779287112</v>
      </c>
      <c r="AT49" s="175">
        <f t="shared" si="115"/>
        <v>1665.1196644800782</v>
      </c>
      <c r="AU49" s="175">
        <f t="shared" si="115"/>
        <v>1696.4942510314449</v>
      </c>
      <c r="AV49" s="175">
        <f t="shared" si="115"/>
        <v>1727.8688375828119</v>
      </c>
      <c r="AW49" s="175">
        <f t="shared" si="115"/>
        <v>1759.2434241341784</v>
      </c>
      <c r="AX49" s="175">
        <f t="shared" si="115"/>
        <v>1790.6180106855463</v>
      </c>
      <c r="AY49" s="175">
        <f t="shared" si="115"/>
        <v>1823.474590059212</v>
      </c>
      <c r="AZ49" s="175">
        <f t="shared" si="115"/>
        <v>1856.3311694328777</v>
      </c>
      <c r="BA49" s="175">
        <f t="shared" si="115"/>
        <v>1889.1877488065431</v>
      </c>
      <c r="BB49" s="175">
        <f t="shared" si="115"/>
        <v>1922.044328180209</v>
      </c>
      <c r="BC49" s="175">
        <f t="shared" si="115"/>
        <v>1954.9009075538747</v>
      </c>
      <c r="BD49" s="175">
        <f t="shared" si="115"/>
        <v>1987.75748692754</v>
      </c>
      <c r="BE49" s="175">
        <f t="shared" si="115"/>
        <v>2020.6140663012059</v>
      </c>
      <c r="BF49" s="175">
        <f t="shared" si="115"/>
        <v>2053.4706456748713</v>
      </c>
      <c r="BG49" s="175">
        <f t="shared" si="115"/>
        <v>2086.327225048537</v>
      </c>
      <c r="BH49" s="178">
        <f t="shared" si="115"/>
        <v>2119.1838044222036</v>
      </c>
      <c r="BI49" s="175"/>
      <c r="BJ49" s="179">
        <f t="shared" si="100"/>
        <v>4.3287426684513727E-2</v>
      </c>
      <c r="BK49" s="180">
        <f t="shared" si="101"/>
        <v>4.6283110614256398E-2</v>
      </c>
      <c r="BL49" s="179">
        <f t="shared" si="102"/>
        <v>2.7830783731149111E-2</v>
      </c>
      <c r="BM49" s="181">
        <f t="shared" si="103"/>
        <v>2.4050772704349521E-2</v>
      </c>
      <c r="BO49" s="225"/>
    </row>
    <row r="50" spans="1:67">
      <c r="B50" s="73"/>
      <c r="C50" s="73"/>
      <c r="D50" s="73"/>
      <c r="E50" s="73"/>
      <c r="F50" s="73"/>
      <c r="G50" s="73"/>
      <c r="H50" s="134"/>
      <c r="I50" s="134"/>
      <c r="J50" s="33"/>
      <c r="K50" s="33"/>
      <c r="L50" s="33"/>
      <c r="M50" s="33"/>
      <c r="N50" s="33"/>
      <c r="O50" s="33"/>
      <c r="P50" s="33"/>
      <c r="Q50" s="33"/>
      <c r="R50" s="33"/>
      <c r="S50" s="33"/>
      <c r="T50" s="33"/>
      <c r="U50" s="33"/>
      <c r="V50" s="33"/>
      <c r="W50" s="33"/>
      <c r="X50" s="33"/>
      <c r="Y50" s="134"/>
      <c r="Z50" s="33"/>
      <c r="AA50" s="33"/>
      <c r="AB50" s="33"/>
      <c r="AC50" s="33"/>
      <c r="AD50" s="33"/>
      <c r="AE50" s="33"/>
      <c r="AF50" s="33"/>
      <c r="AG50" s="33"/>
      <c r="AH50" s="33"/>
      <c r="AI50" s="33"/>
      <c r="AJ50" s="33"/>
      <c r="AK50" s="33"/>
      <c r="AL50" s="33"/>
      <c r="AM50" s="33"/>
      <c r="AN50" s="134"/>
      <c r="AO50" s="33"/>
      <c r="AP50" s="33"/>
      <c r="AQ50" s="33"/>
      <c r="AR50" s="33"/>
      <c r="AS50" s="33"/>
      <c r="AT50" s="33"/>
      <c r="AU50" s="33"/>
      <c r="AV50" s="33"/>
      <c r="AW50" s="33"/>
      <c r="AX50" s="33"/>
      <c r="AY50" s="33"/>
      <c r="AZ50" s="33"/>
      <c r="BA50" s="33"/>
      <c r="BB50" s="33"/>
      <c r="BC50" s="33"/>
      <c r="BD50" s="33"/>
      <c r="BE50" s="33"/>
      <c r="BF50" s="33"/>
      <c r="BG50" s="33"/>
      <c r="BH50" s="144"/>
      <c r="BI50" s="33"/>
      <c r="BJ50" s="1"/>
      <c r="BK50" s="1"/>
      <c r="BL50" s="1"/>
    </row>
    <row r="51" spans="1:67" s="65" customFormat="1" collapsed="1">
      <c r="A51" s="64" t="s">
        <v>594</v>
      </c>
      <c r="B51" s="117" t="s">
        <v>450</v>
      </c>
      <c r="C51" s="107"/>
      <c r="D51" s="107"/>
      <c r="E51" s="107"/>
      <c r="F51" s="107"/>
      <c r="G51" s="107"/>
      <c r="H51" s="131"/>
      <c r="I51" s="131"/>
      <c r="J51" s="107"/>
      <c r="K51" s="107"/>
      <c r="L51" s="107"/>
      <c r="M51" s="107"/>
      <c r="N51" s="107"/>
      <c r="O51" s="107"/>
      <c r="P51" s="107"/>
      <c r="Q51" s="107"/>
      <c r="R51" s="107"/>
      <c r="S51" s="107"/>
      <c r="T51" s="107"/>
      <c r="U51" s="107"/>
      <c r="V51" s="107"/>
      <c r="W51" s="107"/>
      <c r="X51" s="107"/>
      <c r="Y51" s="131"/>
      <c r="Z51" s="107"/>
      <c r="AA51" s="107"/>
      <c r="AB51" s="107"/>
      <c r="AC51" s="107"/>
      <c r="AD51" s="107"/>
      <c r="AE51" s="107"/>
      <c r="AF51" s="107"/>
      <c r="AG51" s="107"/>
      <c r="AH51" s="107"/>
      <c r="AI51" s="107"/>
      <c r="AJ51" s="107"/>
      <c r="AK51" s="107"/>
      <c r="AL51" s="107"/>
      <c r="AM51" s="107"/>
      <c r="AN51" s="131"/>
      <c r="AO51" s="107"/>
      <c r="AP51" s="107"/>
      <c r="AQ51" s="107"/>
      <c r="AR51" s="107"/>
      <c r="AS51" s="107"/>
      <c r="AT51" s="107"/>
      <c r="AU51" s="107"/>
      <c r="AV51" s="107"/>
      <c r="AW51" s="107"/>
      <c r="AX51" s="107"/>
      <c r="AY51" s="107"/>
      <c r="AZ51" s="107"/>
      <c r="BA51" s="107"/>
      <c r="BB51" s="107"/>
      <c r="BC51" s="107"/>
      <c r="BD51" s="107"/>
      <c r="BE51" s="107"/>
      <c r="BF51" s="107"/>
      <c r="BG51" s="107"/>
      <c r="BH51" s="141"/>
      <c r="BI51" s="107"/>
      <c r="BJ51" s="110"/>
      <c r="BK51" s="107"/>
      <c r="BL51" s="107"/>
    </row>
    <row r="52" spans="1:67">
      <c r="A52" s="21" t="s">
        <v>150</v>
      </c>
      <c r="B52" s="171"/>
      <c r="C52" s="136">
        <f t="shared" ref="C52:G52" si="116">(C38/C45)*1000</f>
        <v>1292.1367917679495</v>
      </c>
      <c r="D52" s="136">
        <f t="shared" si="116"/>
        <v>1237.4303992656519</v>
      </c>
      <c r="E52" s="136">
        <f t="shared" si="116"/>
        <v>1189.7236448298318</v>
      </c>
      <c r="F52" s="136">
        <f t="shared" si="116"/>
        <v>1147.7539072100469</v>
      </c>
      <c r="G52" s="136">
        <f t="shared" si="116"/>
        <v>1110.5450166318824</v>
      </c>
      <c r="H52" s="136">
        <f t="shared" ref="H52:BH52" si="117">(H38/H45)*1000</f>
        <v>1077.33038068719</v>
      </c>
      <c r="I52" s="136">
        <f t="shared" si="117"/>
        <v>1126.5819082910111</v>
      </c>
      <c r="J52" s="99">
        <f t="shared" si="117"/>
        <v>1086.7748233056914</v>
      </c>
      <c r="K52" s="99">
        <f t="shared" si="117"/>
        <v>1049.3972023676399</v>
      </c>
      <c r="L52" s="99">
        <f t="shared" si="117"/>
        <v>1014.2332226786245</v>
      </c>
      <c r="M52" s="99">
        <f t="shared" si="117"/>
        <v>981.09188987648861</v>
      </c>
      <c r="N52" s="99">
        <f t="shared" si="117"/>
        <v>949.80356749347379</v>
      </c>
      <c r="O52" s="99">
        <f t="shared" si="117"/>
        <v>920.21707272137542</v>
      </c>
      <c r="P52" s="99">
        <f t="shared" si="117"/>
        <v>892.19723352933408</v>
      </c>
      <c r="Q52" s="99">
        <f t="shared" si="117"/>
        <v>865.62282383667934</v>
      </c>
      <c r="R52" s="99">
        <f t="shared" si="117"/>
        <v>840.38481019903247</v>
      </c>
      <c r="S52" s="99">
        <f t="shared" si="117"/>
        <v>816.38485652275381</v>
      </c>
      <c r="T52" s="99">
        <f t="shared" si="117"/>
        <v>793.53404356649946</v>
      </c>
      <c r="U52" s="99">
        <f t="shared" si="117"/>
        <v>762.06105516600064</v>
      </c>
      <c r="V52" s="99">
        <f t="shared" si="117"/>
        <v>732.38961079420869</v>
      </c>
      <c r="W52" s="99">
        <f t="shared" si="117"/>
        <v>704.36933121594609</v>
      </c>
      <c r="X52" s="99">
        <f t="shared" si="117"/>
        <v>677.86612080955945</v>
      </c>
      <c r="Y52" s="136">
        <f t="shared" si="117"/>
        <v>652.76002159871678</v>
      </c>
      <c r="Z52" s="99">
        <f t="shared" si="117"/>
        <v>628.94339794172356</v>
      </c>
      <c r="AA52" s="99">
        <f t="shared" si="117"/>
        <v>606.31939392639492</v>
      </c>
      <c r="AB52" s="99">
        <f t="shared" si="117"/>
        <v>584.80061684277905</v>
      </c>
      <c r="AC52" s="99">
        <f t="shared" si="117"/>
        <v>564.30800900019346</v>
      </c>
      <c r="AD52" s="99">
        <f t="shared" si="117"/>
        <v>544.76987718505256</v>
      </c>
      <c r="AE52" s="99">
        <f t="shared" si="117"/>
        <v>525.21444475162878</v>
      </c>
      <c r="AF52" s="99">
        <f t="shared" si="117"/>
        <v>506.84706698792417</v>
      </c>
      <c r="AG52" s="99">
        <f t="shared" si="117"/>
        <v>489.56266857818724</v>
      </c>
      <c r="AH52" s="99">
        <f t="shared" si="117"/>
        <v>473.26821029480686</v>
      </c>
      <c r="AI52" s="99">
        <f t="shared" si="117"/>
        <v>457.88101360041605</v>
      </c>
      <c r="AJ52" s="99">
        <f t="shared" si="117"/>
        <v>443.32735752418881</v>
      </c>
      <c r="AK52" s="99">
        <f t="shared" si="117"/>
        <v>429.54129755086836</v>
      </c>
      <c r="AL52" s="99">
        <f t="shared" si="117"/>
        <v>416.46366659225902</v>
      </c>
      <c r="AM52" s="99">
        <f t="shared" si="117"/>
        <v>404.04122611297277</v>
      </c>
      <c r="AN52" s="134">
        <f t="shared" si="117"/>
        <v>392.22594172427398</v>
      </c>
      <c r="AO52" s="99">
        <f t="shared" si="117"/>
        <v>409.70927131195634</v>
      </c>
      <c r="AP52" s="99">
        <f t="shared" si="117"/>
        <v>393.3409295896306</v>
      </c>
      <c r="AQ52" s="99">
        <f t="shared" si="117"/>
        <v>377.62637690964647</v>
      </c>
      <c r="AR52" s="99">
        <f t="shared" si="117"/>
        <v>362.52720949271776</v>
      </c>
      <c r="AS52" s="99">
        <f t="shared" si="117"/>
        <v>348.00797359800248</v>
      </c>
      <c r="AT52" s="99">
        <f t="shared" si="117"/>
        <v>334.03588759642162</v>
      </c>
      <c r="AU52" s="99">
        <f t="shared" si="117"/>
        <v>320.58059488346356</v>
      </c>
      <c r="AV52" s="99">
        <f t="shared" si="117"/>
        <v>307.61394371159287</v>
      </c>
      <c r="AW52" s="99">
        <f t="shared" si="117"/>
        <v>295.10979058165566</v>
      </c>
      <c r="AX52" s="99">
        <f t="shared" si="117"/>
        <v>283.04382430372743</v>
      </c>
      <c r="AY52" s="99">
        <f t="shared" si="117"/>
        <v>275.56718154071524</v>
      </c>
      <c r="AZ52" s="99">
        <f t="shared" si="117"/>
        <v>268.35520804624394</v>
      </c>
      <c r="BA52" s="99">
        <f t="shared" si="117"/>
        <v>261.39409450966855</v>
      </c>
      <c r="BB52" s="99">
        <f t="shared" si="117"/>
        <v>254.67097587892374</v>
      </c>
      <c r="BC52" s="99">
        <f t="shared" si="117"/>
        <v>248.17385200840033</v>
      </c>
      <c r="BD52" s="99">
        <f t="shared" si="117"/>
        <v>241.89151617671587</v>
      </c>
      <c r="BE52" s="99">
        <f t="shared" si="117"/>
        <v>235.81349057858691</v>
      </c>
      <c r="BF52" s="99">
        <f t="shared" si="117"/>
        <v>229.92996800967919</v>
      </c>
      <c r="BG52" s="99">
        <f t="shared" si="117"/>
        <v>224.2317590617231</v>
      </c>
      <c r="BH52" s="146">
        <f t="shared" si="117"/>
        <v>218.7102442298654</v>
      </c>
      <c r="BI52" s="99"/>
      <c r="BJ52" s="176">
        <f t="shared" ref="BJ52:BJ56" si="118">IFERROR(-(1-(AN52/I52))/31,"")</f>
        <v>-2.102723465819668E-2</v>
      </c>
      <c r="BK52" s="177">
        <f t="shared" ref="BK52:BK56" si="119">IFERROR(-(1-(BH52/I52))/51,"")</f>
        <v>-1.5801252484760466E-2</v>
      </c>
      <c r="BL52" s="176">
        <f t="shared" ref="BL52:BL56" si="120">IFERROR((AN52/I52)^(1/31)-1,"")</f>
        <v>-3.3462961189838492E-2</v>
      </c>
      <c r="BM52" s="100">
        <f t="shared" ref="BM52:BM56" si="121">IFERROR((BH52/I52)^(1/51)-1,"")</f>
        <v>-3.1630056956122643E-2</v>
      </c>
    </row>
    <row r="53" spans="1:67">
      <c r="A53" s="21" t="s">
        <v>151</v>
      </c>
      <c r="C53" s="136">
        <f t="shared" ref="C53:G53" si="122">(C39/C46)*1000</f>
        <v>670.91718034105054</v>
      </c>
      <c r="D53" s="136">
        <f t="shared" si="122"/>
        <v>642.5119380802422</v>
      </c>
      <c r="E53" s="136">
        <f t="shared" si="122"/>
        <v>617.74112327702801</v>
      </c>
      <c r="F53" s="136">
        <f t="shared" si="122"/>
        <v>595.94914412829348</v>
      </c>
      <c r="G53" s="136">
        <f t="shared" si="122"/>
        <v>576.62914325116969</v>
      </c>
      <c r="H53" s="136">
        <f t="shared" ref="H53:BH53" si="123">(H39/H46)*1000</f>
        <v>559.38308227988705</v>
      </c>
      <c r="I53" s="136">
        <f t="shared" si="123"/>
        <v>584.95599084340938</v>
      </c>
      <c r="J53" s="99">
        <f t="shared" si="123"/>
        <v>564.28692748564731</v>
      </c>
      <c r="K53" s="99">
        <f t="shared" si="123"/>
        <v>544.87931661396669</v>
      </c>
      <c r="L53" s="99">
        <f t="shared" si="123"/>
        <v>526.62109639082416</v>
      </c>
      <c r="M53" s="99">
        <f t="shared" si="123"/>
        <v>509.41309666663813</v>
      </c>
      <c r="N53" s="99">
        <f t="shared" si="123"/>
        <v>493.16723696776518</v>
      </c>
      <c r="O53" s="99">
        <f t="shared" si="123"/>
        <v>477.80501852840638</v>
      </c>
      <c r="P53" s="99">
        <f t="shared" si="123"/>
        <v>463.25625587100029</v>
      </c>
      <c r="Q53" s="99">
        <f t="shared" si="123"/>
        <v>449.45800468442951</v>
      </c>
      <c r="R53" s="99">
        <f t="shared" si="123"/>
        <v>436.35365144949753</v>
      </c>
      <c r="S53" s="99">
        <f t="shared" si="123"/>
        <v>423.89213704066054</v>
      </c>
      <c r="T53" s="99">
        <f t="shared" si="123"/>
        <v>412.02729185183631</v>
      </c>
      <c r="U53" s="99">
        <f t="shared" si="123"/>
        <v>395.68554787465416</v>
      </c>
      <c r="V53" s="99">
        <f t="shared" si="123"/>
        <v>380.2792209893006</v>
      </c>
      <c r="W53" s="99">
        <f t="shared" si="123"/>
        <v>365.73022966981813</v>
      </c>
      <c r="X53" s="99">
        <f t="shared" si="123"/>
        <v>351.9689473434251</v>
      </c>
      <c r="Y53" s="136">
        <f t="shared" si="123"/>
        <v>338.93308813779521</v>
      </c>
      <c r="Z53" s="99">
        <f t="shared" si="123"/>
        <v>326.56676431589489</v>
      </c>
      <c r="AA53" s="99">
        <f t="shared" si="123"/>
        <v>314.81968530793569</v>
      </c>
      <c r="AB53" s="99">
        <f t="shared" si="123"/>
        <v>303.64647412990445</v>
      </c>
      <c r="AC53" s="99">
        <f t="shared" si="123"/>
        <v>293.00608159625432</v>
      </c>
      <c r="AD53" s="99">
        <f t="shared" si="123"/>
        <v>282.86128238454643</v>
      </c>
      <c r="AE53" s="99">
        <f t="shared" si="123"/>
        <v>272.70750015949955</v>
      </c>
      <c r="AF53" s="99">
        <f t="shared" si="123"/>
        <v>263.17059247449896</v>
      </c>
      <c r="AG53" s="99">
        <f t="shared" si="123"/>
        <v>254.19600099252031</v>
      </c>
      <c r="AH53" s="99">
        <f t="shared" si="123"/>
        <v>245.73541688384202</v>
      </c>
      <c r="AI53" s="99">
        <f t="shared" si="123"/>
        <v>237.7459109079083</v>
      </c>
      <c r="AJ53" s="99">
        <f t="shared" si="123"/>
        <v>230.1892048683288</v>
      </c>
      <c r="AK53" s="99">
        <f t="shared" si="123"/>
        <v>223.03105834372005</v>
      </c>
      <c r="AL53" s="99">
        <f t="shared" si="123"/>
        <v>216.24074996136525</v>
      </c>
      <c r="AM53" s="99">
        <f t="shared" si="123"/>
        <v>209.79063663558199</v>
      </c>
      <c r="AN53" s="134">
        <f t="shared" si="123"/>
        <v>203.65577743375763</v>
      </c>
      <c r="AO53" s="99">
        <f t="shared" si="123"/>
        <v>212.73366010428501</v>
      </c>
      <c r="AP53" s="99">
        <f t="shared" si="123"/>
        <v>204.23471344076972</v>
      </c>
      <c r="AQ53" s="99">
        <f t="shared" si="123"/>
        <v>196.07523416462411</v>
      </c>
      <c r="AR53" s="99">
        <f t="shared" si="123"/>
        <v>188.23528185198805</v>
      </c>
      <c r="AS53" s="99">
        <f t="shared" si="123"/>
        <v>180.69644782973205</v>
      </c>
      <c r="AT53" s="99">
        <f t="shared" si="123"/>
        <v>173.44171086737276</v>
      </c>
      <c r="AU53" s="99">
        <f t="shared" si="123"/>
        <v>166.45530888179835</v>
      </c>
      <c r="AV53" s="99">
        <f t="shared" si="123"/>
        <v>159.72262461948085</v>
      </c>
      <c r="AW53" s="99">
        <f t="shared" si="123"/>
        <v>153.23008357124425</v>
      </c>
      <c r="AX53" s="99">
        <f t="shared" si="123"/>
        <v>146.9650626192431</v>
      </c>
      <c r="AY53" s="99">
        <f t="shared" si="123"/>
        <v>143.08295964614061</v>
      </c>
      <c r="AZ53" s="99">
        <f t="shared" si="123"/>
        <v>139.33828110093432</v>
      </c>
      <c r="BA53" s="99">
        <f t="shared" si="123"/>
        <v>135.7238567646356</v>
      </c>
      <c r="BB53" s="99">
        <f t="shared" si="123"/>
        <v>132.23300670636422</v>
      </c>
      <c r="BC53" s="99">
        <f t="shared" si="123"/>
        <v>128.85950008128475</v>
      </c>
      <c r="BD53" s="99">
        <f t="shared" si="123"/>
        <v>125.59751801483321</v>
      </c>
      <c r="BE53" s="99">
        <f t="shared" si="123"/>
        <v>122.44162010811243</v>
      </c>
      <c r="BF53" s="99">
        <f t="shared" si="123"/>
        <v>119.3867141588719</v>
      </c>
      <c r="BG53" s="99">
        <f t="shared" si="123"/>
        <v>116.42802874358698</v>
      </c>
      <c r="BH53" s="146">
        <f t="shared" si="123"/>
        <v>113.5610883501224</v>
      </c>
      <c r="BI53" s="99"/>
      <c r="BJ53" s="176">
        <f t="shared" si="118"/>
        <v>-2.1027234658196673E-2</v>
      </c>
      <c r="BK53" s="177">
        <f t="shared" si="119"/>
        <v>-1.5801252484760463E-2</v>
      </c>
      <c r="BL53" s="176">
        <f t="shared" si="120"/>
        <v>-3.3462961189838492E-2</v>
      </c>
      <c r="BM53" s="100">
        <f t="shared" si="121"/>
        <v>-3.1630056956122532E-2</v>
      </c>
    </row>
    <row r="54" spans="1:67">
      <c r="A54" s="172" t="s">
        <v>112</v>
      </c>
      <c r="B54" s="172"/>
      <c r="C54" s="182">
        <f t="shared" ref="C54:G54" si="124">(C40/C47)*1000</f>
        <v>715.78322345980644</v>
      </c>
      <c r="D54" s="182">
        <f t="shared" si="124"/>
        <v>698.26507476953964</v>
      </c>
      <c r="E54" s="182">
        <f t="shared" si="124"/>
        <v>683.29204166542684</v>
      </c>
      <c r="F54" s="182">
        <f t="shared" si="124"/>
        <v>670.34703768087195</v>
      </c>
      <c r="G54" s="182">
        <f t="shared" si="124"/>
        <v>659.04416585138404</v>
      </c>
      <c r="H54" s="182">
        <f t="shared" ref="H54:BH54" si="125">(H40/H47)*1000</f>
        <v>649.08959525762248</v>
      </c>
      <c r="I54" s="182">
        <f t="shared" si="125"/>
        <v>635.54538040104273</v>
      </c>
      <c r="J54" s="183">
        <f t="shared" si="125"/>
        <v>613.08877180164723</v>
      </c>
      <c r="K54" s="183">
        <f t="shared" si="125"/>
        <v>592.00271126513837</v>
      </c>
      <c r="L54" s="183">
        <f t="shared" si="125"/>
        <v>572.16544538735434</v>
      </c>
      <c r="M54" s="183">
        <f t="shared" si="125"/>
        <v>553.46922737806392</v>
      </c>
      <c r="N54" s="183">
        <f t="shared" si="125"/>
        <v>535.81835920356218</v>
      </c>
      <c r="O54" s="183">
        <f t="shared" si="125"/>
        <v>519.12755320332121</v>
      </c>
      <c r="P54" s="183">
        <f t="shared" si="125"/>
        <v>503.32055397226071</v>
      </c>
      <c r="Q54" s="183">
        <f t="shared" si="125"/>
        <v>488.32897351747442</v>
      </c>
      <c r="R54" s="183">
        <f t="shared" si="125"/>
        <v>474.09130215078557</v>
      </c>
      <c r="S54" s="183">
        <f t="shared" si="125"/>
        <v>460.5520649443792</v>
      </c>
      <c r="T54" s="183">
        <f t="shared" si="125"/>
        <v>447.66109935556875</v>
      </c>
      <c r="U54" s="183">
        <f t="shared" si="125"/>
        <v>429.90605443771096</v>
      </c>
      <c r="V54" s="183">
        <f t="shared" si="125"/>
        <v>413.16732531243605</v>
      </c>
      <c r="W54" s="183">
        <f t="shared" si="125"/>
        <v>397.36007764366701</v>
      </c>
      <c r="X54" s="183">
        <f t="shared" si="125"/>
        <v>382.40866326747863</v>
      </c>
      <c r="Y54" s="182">
        <f t="shared" si="125"/>
        <v>368.24540957423739</v>
      </c>
      <c r="Z54" s="183">
        <f t="shared" si="125"/>
        <v>354.80959542654352</v>
      </c>
      <c r="AA54" s="183">
        <f t="shared" si="125"/>
        <v>342.0465809201873</v>
      </c>
      <c r="AB54" s="183">
        <f t="shared" si="125"/>
        <v>329.90706468375299</v>
      </c>
      <c r="AC54" s="183">
        <f t="shared" si="125"/>
        <v>318.34644743002622</v>
      </c>
      <c r="AD54" s="183">
        <f t="shared" si="125"/>
        <v>307.32428443824142</v>
      </c>
      <c r="AE54" s="183">
        <f t="shared" si="125"/>
        <v>296.2923615453376</v>
      </c>
      <c r="AF54" s="183">
        <f t="shared" si="125"/>
        <v>285.93066302888315</v>
      </c>
      <c r="AG54" s="183">
        <f t="shared" si="125"/>
        <v>276.1799121234443</v>
      </c>
      <c r="AH54" s="183">
        <f t="shared" si="125"/>
        <v>266.98762205387493</v>
      </c>
      <c r="AI54" s="183">
        <f t="shared" si="125"/>
        <v>258.30715088309489</v>
      </c>
      <c r="AJ54" s="183">
        <f t="shared" si="125"/>
        <v>250.09690995953636</v>
      </c>
      <c r="AK54" s="183">
        <f t="shared" si="125"/>
        <v>242.31969760995534</v>
      </c>
      <c r="AL54" s="183">
        <f t="shared" si="125"/>
        <v>234.94213555151424</v>
      </c>
      <c r="AM54" s="183">
        <f t="shared" si="125"/>
        <v>227.93419001127921</v>
      </c>
      <c r="AN54" s="174">
        <f t="shared" si="125"/>
        <v>221.26876306264916</v>
      </c>
      <c r="AO54" s="183">
        <f t="shared" si="125"/>
        <v>231.1317382016129</v>
      </c>
      <c r="AP54" s="183">
        <f t="shared" si="125"/>
        <v>221.89776782636463</v>
      </c>
      <c r="AQ54" s="183">
        <f t="shared" si="125"/>
        <v>213.03262336830812</v>
      </c>
      <c r="AR54" s="183">
        <f t="shared" si="125"/>
        <v>204.51463987406922</v>
      </c>
      <c r="AS54" s="183">
        <f t="shared" si="125"/>
        <v>196.32381661308023</v>
      </c>
      <c r="AT54" s="183">
        <f t="shared" si="125"/>
        <v>188.44166028914182</v>
      </c>
      <c r="AU54" s="183">
        <f t="shared" si="125"/>
        <v>180.85104564964644</v>
      </c>
      <c r="AV54" s="183">
        <f t="shared" si="125"/>
        <v>173.53609128112177</v>
      </c>
      <c r="AW54" s="183">
        <f t="shared" si="125"/>
        <v>166.48204869524881</v>
      </c>
      <c r="AX54" s="183">
        <f t="shared" si="125"/>
        <v>159.67520307525757</v>
      </c>
      <c r="AY54" s="183">
        <f t="shared" si="125"/>
        <v>155.45735993933368</v>
      </c>
      <c r="AZ54" s="183">
        <f t="shared" si="125"/>
        <v>151.38882625860091</v>
      </c>
      <c r="BA54" s="183">
        <f t="shared" si="125"/>
        <v>147.46181170416983</v>
      </c>
      <c r="BB54" s="183">
        <f t="shared" si="125"/>
        <v>143.66905863738234</v>
      </c>
      <c r="BC54" s="183">
        <f t="shared" si="125"/>
        <v>140.00379734442546</v>
      </c>
      <c r="BD54" s="183">
        <f t="shared" si="125"/>
        <v>136.4597057106341</v>
      </c>
      <c r="BE54" s="183">
        <f t="shared" si="125"/>
        <v>133.03087282913506</v>
      </c>
      <c r="BF54" s="183">
        <f t="shared" si="125"/>
        <v>129.71176610317406</v>
      </c>
      <c r="BG54" s="183">
        <f t="shared" si="125"/>
        <v>126.49720145698068</v>
      </c>
      <c r="BH54" s="184">
        <f t="shared" si="125"/>
        <v>123.38231631780224</v>
      </c>
      <c r="BI54" s="183"/>
      <c r="BJ54" s="179">
        <f t="shared" si="118"/>
        <v>-2.102723465819668E-2</v>
      </c>
      <c r="BK54" s="180">
        <f t="shared" si="119"/>
        <v>-1.5801252484760463E-2</v>
      </c>
      <c r="BL54" s="179">
        <f t="shared" si="120"/>
        <v>-3.3462961189838492E-2</v>
      </c>
      <c r="BM54" s="181">
        <f t="shared" si="121"/>
        <v>-3.1630056956122532E-2</v>
      </c>
    </row>
    <row r="55" spans="1:67">
      <c r="A55" s="185" t="s">
        <v>148</v>
      </c>
      <c r="B55" s="185"/>
      <c r="C55" s="186">
        <f t="shared" ref="C55:G55" si="126">(C41/C48)*1000</f>
        <v>1467.6937491210942</v>
      </c>
      <c r="D55" s="186">
        <f t="shared" si="126"/>
        <v>1431.7732686094096</v>
      </c>
      <c r="E55" s="186">
        <f t="shared" si="126"/>
        <v>1401.0714773798429</v>
      </c>
      <c r="F55" s="186">
        <f t="shared" si="126"/>
        <v>1374.5281039005874</v>
      </c>
      <c r="G55" s="186">
        <f t="shared" si="126"/>
        <v>1351.3518770939982</v>
      </c>
      <c r="H55" s="186">
        <f t="shared" ref="H55:BH55" si="127">(H41/H48)*1000</f>
        <v>1330.9403047676328</v>
      </c>
      <c r="I55" s="186">
        <f t="shared" si="127"/>
        <v>1303.1682659292971</v>
      </c>
      <c r="J55" s="187">
        <f t="shared" si="127"/>
        <v>1257.1216096407081</v>
      </c>
      <c r="K55" s="187">
        <f t="shared" si="127"/>
        <v>1213.8852243375802</v>
      </c>
      <c r="L55" s="187">
        <f t="shared" si="127"/>
        <v>1173.2094580242172</v>
      </c>
      <c r="M55" s="187">
        <f t="shared" si="127"/>
        <v>1134.8733788803036</v>
      </c>
      <c r="N55" s="187">
        <f t="shared" si="127"/>
        <v>1098.6807607283199</v>
      </c>
      <c r="O55" s="187">
        <f t="shared" si="127"/>
        <v>1064.4567235736938</v>
      </c>
      <c r="P55" s="187">
        <f t="shared" si="127"/>
        <v>1032.0449078124209</v>
      </c>
      <c r="Q55" s="187">
        <f t="shared" si="127"/>
        <v>1001.3050857520744</v>
      </c>
      <c r="R55" s="187">
        <f t="shared" si="127"/>
        <v>972.11113347428238</v>
      </c>
      <c r="S55" s="187">
        <f t="shared" si="127"/>
        <v>944.34930117027864</v>
      </c>
      <c r="T55" s="187">
        <f t="shared" si="127"/>
        <v>917.91673193041765</v>
      </c>
      <c r="U55" s="187">
        <f t="shared" si="127"/>
        <v>881.51050224072799</v>
      </c>
      <c r="V55" s="187">
        <f t="shared" si="127"/>
        <v>847.18820004056101</v>
      </c>
      <c r="W55" s="187">
        <f t="shared" si="127"/>
        <v>814.77587486462153</v>
      </c>
      <c r="X55" s="187">
        <f t="shared" si="127"/>
        <v>784.11841224013858</v>
      </c>
      <c r="Y55" s="186">
        <f t="shared" si="127"/>
        <v>755.07705134834669</v>
      </c>
      <c r="Z55" s="187">
        <f t="shared" si="127"/>
        <v>727.52728517248397</v>
      </c>
      <c r="AA55" s="187">
        <f t="shared" si="127"/>
        <v>701.35707609664519</v>
      </c>
      <c r="AB55" s="187">
        <f t="shared" si="127"/>
        <v>676.46533301911381</v>
      </c>
      <c r="AC55" s="187">
        <f t="shared" si="127"/>
        <v>652.76060633208351</v>
      </c>
      <c r="AD55" s="187">
        <f t="shared" si="127"/>
        <v>630.15996525161449</v>
      </c>
      <c r="AE55" s="187">
        <f t="shared" si="127"/>
        <v>607.53931176320509</v>
      </c>
      <c r="AF55" s="187">
        <f t="shared" si="127"/>
        <v>586.2929348652259</v>
      </c>
      <c r="AG55" s="187">
        <f t="shared" si="127"/>
        <v>566.2992891857765</v>
      </c>
      <c r="AH55" s="187">
        <f t="shared" si="127"/>
        <v>547.4507520406861</v>
      </c>
      <c r="AI55" s="187">
        <f t="shared" si="127"/>
        <v>529.65168542496065</v>
      </c>
      <c r="AJ55" s="187">
        <f t="shared" si="127"/>
        <v>512.81681295611509</v>
      </c>
      <c r="AK55" s="187">
        <f t="shared" si="127"/>
        <v>496.86985362966698</v>
      </c>
      <c r="AL55" s="187">
        <f t="shared" si="127"/>
        <v>481.74236619766373</v>
      </c>
      <c r="AM55" s="187">
        <f t="shared" si="127"/>
        <v>467.37276723742553</v>
      </c>
      <c r="AN55" s="188">
        <f t="shared" si="127"/>
        <v>453.70549319816877</v>
      </c>
      <c r="AO55" s="187">
        <f t="shared" si="127"/>
        <v>473.92925157186141</v>
      </c>
      <c r="AP55" s="187">
        <f t="shared" si="127"/>
        <v>454.99525011005949</v>
      </c>
      <c r="AQ55" s="187">
        <f t="shared" si="127"/>
        <v>436.81751601445779</v>
      </c>
      <c r="AR55" s="187">
        <f t="shared" si="127"/>
        <v>419.35162589596268</v>
      </c>
      <c r="AS55" s="187">
        <f t="shared" si="127"/>
        <v>402.5565688084252</v>
      </c>
      <c r="AT55" s="187">
        <f t="shared" si="127"/>
        <v>386.39442475827286</v>
      </c>
      <c r="AU55" s="187">
        <f t="shared" si="127"/>
        <v>370.83007888757083</v>
      </c>
      <c r="AV55" s="187">
        <f t="shared" si="127"/>
        <v>355.83096679620928</v>
      </c>
      <c r="AW55" s="187">
        <f t="shared" si="127"/>
        <v>341.36684711584473</v>
      </c>
      <c r="AX55" s="187">
        <f t="shared" si="127"/>
        <v>327.40959799312287</v>
      </c>
      <c r="AY55" s="187">
        <f t="shared" si="127"/>
        <v>318.76102702571956</v>
      </c>
      <c r="AZ55" s="187">
        <f t="shared" si="127"/>
        <v>310.41861097629481</v>
      </c>
      <c r="BA55" s="187">
        <f t="shared" si="127"/>
        <v>302.36637599041893</v>
      </c>
      <c r="BB55" s="187">
        <f t="shared" si="127"/>
        <v>294.58944048028337</v>
      </c>
      <c r="BC55" s="187">
        <f t="shared" si="127"/>
        <v>287.07392333451111</v>
      </c>
      <c r="BD55" s="187">
        <f t="shared" si="127"/>
        <v>279.80686123142715</v>
      </c>
      <c r="BE55" s="187">
        <f t="shared" si="127"/>
        <v>272.77613401958786</v>
      </c>
      <c r="BF55" s="187">
        <f t="shared" si="127"/>
        <v>265.97039726200887</v>
      </c>
      <c r="BG55" s="187">
        <f t="shared" si="127"/>
        <v>259.37902115436731</v>
      </c>
      <c r="BH55" s="189">
        <f t="shared" si="127"/>
        <v>252.99203512540635</v>
      </c>
      <c r="BI55" s="187"/>
      <c r="BJ55" s="190">
        <f t="shared" si="118"/>
        <v>-2.1027234658196687E-2</v>
      </c>
      <c r="BK55" s="191">
        <f t="shared" si="119"/>
        <v>-1.5801252484760463E-2</v>
      </c>
      <c r="BL55" s="190">
        <f t="shared" si="120"/>
        <v>-3.3462961189838492E-2</v>
      </c>
      <c r="BM55" s="192">
        <f t="shared" si="121"/>
        <v>-3.1630056956122643E-2</v>
      </c>
    </row>
    <row r="56" spans="1:67">
      <c r="A56" s="172" t="s">
        <v>149</v>
      </c>
      <c r="B56" s="172"/>
      <c r="C56" s="182">
        <f t="shared" ref="C56:G56" si="128">(C42/C49)*1000</f>
        <v>1148.1574010324475</v>
      </c>
      <c r="D56" s="182">
        <f t="shared" si="128"/>
        <v>1120.0572843883385</v>
      </c>
      <c r="E56" s="182">
        <f t="shared" si="128"/>
        <v>1096.0396793216892</v>
      </c>
      <c r="F56" s="182">
        <f t="shared" si="128"/>
        <v>1075.2751494415108</v>
      </c>
      <c r="G56" s="182">
        <f t="shared" si="128"/>
        <v>1057.1446938529884</v>
      </c>
      <c r="H56" s="182">
        <f t="shared" ref="H56:BH56" si="129">(H42/H49)*1000</f>
        <v>1041.1769908854865</v>
      </c>
      <c r="I56" s="182">
        <f t="shared" si="129"/>
        <v>1019.4512923512447</v>
      </c>
      <c r="J56" s="183">
        <f t="shared" si="129"/>
        <v>983.42960237525313</v>
      </c>
      <c r="K56" s="183">
        <f t="shared" si="129"/>
        <v>949.60635020878146</v>
      </c>
      <c r="L56" s="183">
        <f t="shared" si="129"/>
        <v>917.7862363987166</v>
      </c>
      <c r="M56" s="183">
        <f t="shared" si="129"/>
        <v>887.79642890515197</v>
      </c>
      <c r="N56" s="183">
        <f t="shared" si="129"/>
        <v>859.48342258566197</v>
      </c>
      <c r="O56" s="183">
        <f t="shared" si="129"/>
        <v>832.71041113431227</v>
      </c>
      <c r="P56" s="183">
        <f t="shared" si="129"/>
        <v>807.3550765016679</v>
      </c>
      <c r="Q56" s="183">
        <f t="shared" si="129"/>
        <v>783.30772041928174</v>
      </c>
      <c r="R56" s="183">
        <f t="shared" si="129"/>
        <v>760.46967781454384</v>
      </c>
      <c r="S56" s="183">
        <f t="shared" si="129"/>
        <v>738.75196371706863</v>
      </c>
      <c r="T56" s="183">
        <f t="shared" si="129"/>
        <v>718.07411452732924</v>
      </c>
      <c r="U56" s="183">
        <f t="shared" si="129"/>
        <v>689.59400272816458</v>
      </c>
      <c r="V56" s="183">
        <f t="shared" si="129"/>
        <v>662.74411983182267</v>
      </c>
      <c r="W56" s="183">
        <f t="shared" si="129"/>
        <v>637.38838669082486</v>
      </c>
      <c r="X56" s="183">
        <f t="shared" si="129"/>
        <v>613.40545930542567</v>
      </c>
      <c r="Y56" s="182">
        <f t="shared" si="129"/>
        <v>590.68678692303445</v>
      </c>
      <c r="Z56" s="183">
        <f t="shared" si="129"/>
        <v>569.13496935177886</v>
      </c>
      <c r="AA56" s="183">
        <f t="shared" si="129"/>
        <v>548.6623610470939</v>
      </c>
      <c r="AB56" s="183">
        <f t="shared" si="129"/>
        <v>529.18987977763265</v>
      </c>
      <c r="AC56" s="183">
        <f t="shared" si="129"/>
        <v>510.64598572516871</v>
      </c>
      <c r="AD56" s="183">
        <f t="shared" si="129"/>
        <v>492.96580323467435</v>
      </c>
      <c r="AE56" s="183">
        <f t="shared" si="129"/>
        <v>475.26996530223084</v>
      </c>
      <c r="AF56" s="183">
        <f t="shared" si="129"/>
        <v>458.64920576356826</v>
      </c>
      <c r="AG56" s="183">
        <f t="shared" si="129"/>
        <v>443.00844128240391</v>
      </c>
      <c r="AH56" s="183">
        <f t="shared" si="129"/>
        <v>428.2634800568552</v>
      </c>
      <c r="AI56" s="183">
        <f t="shared" si="129"/>
        <v>414.33950574099231</v>
      </c>
      <c r="AJ56" s="183">
        <f t="shared" si="129"/>
        <v>401.16980774908001</v>
      </c>
      <c r="AK56" s="183">
        <f t="shared" si="129"/>
        <v>388.69471246057765</v>
      </c>
      <c r="AL56" s="183">
        <f t="shared" si="129"/>
        <v>376.86067919275132</v>
      </c>
      <c r="AM56" s="183">
        <f t="shared" si="129"/>
        <v>365.6195320488423</v>
      </c>
      <c r="AN56" s="174">
        <f t="shared" si="129"/>
        <v>354.92780439822843</v>
      </c>
      <c r="AO56" s="183">
        <f t="shared" si="129"/>
        <v>370.74858299550192</v>
      </c>
      <c r="AP56" s="183">
        <f t="shared" si="129"/>
        <v>355.93676416575948</v>
      </c>
      <c r="AQ56" s="183">
        <f t="shared" si="129"/>
        <v>341.71656329049972</v>
      </c>
      <c r="AR56" s="183">
        <f t="shared" si="129"/>
        <v>328.05322854019619</v>
      </c>
      <c r="AS56" s="183">
        <f t="shared" si="129"/>
        <v>314.91467759428787</v>
      </c>
      <c r="AT56" s="183">
        <f t="shared" si="129"/>
        <v>302.27124614351868</v>
      </c>
      <c r="AU56" s="183">
        <f t="shared" si="129"/>
        <v>290.0954642991274</v>
      </c>
      <c r="AV56" s="183">
        <f t="shared" si="129"/>
        <v>278.36185736176401</v>
      </c>
      <c r="AW56" s="183">
        <f t="shared" si="129"/>
        <v>267.04676790909417</v>
      </c>
      <c r="AX56" s="183">
        <f t="shared" si="129"/>
        <v>256.12819658731593</v>
      </c>
      <c r="AY56" s="183">
        <f t="shared" si="129"/>
        <v>249.36253394786897</v>
      </c>
      <c r="AZ56" s="183">
        <f t="shared" si="129"/>
        <v>242.83637225005239</v>
      </c>
      <c r="BA56" s="183">
        <f t="shared" si="129"/>
        <v>236.53721535889426</v>
      </c>
      <c r="BB56" s="183">
        <f t="shared" si="129"/>
        <v>230.45342160514875</v>
      </c>
      <c r="BC56" s="183">
        <f t="shared" si="129"/>
        <v>224.57413197904526</v>
      </c>
      <c r="BD56" s="183">
        <f t="shared" si="129"/>
        <v>218.8892054455537</v>
      </c>
      <c r="BE56" s="183">
        <f t="shared" si="129"/>
        <v>213.38916057056008</v>
      </c>
      <c r="BF56" s="183">
        <f t="shared" si="129"/>
        <v>208.06512275110893</v>
      </c>
      <c r="BG56" s="183">
        <f t="shared" si="129"/>
        <v>202.90877643191996</v>
      </c>
      <c r="BH56" s="184">
        <f t="shared" si="129"/>
        <v>197.91232176701885</v>
      </c>
      <c r="BI56" s="183"/>
      <c r="BJ56" s="179">
        <f t="shared" si="118"/>
        <v>-2.1027234658196683E-2</v>
      </c>
      <c r="BK56" s="180">
        <f t="shared" si="119"/>
        <v>-1.5801252484760463E-2</v>
      </c>
      <c r="BL56" s="179">
        <f t="shared" si="120"/>
        <v>-3.3462961189838492E-2</v>
      </c>
      <c r="BM56" s="181">
        <f t="shared" si="121"/>
        <v>-3.1630056956122532E-2</v>
      </c>
    </row>
    <row r="57" spans="1:67">
      <c r="AN57" s="134"/>
      <c r="BJ57" s="1"/>
      <c r="BK57" s="1"/>
      <c r="BL57" s="1"/>
    </row>
    <row r="58" spans="1:67" s="65" customFormat="1" collapsed="1">
      <c r="A58" s="64" t="s">
        <v>595</v>
      </c>
      <c r="B58" s="117" t="s">
        <v>450</v>
      </c>
      <c r="C58" s="107"/>
      <c r="D58" s="107"/>
      <c r="E58" s="107"/>
      <c r="F58" s="107"/>
      <c r="G58" s="107"/>
      <c r="H58" s="131"/>
      <c r="I58" s="131"/>
      <c r="J58" s="107"/>
      <c r="K58" s="107"/>
      <c r="L58" s="107"/>
      <c r="M58" s="107"/>
      <c r="N58" s="107"/>
      <c r="O58" s="107"/>
      <c r="P58" s="107"/>
      <c r="Q58" s="107"/>
      <c r="R58" s="107"/>
      <c r="S58" s="107"/>
      <c r="T58" s="107"/>
      <c r="U58" s="107"/>
      <c r="V58" s="107"/>
      <c r="W58" s="107"/>
      <c r="X58" s="107"/>
      <c r="Y58" s="131"/>
      <c r="Z58" s="107"/>
      <c r="AA58" s="107"/>
      <c r="AB58" s="107"/>
      <c r="AC58" s="107"/>
      <c r="AD58" s="107"/>
      <c r="AE58" s="107"/>
      <c r="AF58" s="107"/>
      <c r="AG58" s="107"/>
      <c r="AH58" s="107"/>
      <c r="AI58" s="107"/>
      <c r="AJ58" s="107"/>
      <c r="AK58" s="107"/>
      <c r="AL58" s="107"/>
      <c r="AM58" s="107"/>
      <c r="AN58" s="131"/>
      <c r="AO58" s="107"/>
      <c r="AP58" s="107"/>
      <c r="AQ58" s="107"/>
      <c r="AR58" s="107"/>
      <c r="AS58" s="107"/>
      <c r="AT58" s="107"/>
      <c r="AU58" s="107"/>
      <c r="AV58" s="107"/>
      <c r="AW58" s="107"/>
      <c r="AX58" s="107"/>
      <c r="AY58" s="107"/>
      <c r="AZ58" s="107"/>
      <c r="BA58" s="107"/>
      <c r="BB58" s="107"/>
      <c r="BC58" s="107"/>
      <c r="BD58" s="107"/>
      <c r="BE58" s="107"/>
      <c r="BF58" s="107"/>
      <c r="BG58" s="107"/>
      <c r="BH58" s="141"/>
      <c r="BI58" s="107"/>
      <c r="BJ58" s="110"/>
      <c r="BK58" s="107"/>
      <c r="BL58" s="107"/>
    </row>
    <row r="59" spans="1:67">
      <c r="A59" s="21" t="s">
        <v>147</v>
      </c>
      <c r="I59" s="139">
        <v>36.217391473618768</v>
      </c>
      <c r="J59" s="16">
        <v>33.869566964072277</v>
      </c>
      <c r="K59" s="16">
        <v>33.34782890850552</v>
      </c>
      <c r="L59" s="16">
        <v>32.956525521125123</v>
      </c>
      <c r="M59" s="16">
        <v>32.565221870246148</v>
      </c>
      <c r="N59" s="16">
        <v>32.304352839024745</v>
      </c>
      <c r="O59" s="16">
        <v>31.913048970123384</v>
      </c>
      <c r="P59" s="16">
        <v>31.000006283141985</v>
      </c>
      <c r="Q59" s="16">
        <v>29.956528744090221</v>
      </c>
      <c r="R59" s="16">
        <v>29.043485993948053</v>
      </c>
      <c r="S59" s="16">
        <v>28.130443216844306</v>
      </c>
      <c r="T59" s="16">
        <v>27.086965721973442</v>
      </c>
      <c r="U59" s="16">
        <v>25.913053552651444</v>
      </c>
      <c r="V59" s="16">
        <v>24.869575994909265</v>
      </c>
      <c r="W59" s="16">
        <v>23.956533215017391</v>
      </c>
      <c r="X59" s="16">
        <v>22.913055739354775</v>
      </c>
      <c r="Y59" s="139">
        <v>21.869578243203335</v>
      </c>
      <c r="Z59" s="16">
        <v>20.695666052503704</v>
      </c>
      <c r="AA59" s="16">
        <v>19.782623250531351</v>
      </c>
      <c r="AB59" s="16">
        <v>18.869580467595206</v>
      </c>
      <c r="AC59" s="16">
        <v>17.826102989831409</v>
      </c>
      <c r="AD59" s="16">
        <v>17.043494899822875</v>
      </c>
      <c r="AE59" s="16">
        <v>16.260886862932995</v>
      </c>
      <c r="AF59" s="16">
        <v>15.347844077043483</v>
      </c>
      <c r="AG59" s="16">
        <v>14.695670712178206</v>
      </c>
      <c r="AH59" s="16">
        <v>14.043497328612553</v>
      </c>
      <c r="AI59" s="16">
        <v>13.391323991792522</v>
      </c>
      <c r="AJ59" s="16">
        <v>12.739150605031938</v>
      </c>
      <c r="AK59" s="16">
        <v>11.956542524612779</v>
      </c>
      <c r="AL59" s="16">
        <v>11.434803858537105</v>
      </c>
      <c r="AM59" s="16">
        <v>10.782630468869757</v>
      </c>
      <c r="AN59" s="139">
        <v>10.260891826744535</v>
      </c>
      <c r="AO59" s="16">
        <v>9.6087184349041497</v>
      </c>
      <c r="AP59" s="16">
        <v>9.2174144788817589</v>
      </c>
      <c r="AQ59" s="16">
        <v>8.6956758021704434</v>
      </c>
      <c r="AR59" s="16">
        <v>8.3043718393784385</v>
      </c>
      <c r="AS59" s="16">
        <v>7.652198455855574</v>
      </c>
      <c r="AT59" s="16">
        <v>7.2608944766346788</v>
      </c>
      <c r="AU59" s="16">
        <v>6.8695904950669924</v>
      </c>
      <c r="AV59" s="16">
        <v>6.3478518210253601</v>
      </c>
      <c r="AW59" s="16">
        <v>6.0869825151176347</v>
      </c>
      <c r="AX59" s="16">
        <v>5.565243848113882</v>
      </c>
      <c r="AY59" s="16">
        <v>5.3043745486087079</v>
      </c>
      <c r="AZ59" s="16">
        <v>5.0435052565300875</v>
      </c>
      <c r="BA59" s="16">
        <v>4.7826359709947432</v>
      </c>
      <c r="BB59" s="16">
        <v>4.5217666648211825</v>
      </c>
      <c r="BC59" s="16">
        <v>4.1304626683714147</v>
      </c>
      <c r="BD59" s="16">
        <v>3.7391586707450752</v>
      </c>
      <c r="BE59" s="16">
        <v>3.4782893764938123</v>
      </c>
      <c r="BF59" s="16">
        <v>3.3478547676881814</v>
      </c>
      <c r="BG59" s="16">
        <v>3.0869854684770157</v>
      </c>
      <c r="BH59" s="78">
        <v>2.9565508400150158</v>
      </c>
      <c r="BI59" s="16"/>
      <c r="BJ59" s="1"/>
      <c r="BK59" s="1"/>
      <c r="BL59" s="1"/>
    </row>
    <row r="60" spans="1:67">
      <c r="A60" s="21" t="s">
        <v>453</v>
      </c>
      <c r="I60" s="140">
        <f>I23/(I59*1000)</f>
        <v>2.8027971057479735E-2</v>
      </c>
      <c r="J60" s="108">
        <f t="shared" ref="J60:BH60" si="130">J23/(J59*1000)</f>
        <v>2.9798002897882602E-2</v>
      </c>
      <c r="K60" s="108">
        <f t="shared" si="130"/>
        <v>3.0088642707261505E-2</v>
      </c>
      <c r="L60" s="108">
        <f t="shared" si="130"/>
        <v>3.0268250304387918E-2</v>
      </c>
      <c r="M60" s="108">
        <f t="shared" si="130"/>
        <v>3.0452174474140083E-2</v>
      </c>
      <c r="N60" s="108">
        <f t="shared" si="130"/>
        <v>3.0516855658422607E-2</v>
      </c>
      <c r="O60" s="108">
        <f t="shared" si="130"/>
        <v>3.0707586987071211E-2</v>
      </c>
      <c r="P60" s="108">
        <f t="shared" si="130"/>
        <v>3.1423160786516156E-2</v>
      </c>
      <c r="Q60" s="108">
        <f t="shared" si="130"/>
        <v>3.2322290898095254E-2</v>
      </c>
      <c r="R60" s="108">
        <f t="shared" si="130"/>
        <v>3.3136831133481467E-2</v>
      </c>
      <c r="S60" s="108">
        <f t="shared" si="130"/>
        <v>3.4004247216473556E-2</v>
      </c>
      <c r="T60" s="108">
        <f t="shared" si="130"/>
        <v>3.5098061915025604E-2</v>
      </c>
      <c r="U60" s="108">
        <f t="shared" si="130"/>
        <v>3.6103811467030789E-2</v>
      </c>
      <c r="V60" s="108">
        <f t="shared" si="130"/>
        <v>3.7009879066229663E-2</v>
      </c>
      <c r="W60" s="108">
        <f t="shared" si="130"/>
        <v>3.7788439248485094E-2</v>
      </c>
      <c r="X60" s="108">
        <f t="shared" si="130"/>
        <v>3.8848594012326453E-2</v>
      </c>
      <c r="Y60" s="140">
        <f t="shared" si="130"/>
        <v>4.0009916527399617E-2</v>
      </c>
      <c r="Z60" s="108">
        <f t="shared" si="130"/>
        <v>4.1547829280709554E-2</v>
      </c>
      <c r="AA60" s="108">
        <f t="shared" si="130"/>
        <v>4.2700100451911062E-2</v>
      </c>
      <c r="AB60" s="108">
        <f t="shared" si="130"/>
        <v>4.3963881519498572E-2</v>
      </c>
      <c r="AC60" s="108">
        <f t="shared" si="130"/>
        <v>4.5688056467786779E-2</v>
      </c>
      <c r="AD60" s="108">
        <f t="shared" si="130"/>
        <v>4.6897658297084754E-2</v>
      </c>
      <c r="AE60" s="108">
        <f t="shared" si="130"/>
        <v>4.8651712951977621E-2</v>
      </c>
      <c r="AF60" s="108">
        <f t="shared" si="130"/>
        <v>5.1013028023335308E-2</v>
      </c>
      <c r="AG60" s="108">
        <f t="shared" si="130"/>
        <v>5.2720288524018277E-2</v>
      </c>
      <c r="AH60" s="108">
        <f t="shared" si="130"/>
        <v>5.4586117835345185E-2</v>
      </c>
      <c r="AI60" s="108">
        <f t="shared" si="130"/>
        <v>5.6633683156708026E-2</v>
      </c>
      <c r="AJ60" s="108">
        <f t="shared" si="130"/>
        <v>5.8890896517360028E-2</v>
      </c>
      <c r="AK60" s="108">
        <f t="shared" si="130"/>
        <v>6.2061419383780583E-2</v>
      </c>
      <c r="AL60" s="108">
        <f t="shared" si="130"/>
        <v>6.4177751457635032E-2</v>
      </c>
      <c r="AM60" s="108">
        <f t="shared" si="130"/>
        <v>6.7300831842015893E-2</v>
      </c>
      <c r="AN60" s="140">
        <f t="shared" si="130"/>
        <v>6.9925695749941522E-2</v>
      </c>
      <c r="AO60" s="108">
        <f t="shared" si="130"/>
        <v>7.2832813734850704E-2</v>
      </c>
      <c r="AP60" s="108">
        <f t="shared" si="130"/>
        <v>7.400773845669123E-2</v>
      </c>
      <c r="AQ60" s="108">
        <f t="shared" si="130"/>
        <v>7.6416142358267686E-2</v>
      </c>
      <c r="AR60" s="108">
        <f t="shared" si="130"/>
        <v>7.788909414350273E-2</v>
      </c>
      <c r="AS60" s="108">
        <f t="shared" si="130"/>
        <v>8.2218202210707886E-2</v>
      </c>
      <c r="AT60" s="108">
        <f t="shared" si="130"/>
        <v>8.4215519447049247E-2</v>
      </c>
      <c r="AU60" s="108">
        <f t="shared" si="130"/>
        <v>8.6440378131187198E-2</v>
      </c>
      <c r="AV60" s="108">
        <f t="shared" si="130"/>
        <v>9.076141287540912E-2</v>
      </c>
      <c r="AW60" s="108">
        <f t="shared" si="130"/>
        <v>9.1748251060847275E-2</v>
      </c>
      <c r="AX60" s="108">
        <f t="shared" si="130"/>
        <v>9.7174538036331082E-2</v>
      </c>
      <c r="AY60" s="108">
        <f t="shared" si="130"/>
        <v>0.10006834832944145</v>
      </c>
      <c r="AZ60" s="108">
        <f t="shared" si="130"/>
        <v>0.10326151624917873</v>
      </c>
      <c r="BA60" s="108">
        <f t="shared" si="130"/>
        <v>0.10680302726317646</v>
      </c>
      <c r="BB60" s="108">
        <f t="shared" si="130"/>
        <v>0.11075317174063085</v>
      </c>
      <c r="BC60" s="108">
        <f t="shared" si="130"/>
        <v>0.11882446093950916</v>
      </c>
      <c r="BD60" s="108">
        <f t="shared" si="130"/>
        <v>0.12858507550421613</v>
      </c>
      <c r="BE60" s="108">
        <f t="shared" si="130"/>
        <v>0.13535389067443726</v>
      </c>
      <c r="BF60" s="108">
        <f t="shared" si="130"/>
        <v>0.13764037928031136</v>
      </c>
      <c r="BG60" s="108">
        <f t="shared" si="130"/>
        <v>0.14603243345437744</v>
      </c>
      <c r="BH60" s="91">
        <f t="shared" si="130"/>
        <v>0.14909265013611647</v>
      </c>
      <c r="BI60" s="108"/>
      <c r="BJ60" s="1"/>
      <c r="BK60" s="1"/>
      <c r="BL60" s="1"/>
    </row>
  </sheetData>
  <mergeCells count="2">
    <mergeCell ref="BL1:BM1"/>
    <mergeCell ref="BJ1:BK1"/>
  </mergeCells>
  <pageMargins left="0.7" right="0.7" top="0.75" bottom="0.75" header="0.3" footer="0.3"/>
  <pageSetup orientation="portrait" horizontalDpi="90" verticalDpi="90" r:id="rId1"/>
  <customProperties>
    <customPr name="SSC_SHEET_GUI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Catalogues!$R$3:$R$4</xm:f>
          </x14:formula1>
          <xm:sqref>A2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E920-63D1-4013-AEAC-F5E8A461B1B3}">
  <sheetPr codeName="Sheet5"/>
  <dimension ref="B2:AH33"/>
  <sheetViews>
    <sheetView workbookViewId="0">
      <selection activeCell="B19" sqref="B19"/>
    </sheetView>
  </sheetViews>
  <sheetFormatPr defaultRowHeight="15"/>
  <cols>
    <col min="1" max="1" width="4.28515625" customWidth="1"/>
    <col min="2" max="2" width="41.7109375" bestFit="1" customWidth="1"/>
    <col min="3" max="19" width="9.28515625" bestFit="1" customWidth="1"/>
    <col min="20" max="34" width="9.5703125" bestFit="1" customWidth="1"/>
  </cols>
  <sheetData>
    <row r="2" spans="2:34">
      <c r="C2" s="483">
        <v>2019</v>
      </c>
      <c r="D2" s="483">
        <v>2020</v>
      </c>
      <c r="E2" s="483">
        <v>2030</v>
      </c>
      <c r="F2" s="483">
        <v>2040</v>
      </c>
      <c r="G2" s="483">
        <v>2050</v>
      </c>
    </row>
    <row r="3" spans="2:34">
      <c r="B3" t="s">
        <v>642</v>
      </c>
      <c r="C3" s="479">
        <v>1019</v>
      </c>
      <c r="D3" s="480">
        <v>621</v>
      </c>
      <c r="E3" s="479">
        <v>783</v>
      </c>
      <c r="F3" s="479">
        <v>469</v>
      </c>
      <c r="G3" s="479">
        <v>210</v>
      </c>
    </row>
    <row r="5" spans="2:34">
      <c r="C5" s="483">
        <f>+C2</f>
        <v>2019</v>
      </c>
      <c r="D5" s="483">
        <f>+C5+1</f>
        <v>2020</v>
      </c>
      <c r="E5" s="483">
        <f t="shared" ref="E5:AH5" si="0">+D5+1</f>
        <v>2021</v>
      </c>
      <c r="F5" s="483">
        <f t="shared" si="0"/>
        <v>2022</v>
      </c>
      <c r="G5" s="483">
        <f t="shared" si="0"/>
        <v>2023</v>
      </c>
      <c r="H5" s="483">
        <f t="shared" si="0"/>
        <v>2024</v>
      </c>
      <c r="I5" s="483">
        <f t="shared" si="0"/>
        <v>2025</v>
      </c>
      <c r="J5" s="483">
        <f t="shared" si="0"/>
        <v>2026</v>
      </c>
      <c r="K5" s="483">
        <f t="shared" si="0"/>
        <v>2027</v>
      </c>
      <c r="L5" s="483">
        <f t="shared" si="0"/>
        <v>2028</v>
      </c>
      <c r="M5" s="483">
        <f t="shared" si="0"/>
        <v>2029</v>
      </c>
      <c r="N5" s="483">
        <f t="shared" si="0"/>
        <v>2030</v>
      </c>
      <c r="O5" s="483">
        <f t="shared" si="0"/>
        <v>2031</v>
      </c>
      <c r="P5" s="483">
        <f t="shared" si="0"/>
        <v>2032</v>
      </c>
      <c r="Q5" s="483">
        <f t="shared" si="0"/>
        <v>2033</v>
      </c>
      <c r="R5" s="483">
        <f t="shared" si="0"/>
        <v>2034</v>
      </c>
      <c r="S5" s="483">
        <f t="shared" si="0"/>
        <v>2035</v>
      </c>
      <c r="T5" s="483">
        <f t="shared" si="0"/>
        <v>2036</v>
      </c>
      <c r="U5" s="483">
        <f t="shared" si="0"/>
        <v>2037</v>
      </c>
      <c r="V5" s="483">
        <f t="shared" si="0"/>
        <v>2038</v>
      </c>
      <c r="W5" s="483">
        <f t="shared" si="0"/>
        <v>2039</v>
      </c>
      <c r="X5" s="483">
        <f t="shared" si="0"/>
        <v>2040</v>
      </c>
      <c r="Y5" s="483">
        <f t="shared" si="0"/>
        <v>2041</v>
      </c>
      <c r="Z5" s="483">
        <f t="shared" si="0"/>
        <v>2042</v>
      </c>
      <c r="AA5" s="483">
        <f t="shared" si="0"/>
        <v>2043</v>
      </c>
      <c r="AB5" s="483">
        <f t="shared" si="0"/>
        <v>2044</v>
      </c>
      <c r="AC5" s="483">
        <f t="shared" si="0"/>
        <v>2045</v>
      </c>
      <c r="AD5" s="483">
        <f t="shared" si="0"/>
        <v>2046</v>
      </c>
      <c r="AE5" s="483">
        <f t="shared" si="0"/>
        <v>2047</v>
      </c>
      <c r="AF5" s="483">
        <f t="shared" si="0"/>
        <v>2048</v>
      </c>
      <c r="AG5" s="483">
        <f t="shared" si="0"/>
        <v>2049</v>
      </c>
      <c r="AH5" s="483">
        <f t="shared" si="0"/>
        <v>2050</v>
      </c>
    </row>
    <row r="6" spans="2:34">
      <c r="B6" t="s">
        <v>643</v>
      </c>
      <c r="C6" s="40">
        <f>C29</f>
        <v>1113.2430097929</v>
      </c>
      <c r="D6" s="40">
        <f t="shared" ref="D6:AH6" si="1">D29</f>
        <v>1126.6347946214107</v>
      </c>
      <c r="E6" s="40">
        <f t="shared" si="1"/>
        <v>1129.8720283925434</v>
      </c>
      <c r="F6" s="40">
        <f t="shared" si="1"/>
        <v>1137.2853849783862</v>
      </c>
      <c r="G6" s="40">
        <f t="shared" si="1"/>
        <v>1147.8142147826827</v>
      </c>
      <c r="H6" s="40">
        <f t="shared" si="1"/>
        <v>1160.7290113610052</v>
      </c>
      <c r="I6" s="40">
        <f t="shared" si="1"/>
        <v>1175.5115360560023</v>
      </c>
      <c r="J6" s="40">
        <f t="shared" si="1"/>
        <v>1103.0782185914013</v>
      </c>
      <c r="K6" s="40">
        <f t="shared" si="1"/>
        <v>1038.6717253399333</v>
      </c>
      <c r="L6" s="40">
        <f t="shared" si="1"/>
        <v>980.85971595884303</v>
      </c>
      <c r="M6" s="40">
        <f t="shared" si="1"/>
        <v>928.53150791063911</v>
      </c>
      <c r="N6" s="40">
        <f t="shared" si="1"/>
        <v>880.81258363893267</v>
      </c>
      <c r="O6" s="40">
        <f t="shared" si="1"/>
        <v>850.94160571429234</v>
      </c>
      <c r="P6" s="40">
        <f t="shared" si="1"/>
        <v>821.07004206140027</v>
      </c>
      <c r="Q6" s="40">
        <f t="shared" si="1"/>
        <v>791.1979415640634</v>
      </c>
      <c r="R6" s="40">
        <f t="shared" si="1"/>
        <v>761.32534781365121</v>
      </c>
      <c r="S6" s="40">
        <f t="shared" si="1"/>
        <v>731.45229980645604</v>
      </c>
      <c r="T6" s="40">
        <f t="shared" si="1"/>
        <v>701.57883253361979</v>
      </c>
      <c r="U6" s="40">
        <f t="shared" si="1"/>
        <v>671.70497748245566</v>
      </c>
      <c r="V6" s="40">
        <f t="shared" si="1"/>
        <v>641.83076306430053</v>
      </c>
      <c r="W6" s="40">
        <f t="shared" si="1"/>
        <v>611.9562149811793</v>
      </c>
      <c r="X6" s="40">
        <f t="shared" si="1"/>
        <v>582.34093647425675</v>
      </c>
      <c r="Y6" s="40">
        <f t="shared" si="1"/>
        <v>558.12313069843412</v>
      </c>
      <c r="Z6" s="40">
        <f t="shared" si="1"/>
        <v>534.16512428919827</v>
      </c>
      <c r="AA6" s="40">
        <f t="shared" si="1"/>
        <v>510.20731790458291</v>
      </c>
      <c r="AB6" s="40">
        <f t="shared" si="1"/>
        <v>486.24969435905933</v>
      </c>
      <c r="AC6" s="40">
        <f t="shared" si="1"/>
        <v>462.29223838099449</v>
      </c>
      <c r="AD6" s="40">
        <f t="shared" si="1"/>
        <v>438.33493635343609</v>
      </c>
      <c r="AE6" s="40">
        <f t="shared" si="1"/>
        <v>414.37777609591876</v>
      </c>
      <c r="AF6" s="40">
        <f t="shared" si="1"/>
        <v>390.42074667990687</v>
      </c>
      <c r="AG6" s="40">
        <f t="shared" si="1"/>
        <v>366.46383827197974</v>
      </c>
      <c r="AH6" s="40">
        <f t="shared" si="1"/>
        <v>342.82304907390863</v>
      </c>
    </row>
    <row r="8" spans="2:34">
      <c r="B8" s="64" t="s">
        <v>592</v>
      </c>
      <c r="C8" s="483">
        <f>+C5</f>
        <v>2019</v>
      </c>
      <c r="D8" s="483">
        <f>+C8+1</f>
        <v>2020</v>
      </c>
      <c r="E8" s="483">
        <f t="shared" ref="E8:AH8" si="2">+D8+1</f>
        <v>2021</v>
      </c>
      <c r="F8" s="483">
        <f t="shared" si="2"/>
        <v>2022</v>
      </c>
      <c r="G8" s="483">
        <f t="shared" si="2"/>
        <v>2023</v>
      </c>
      <c r="H8" s="483">
        <f t="shared" si="2"/>
        <v>2024</v>
      </c>
      <c r="I8" s="483">
        <f t="shared" si="2"/>
        <v>2025</v>
      </c>
      <c r="J8" s="483">
        <f t="shared" si="2"/>
        <v>2026</v>
      </c>
      <c r="K8" s="483">
        <f t="shared" si="2"/>
        <v>2027</v>
      </c>
      <c r="L8" s="483">
        <f t="shared" si="2"/>
        <v>2028</v>
      </c>
      <c r="M8" s="483">
        <f t="shared" si="2"/>
        <v>2029</v>
      </c>
      <c r="N8" s="483">
        <f t="shared" si="2"/>
        <v>2030</v>
      </c>
      <c r="O8" s="483">
        <f t="shared" si="2"/>
        <v>2031</v>
      </c>
      <c r="P8" s="483">
        <f t="shared" si="2"/>
        <v>2032</v>
      </c>
      <c r="Q8" s="483">
        <f t="shared" si="2"/>
        <v>2033</v>
      </c>
      <c r="R8" s="483">
        <f t="shared" si="2"/>
        <v>2034</v>
      </c>
      <c r="S8" s="483">
        <f t="shared" si="2"/>
        <v>2035</v>
      </c>
      <c r="T8" s="483">
        <f t="shared" si="2"/>
        <v>2036</v>
      </c>
      <c r="U8" s="483">
        <f t="shared" si="2"/>
        <v>2037</v>
      </c>
      <c r="V8" s="483">
        <f t="shared" si="2"/>
        <v>2038</v>
      </c>
      <c r="W8" s="483">
        <f t="shared" si="2"/>
        <v>2039</v>
      </c>
      <c r="X8" s="483">
        <f t="shared" si="2"/>
        <v>2040</v>
      </c>
      <c r="Y8" s="483">
        <f t="shared" si="2"/>
        <v>2041</v>
      </c>
      <c r="Z8" s="483">
        <f t="shared" si="2"/>
        <v>2042</v>
      </c>
      <c r="AA8" s="483">
        <f t="shared" si="2"/>
        <v>2043</v>
      </c>
      <c r="AB8" s="483">
        <f t="shared" si="2"/>
        <v>2044</v>
      </c>
      <c r="AC8" s="483">
        <f t="shared" si="2"/>
        <v>2045</v>
      </c>
      <c r="AD8" s="483">
        <f t="shared" si="2"/>
        <v>2046</v>
      </c>
      <c r="AE8" s="483">
        <f t="shared" si="2"/>
        <v>2047</v>
      </c>
      <c r="AF8" s="483">
        <f t="shared" si="2"/>
        <v>2048</v>
      </c>
      <c r="AG8" s="483">
        <f t="shared" si="2"/>
        <v>2049</v>
      </c>
      <c r="AH8" s="483">
        <f t="shared" si="2"/>
        <v>2050</v>
      </c>
    </row>
    <row r="9" spans="2:34">
      <c r="B9" s="21" t="s">
        <v>150</v>
      </c>
      <c r="C9" s="40">
        <v>11.35083326877</v>
      </c>
      <c r="D9" s="40">
        <v>11.719723003334897</v>
      </c>
      <c r="E9" s="40">
        <v>12.088612737899792</v>
      </c>
      <c r="F9" s="40">
        <v>12.457502472464677</v>
      </c>
      <c r="G9" s="40">
        <v>12.826392207029572</v>
      </c>
      <c r="H9" s="40">
        <v>13.195281941594471</v>
      </c>
      <c r="I9" s="40">
        <v>13.564171676159368</v>
      </c>
      <c r="J9" s="40">
        <v>13.933061410724248</v>
      </c>
      <c r="K9" s="40">
        <v>14.301951145289147</v>
      </c>
      <c r="L9" s="40">
        <v>14.670840879854044</v>
      </c>
      <c r="M9" s="40">
        <v>15.039730614418939</v>
      </c>
      <c r="N9" s="40">
        <v>15.408620348983838</v>
      </c>
      <c r="O9" s="40">
        <v>15.876398520354687</v>
      </c>
      <c r="P9" s="40">
        <v>16.344176691725551</v>
      </c>
      <c r="Q9" s="40">
        <v>16.8119548630964</v>
      </c>
      <c r="R9" s="40">
        <v>17.279733034467249</v>
      </c>
      <c r="S9" s="40">
        <v>17.747511205838098</v>
      </c>
      <c r="T9" s="40">
        <v>18.215289377208947</v>
      </c>
      <c r="U9" s="40">
        <v>18.68306754857981</v>
      </c>
      <c r="V9" s="40">
        <v>19.150845719950659</v>
      </c>
      <c r="W9" s="40">
        <v>19.618623891321512</v>
      </c>
      <c r="X9" s="40">
        <v>20.086402062692361</v>
      </c>
      <c r="Y9" s="40">
        <v>20.736025108383203</v>
      </c>
      <c r="Z9" s="40">
        <v>21.385648154074026</v>
      </c>
      <c r="AA9" s="40">
        <v>22.035271199764839</v>
      </c>
      <c r="AB9" s="40">
        <v>22.684894245455663</v>
      </c>
      <c r="AC9" s="40">
        <v>23.334517291146476</v>
      </c>
      <c r="AD9" s="40">
        <v>23.984140336837317</v>
      </c>
      <c r="AE9" s="40">
        <v>24.633763382528159</v>
      </c>
      <c r="AF9" s="40">
        <v>25.283386428218968</v>
      </c>
      <c r="AG9" s="40">
        <v>25.933009473909777</v>
      </c>
      <c r="AH9" s="40">
        <v>26.582632519600619</v>
      </c>
    </row>
    <row r="10" spans="2:34">
      <c r="B10" s="172" t="s">
        <v>151</v>
      </c>
      <c r="C10" s="40">
        <v>114.76953638423001</v>
      </c>
      <c r="D10" s="40">
        <v>118.49942147816397</v>
      </c>
      <c r="E10" s="40">
        <v>122.22930657209791</v>
      </c>
      <c r="F10" s="40">
        <v>125.95919166603174</v>
      </c>
      <c r="G10" s="40">
        <v>129.6890767599657</v>
      </c>
      <c r="H10" s="40">
        <v>133.41896185389967</v>
      </c>
      <c r="I10" s="40">
        <v>137.14884694783362</v>
      </c>
      <c r="J10" s="40">
        <v>140.87873204176742</v>
      </c>
      <c r="K10" s="40">
        <v>144.60861713570139</v>
      </c>
      <c r="L10" s="40">
        <v>148.33850222963534</v>
      </c>
      <c r="M10" s="40">
        <v>152.06838732356928</v>
      </c>
      <c r="N10" s="40">
        <v>155.79827241750326</v>
      </c>
      <c r="O10" s="40">
        <v>160.52802948358629</v>
      </c>
      <c r="P10" s="40">
        <v>165.25778654966948</v>
      </c>
      <c r="Q10" s="40">
        <v>169.98754361575251</v>
      </c>
      <c r="R10" s="40">
        <v>174.71730068183552</v>
      </c>
      <c r="S10" s="40">
        <v>179.44705774791856</v>
      </c>
      <c r="T10" s="40">
        <v>184.1768148140016</v>
      </c>
      <c r="U10" s="40">
        <v>188.90657188008478</v>
      </c>
      <c r="V10" s="40">
        <v>193.63632894616779</v>
      </c>
      <c r="W10" s="40">
        <v>198.36608601225086</v>
      </c>
      <c r="X10" s="40">
        <v>203.0958430783339</v>
      </c>
      <c r="Y10" s="40">
        <v>209.6642538736524</v>
      </c>
      <c r="Z10" s="40">
        <v>216.23266466897073</v>
      </c>
      <c r="AA10" s="40">
        <v>222.80107546428894</v>
      </c>
      <c r="AB10" s="40">
        <v>229.36948625960727</v>
      </c>
      <c r="AC10" s="40">
        <v>235.93789705492549</v>
      </c>
      <c r="AD10" s="40">
        <v>242.50630785024401</v>
      </c>
      <c r="AE10" s="40">
        <v>249.07471864556251</v>
      </c>
      <c r="AF10" s="40">
        <v>255.6431294408807</v>
      </c>
      <c r="AG10" s="40">
        <v>262.21154023619891</v>
      </c>
      <c r="AH10" s="40">
        <v>268.77995103151738</v>
      </c>
    </row>
    <row r="11" spans="2:34">
      <c r="B11" s="21" t="s">
        <v>112</v>
      </c>
      <c r="C11" s="40">
        <v>132.05856292170913</v>
      </c>
      <c r="D11" s="40">
        <v>136.35032257227522</v>
      </c>
      <c r="E11" s="40">
        <v>140.64208222284134</v>
      </c>
      <c r="F11" s="40">
        <v>144.93384187340743</v>
      </c>
      <c r="G11" s="40">
        <v>149.22560152397358</v>
      </c>
      <c r="H11" s="40">
        <v>153.51736117453967</v>
      </c>
      <c r="I11" s="40">
        <v>157.80912082510579</v>
      </c>
      <c r="J11" s="40">
        <v>162.10088047567194</v>
      </c>
      <c r="K11" s="40">
        <v>166.39264012623804</v>
      </c>
      <c r="L11" s="40">
        <v>170.68439977680413</v>
      </c>
      <c r="M11" s="40">
        <v>174.97615942737025</v>
      </c>
      <c r="N11" s="40">
        <v>179.26791907793648</v>
      </c>
      <c r="O11" s="40">
        <v>184.71017266537498</v>
      </c>
      <c r="P11" s="40">
        <v>190.15242625281348</v>
      </c>
      <c r="Q11" s="40">
        <v>195.59467984025196</v>
      </c>
      <c r="R11" s="40">
        <v>201.03693342769046</v>
      </c>
      <c r="S11" s="40">
        <v>206.47918701512896</v>
      </c>
      <c r="T11" s="40">
        <v>211.92144060256749</v>
      </c>
      <c r="U11" s="40">
        <v>217.36369419000596</v>
      </c>
      <c r="V11" s="40">
        <v>222.80594777744446</v>
      </c>
      <c r="W11" s="40">
        <v>228.24820136488299</v>
      </c>
      <c r="X11" s="40">
        <v>233.6904549523214</v>
      </c>
      <c r="Y11" s="40">
        <v>241.2483393669209</v>
      </c>
      <c r="Z11" s="40">
        <v>248.80622378152043</v>
      </c>
      <c r="AA11" s="40">
        <v>256.36410819611996</v>
      </c>
      <c r="AB11" s="40">
        <v>263.92199261071943</v>
      </c>
      <c r="AC11" s="40">
        <v>271.4798770253189</v>
      </c>
      <c r="AD11" s="40">
        <v>279.03776143991843</v>
      </c>
      <c r="AE11" s="40">
        <v>286.5956458545179</v>
      </c>
      <c r="AF11" s="40">
        <v>294.15353026911737</v>
      </c>
      <c r="AG11" s="40">
        <v>301.71141468371684</v>
      </c>
      <c r="AH11" s="40">
        <v>309.26929909831654</v>
      </c>
    </row>
    <row r="12" spans="2:34">
      <c r="B12" s="21" t="s">
        <v>148</v>
      </c>
      <c r="C12" s="40">
        <v>235.1940156949546</v>
      </c>
      <c r="D12" s="40">
        <v>242.83756537686838</v>
      </c>
      <c r="E12" s="40">
        <v>250.48111505878217</v>
      </c>
      <c r="F12" s="40">
        <v>258.12466474069595</v>
      </c>
      <c r="G12" s="40">
        <v>265.76821442260973</v>
      </c>
      <c r="H12" s="40">
        <v>273.41176410452351</v>
      </c>
      <c r="I12" s="40">
        <v>281.05531378643724</v>
      </c>
      <c r="J12" s="40">
        <v>288.69886346835102</v>
      </c>
      <c r="K12" s="40">
        <v>296.3424131502648</v>
      </c>
      <c r="L12" s="40">
        <v>303.98596283217853</v>
      </c>
      <c r="M12" s="40">
        <v>311.62951251409231</v>
      </c>
      <c r="N12" s="40">
        <v>319.27306219600632</v>
      </c>
      <c r="O12" s="40">
        <v>328.96562167371906</v>
      </c>
      <c r="P12" s="40">
        <v>338.65818115143179</v>
      </c>
      <c r="Q12" s="40">
        <v>348.35074062914441</v>
      </c>
      <c r="R12" s="40">
        <v>358.0433001068572</v>
      </c>
      <c r="S12" s="40">
        <v>367.73585958456988</v>
      </c>
      <c r="T12" s="40">
        <v>377.42841906228261</v>
      </c>
      <c r="U12" s="40">
        <v>387.12097853999535</v>
      </c>
      <c r="V12" s="40">
        <v>396.81353801770803</v>
      </c>
      <c r="W12" s="40">
        <v>406.50609749542082</v>
      </c>
      <c r="X12" s="40">
        <v>416.19865697313338</v>
      </c>
      <c r="Y12" s="40">
        <v>429.65911834951385</v>
      </c>
      <c r="Z12" s="40">
        <v>443.11957972589425</v>
      </c>
      <c r="AA12" s="40">
        <v>456.58004110227478</v>
      </c>
      <c r="AB12" s="40">
        <v>470.04050247865507</v>
      </c>
      <c r="AC12" s="40">
        <v>483.50096385503548</v>
      </c>
      <c r="AD12" s="40">
        <v>496.96142523141589</v>
      </c>
      <c r="AE12" s="40">
        <v>510.42188660779624</v>
      </c>
      <c r="AF12" s="40">
        <v>523.88234798417659</v>
      </c>
      <c r="AG12" s="40">
        <v>537.342809360557</v>
      </c>
      <c r="AH12" s="40">
        <v>550.80327073693775</v>
      </c>
    </row>
    <row r="13" spans="2:34">
      <c r="B13" s="172" t="s">
        <v>149</v>
      </c>
      <c r="C13" s="40">
        <v>630.62713848133626</v>
      </c>
      <c r="D13" s="40">
        <v>651.12183452835234</v>
      </c>
      <c r="E13" s="40">
        <v>671.61653057536842</v>
      </c>
      <c r="F13" s="40">
        <v>692.11122662238449</v>
      </c>
      <c r="G13" s="40">
        <v>712.60592266940046</v>
      </c>
      <c r="H13" s="40">
        <v>733.10061871641653</v>
      </c>
      <c r="I13" s="40">
        <v>753.5953147634325</v>
      </c>
      <c r="J13" s="40">
        <v>774.09001081044858</v>
      </c>
      <c r="K13" s="40">
        <v>794.58470685746454</v>
      </c>
      <c r="L13" s="40">
        <v>815.0794029044805</v>
      </c>
      <c r="M13" s="40">
        <v>835.57409895149658</v>
      </c>
      <c r="N13" s="40">
        <v>856.06879499851311</v>
      </c>
      <c r="O13" s="40">
        <v>882.0575134186189</v>
      </c>
      <c r="P13" s="40">
        <v>908.04623183872491</v>
      </c>
      <c r="Q13" s="40">
        <v>934.03495025883058</v>
      </c>
      <c r="R13" s="40">
        <v>960.02366867893636</v>
      </c>
      <c r="S13" s="40">
        <v>986.01238709904237</v>
      </c>
      <c r="T13" s="40">
        <v>1012.001105519148</v>
      </c>
      <c r="U13" s="40">
        <v>1037.9898239392539</v>
      </c>
      <c r="V13" s="40">
        <v>1063.9785423593598</v>
      </c>
      <c r="W13" s="40">
        <v>1089.9672607794657</v>
      </c>
      <c r="X13" s="40">
        <v>1115.9559791995712</v>
      </c>
      <c r="Y13" s="40">
        <v>1152.0475957968017</v>
      </c>
      <c r="Z13" s="40">
        <v>1188.1392123940325</v>
      </c>
      <c r="AA13" s="40">
        <v>1224.2308289912633</v>
      </c>
      <c r="AB13" s="40">
        <v>1260.3224455884938</v>
      </c>
      <c r="AC13" s="40">
        <v>1296.4140621857241</v>
      </c>
      <c r="AD13" s="40">
        <v>1332.5056787829546</v>
      </c>
      <c r="AE13" s="40">
        <v>1368.5972953801852</v>
      </c>
      <c r="AF13" s="40">
        <v>1404.6889119774155</v>
      </c>
      <c r="AG13" s="40">
        <v>1440.780528574646</v>
      </c>
      <c r="AH13" s="40">
        <v>1476.8721451718775</v>
      </c>
    </row>
    <row r="15" spans="2:34">
      <c r="B15" s="64" t="s">
        <v>594</v>
      </c>
      <c r="C15" s="483">
        <f>+C8</f>
        <v>2019</v>
      </c>
      <c r="D15" s="483">
        <f>+C15+1</f>
        <v>2020</v>
      </c>
      <c r="E15" s="483">
        <f t="shared" ref="E15:AH15" si="3">+D15+1</f>
        <v>2021</v>
      </c>
      <c r="F15" s="483">
        <f t="shared" si="3"/>
        <v>2022</v>
      </c>
      <c r="G15" s="483">
        <f t="shared" si="3"/>
        <v>2023</v>
      </c>
      <c r="H15" s="483">
        <f t="shared" si="3"/>
        <v>2024</v>
      </c>
      <c r="I15" s="483">
        <f t="shared" si="3"/>
        <v>2025</v>
      </c>
      <c r="J15" s="483">
        <f t="shared" si="3"/>
        <v>2026</v>
      </c>
      <c r="K15" s="483">
        <f t="shared" si="3"/>
        <v>2027</v>
      </c>
      <c r="L15" s="483">
        <f t="shared" si="3"/>
        <v>2028</v>
      </c>
      <c r="M15" s="483">
        <f t="shared" si="3"/>
        <v>2029</v>
      </c>
      <c r="N15" s="483">
        <f t="shared" si="3"/>
        <v>2030</v>
      </c>
      <c r="O15" s="483">
        <f t="shared" si="3"/>
        <v>2031</v>
      </c>
      <c r="P15" s="483">
        <f t="shared" si="3"/>
        <v>2032</v>
      </c>
      <c r="Q15" s="483">
        <f t="shared" si="3"/>
        <v>2033</v>
      </c>
      <c r="R15" s="483">
        <f t="shared" si="3"/>
        <v>2034</v>
      </c>
      <c r="S15" s="483">
        <f t="shared" si="3"/>
        <v>2035</v>
      </c>
      <c r="T15" s="483">
        <f t="shared" si="3"/>
        <v>2036</v>
      </c>
      <c r="U15" s="483">
        <f t="shared" si="3"/>
        <v>2037</v>
      </c>
      <c r="V15" s="483">
        <f t="shared" si="3"/>
        <v>2038</v>
      </c>
      <c r="W15" s="483">
        <f t="shared" si="3"/>
        <v>2039</v>
      </c>
      <c r="X15" s="483">
        <f t="shared" si="3"/>
        <v>2040</v>
      </c>
      <c r="Y15" s="483">
        <f t="shared" si="3"/>
        <v>2041</v>
      </c>
      <c r="Z15" s="483">
        <f t="shared" si="3"/>
        <v>2042</v>
      </c>
      <c r="AA15" s="483">
        <f t="shared" si="3"/>
        <v>2043</v>
      </c>
      <c r="AB15" s="483">
        <f t="shared" si="3"/>
        <v>2044</v>
      </c>
      <c r="AC15" s="483">
        <f t="shared" si="3"/>
        <v>2045</v>
      </c>
      <c r="AD15" s="483">
        <f t="shared" si="3"/>
        <v>2046</v>
      </c>
      <c r="AE15" s="483">
        <f t="shared" si="3"/>
        <v>2047</v>
      </c>
      <c r="AF15" s="483">
        <f t="shared" si="3"/>
        <v>2048</v>
      </c>
      <c r="AG15" s="483">
        <f t="shared" si="3"/>
        <v>2049</v>
      </c>
      <c r="AH15" s="483">
        <f t="shared" si="3"/>
        <v>2050</v>
      </c>
    </row>
    <row r="16" spans="2:34">
      <c r="B16" t="s">
        <v>635</v>
      </c>
      <c r="C16" s="40">
        <v>1126.5819082910111</v>
      </c>
      <c r="D16" s="40">
        <v>1104.2473170563587</v>
      </c>
      <c r="E16" s="40">
        <v>1073.626771585898</v>
      </c>
      <c r="F16" s="40">
        <v>1048.670416111938</v>
      </c>
      <c r="G16" s="40">
        <v>1027.9396624752062</v>
      </c>
      <c r="H16" s="40">
        <v>1010.4450610622114</v>
      </c>
      <c r="I16" s="40">
        <v>995.48371055778421</v>
      </c>
      <c r="J16" s="40">
        <v>909.41119897725616</v>
      </c>
      <c r="K16" s="40">
        <v>834.22568939090968</v>
      </c>
      <c r="L16" s="40">
        <v>767.9844592781235</v>
      </c>
      <c r="M16" s="40">
        <v>709.1810594281643</v>
      </c>
      <c r="N16" s="40">
        <v>656.62935767623594</v>
      </c>
      <c r="O16" s="40">
        <v>615.67044634136141</v>
      </c>
      <c r="P16" s="40">
        <v>577.05565070270984</v>
      </c>
      <c r="Q16" s="40">
        <v>540.58933515645379</v>
      </c>
      <c r="R16" s="40">
        <v>506.09704471920492</v>
      </c>
      <c r="S16" s="40">
        <v>473.42271414942377</v>
      </c>
      <c r="T16" s="40">
        <v>442.42630702842763</v>
      </c>
      <c r="U16" s="40">
        <v>412.98180945663</v>
      </c>
      <c r="V16" s="40">
        <v>384.97551774132972</v>
      </c>
      <c r="W16" s="40">
        <v>358.30457101455903</v>
      </c>
      <c r="X16" s="40">
        <v>333.02413520219</v>
      </c>
      <c r="Y16" s="40">
        <v>309.17548579708028</v>
      </c>
      <c r="Z16" s="40">
        <v>286.91526325743843</v>
      </c>
      <c r="AA16" s="40">
        <v>265.96765468639018</v>
      </c>
      <c r="AB16" s="40">
        <v>246.21988414449302</v>
      </c>
      <c r="AC16" s="40">
        <v>227.57173517137969</v>
      </c>
      <c r="AD16" s="40">
        <v>209.93384976115581</v>
      </c>
      <c r="AE16" s="40">
        <v>193.22629650575738</v>
      </c>
      <c r="AF16" s="40">
        <v>177.37735949152543</v>
      </c>
      <c r="AG16" s="40">
        <v>162.32250923723623</v>
      </c>
      <c r="AH16" s="40">
        <v>148.14007693675876</v>
      </c>
    </row>
    <row r="17" spans="2:34">
      <c r="B17" t="s">
        <v>636</v>
      </c>
      <c r="C17" s="40">
        <v>584.95599084340938</v>
      </c>
      <c r="D17" s="40">
        <v>573.35918385618618</v>
      </c>
      <c r="E17" s="40">
        <v>557.46005447729294</v>
      </c>
      <c r="F17" s="40">
        <v>544.5019468273523</v>
      </c>
      <c r="G17" s="40">
        <v>533.7379016698186</v>
      </c>
      <c r="H17" s="40">
        <v>524.65416632076358</v>
      </c>
      <c r="I17" s="40">
        <v>516.88577278961861</v>
      </c>
      <c r="J17" s="40">
        <v>472.19427639203684</v>
      </c>
      <c r="K17" s="40">
        <v>433.15564641451078</v>
      </c>
      <c r="L17" s="40">
        <v>398.7611615482565</v>
      </c>
      <c r="M17" s="40">
        <v>368.22862701077764</v>
      </c>
      <c r="N17" s="40">
        <v>340.94216648573786</v>
      </c>
      <c r="O17" s="40">
        <v>319.67503944647609</v>
      </c>
      <c r="P17" s="40">
        <v>299.62504940333002</v>
      </c>
      <c r="Q17" s="40">
        <v>280.69061633123556</v>
      </c>
      <c r="R17" s="40">
        <v>262.78115783497174</v>
      </c>
      <c r="S17" s="40">
        <v>245.81564003912388</v>
      </c>
      <c r="T17" s="40">
        <v>229.72135172629896</v>
      </c>
      <c r="U17" s="40">
        <v>214.43286260248092</v>
      </c>
      <c r="V17" s="40">
        <v>199.89113421184425</v>
      </c>
      <c r="W17" s="40">
        <v>186.04275802679027</v>
      </c>
      <c r="X17" s="40">
        <v>172.91637789344477</v>
      </c>
      <c r="Y17" s="40">
        <v>160.53342531771474</v>
      </c>
      <c r="Z17" s="40">
        <v>148.97523284520841</v>
      </c>
      <c r="AA17" s="40">
        <v>138.09858993331798</v>
      </c>
      <c r="AB17" s="40">
        <v>127.84493984425599</v>
      </c>
      <c r="AC17" s="40">
        <v>118.16224710821636</v>
      </c>
      <c r="AD17" s="40">
        <v>109.00411429906164</v>
      </c>
      <c r="AE17" s="40">
        <v>100.32903857029707</v>
      </c>
      <c r="AF17" s="40">
        <v>92.099782812907407</v>
      </c>
      <c r="AG17" s="40">
        <v>84.28284133471881</v>
      </c>
      <c r="AH17" s="40">
        <v>76.918886101778597</v>
      </c>
    </row>
    <row r="18" spans="2:34">
      <c r="B18" t="s">
        <v>637</v>
      </c>
      <c r="C18" s="40">
        <v>635.54538040104273</v>
      </c>
      <c r="D18" s="40">
        <v>622.94563405515839</v>
      </c>
      <c r="E18" s="40">
        <v>605.67148285861322</v>
      </c>
      <c r="F18" s="40">
        <v>591.59270499399975</v>
      </c>
      <c r="G18" s="40">
        <v>579.89774113110298</v>
      </c>
      <c r="H18" s="40">
        <v>570.02840715000514</v>
      </c>
      <c r="I18" s="40">
        <v>561.58817113372299</v>
      </c>
      <c r="J18" s="40">
        <v>513.03157111029213</v>
      </c>
      <c r="K18" s="40">
        <v>470.61672054413384</v>
      </c>
      <c r="L18" s="40">
        <v>433.24765977683728</v>
      </c>
      <c r="M18" s="40">
        <v>400.07454661792866</v>
      </c>
      <c r="N18" s="40">
        <v>370.42824124514254</v>
      </c>
      <c r="O18" s="40">
        <v>347.32184596792388</v>
      </c>
      <c r="P18" s="40">
        <v>325.53785067857632</v>
      </c>
      <c r="Q18" s="40">
        <v>304.96589029548556</v>
      </c>
      <c r="R18" s="40">
        <v>285.50754848694481</v>
      </c>
      <c r="S18" s="40">
        <v>267.07478323614987</v>
      </c>
      <c r="T18" s="40">
        <v>249.58859496186548</v>
      </c>
      <c r="U18" s="40">
        <v>232.97789469030397</v>
      </c>
      <c r="V18" s="40">
        <v>217.17853807821007</v>
      </c>
      <c r="W18" s="40">
        <v>202.13249760980327</v>
      </c>
      <c r="X18" s="40">
        <v>187.87089436832295</v>
      </c>
      <c r="Y18" s="40">
        <v>174.41701334407136</v>
      </c>
      <c r="Z18" s="40">
        <v>161.8592210542682</v>
      </c>
      <c r="AA18" s="40">
        <v>150.04192152211547</v>
      </c>
      <c r="AB18" s="40">
        <v>138.90149378334465</v>
      </c>
      <c r="AC18" s="40">
        <v>128.38140212762897</v>
      </c>
      <c r="AD18" s="40">
        <v>118.43123648941493</v>
      </c>
      <c r="AE18" s="40">
        <v>109.00590468608368</v>
      </c>
      <c r="AF18" s="40">
        <v>100.06494919094156</v>
      </c>
      <c r="AG18" s="40">
        <v>91.571966602345427</v>
      </c>
      <c r="AH18" s="40">
        <v>83.571146364523301</v>
      </c>
    </row>
    <row r="19" spans="2:34">
      <c r="B19" t="s">
        <v>638</v>
      </c>
      <c r="C19" s="40">
        <v>1303.1682659292971</v>
      </c>
      <c r="D19" s="40">
        <v>1277.3328337114528</v>
      </c>
      <c r="E19" s="40">
        <v>1241.9126633280298</v>
      </c>
      <c r="F19" s="40">
        <v>1213.0445177919005</v>
      </c>
      <c r="G19" s="40">
        <v>1189.0643170897886</v>
      </c>
      <c r="H19" s="40">
        <v>1168.8275200857597</v>
      </c>
      <c r="I19" s="40">
        <v>1151.5210490255311</v>
      </c>
      <c r="J19" s="40">
        <v>1051.957080498174</v>
      </c>
      <c r="K19" s="40">
        <v>964.98659976386034</v>
      </c>
      <c r="L19" s="40">
        <v>888.36237178379895</v>
      </c>
      <c r="M19" s="40">
        <v>820.34181859609089</v>
      </c>
      <c r="N19" s="40">
        <v>759.55288745873452</v>
      </c>
      <c r="O19" s="40">
        <v>712.17386151681194</v>
      </c>
      <c r="P19" s="40">
        <v>667.50638026107924</v>
      </c>
      <c r="Q19" s="40">
        <v>625.32414313698632</v>
      </c>
      <c r="R19" s="40">
        <v>585.42535017196701</v>
      </c>
      <c r="S19" s="40">
        <v>547.62947363990509</v>
      </c>
      <c r="T19" s="40">
        <v>511.77452707931002</v>
      </c>
      <c r="U19" s="40">
        <v>477.71474451098629</v>
      </c>
      <c r="V19" s="40">
        <v>445.31859972902163</v>
      </c>
      <c r="W19" s="40">
        <v>414.46710891345964</v>
      </c>
      <c r="X19" s="40">
        <v>385.22408498675918</v>
      </c>
      <c r="Y19" s="40">
        <v>357.63727317903357</v>
      </c>
      <c r="Z19" s="40">
        <v>331.88786659554694</v>
      </c>
      <c r="AA19" s="40">
        <v>307.65681997923014</v>
      </c>
      <c r="AB19" s="40">
        <v>284.81368029834124</v>
      </c>
      <c r="AC19" s="40">
        <v>263.24252263884364</v>
      </c>
      <c r="AD19" s="40">
        <v>242.83998255228312</v>
      </c>
      <c r="AE19" s="40">
        <v>223.51359976242668</v>
      </c>
      <c r="AF19" s="40">
        <v>205.18041722713238</v>
      </c>
      <c r="AG19" s="40">
        <v>187.76579077580874</v>
      </c>
      <c r="AH19" s="40">
        <v>171.36032964452752</v>
      </c>
    </row>
    <row r="20" spans="2:34">
      <c r="B20" t="s">
        <v>639</v>
      </c>
      <c r="C20" s="40">
        <v>1019.4512923512447</v>
      </c>
      <c r="D20" s="40">
        <v>999.24057555317086</v>
      </c>
      <c r="E20" s="40">
        <v>971.53184490284877</v>
      </c>
      <c r="F20" s="40">
        <v>948.94867660139801</v>
      </c>
      <c r="G20" s="40">
        <v>930.18928287170434</v>
      </c>
      <c r="H20" s="40">
        <v>914.35830432643149</v>
      </c>
      <c r="I20" s="40">
        <v>900.81968099615256</v>
      </c>
      <c r="J20" s="40">
        <v>822.93210573782449</v>
      </c>
      <c r="K20" s="40">
        <v>754.89624935685345</v>
      </c>
      <c r="L20" s="40">
        <v>694.95412961532804</v>
      </c>
      <c r="M20" s="40">
        <v>641.74255082952448</v>
      </c>
      <c r="N20" s="40">
        <v>594.18817429286389</v>
      </c>
      <c r="O20" s="40">
        <v>557.12418916551519</v>
      </c>
      <c r="P20" s="40">
        <v>522.18140957000435</v>
      </c>
      <c r="Q20" s="40">
        <v>489.18280357666572</v>
      </c>
      <c r="R20" s="40">
        <v>457.97050573695583</v>
      </c>
      <c r="S20" s="40">
        <v>428.40329159927728</v>
      </c>
      <c r="T20" s="40">
        <v>400.35444129803255</v>
      </c>
      <c r="U20" s="40">
        <v>373.70992403631175</v>
      </c>
      <c r="V20" s="40">
        <v>348.36684860343911</v>
      </c>
      <c r="W20" s="40">
        <v>324.2321355313257</v>
      </c>
      <c r="X20" s="40">
        <v>301.35570482490868</v>
      </c>
      <c r="Y20" s="40">
        <v>279.77490694599356</v>
      </c>
      <c r="Z20" s="40">
        <v>259.6314868634812</v>
      </c>
      <c r="AA20" s="40">
        <v>240.67585969402114</v>
      </c>
      <c r="AB20" s="40">
        <v>222.8059737568926</v>
      </c>
      <c r="AC20" s="40">
        <v>205.93114252563521</v>
      </c>
      <c r="AD20" s="40">
        <v>189.97050535982754</v>
      </c>
      <c r="AE20" s="40">
        <v>174.85173180870513</v>
      </c>
      <c r="AF20" s="40">
        <v>160.50992567579621</v>
      </c>
      <c r="AG20" s="40">
        <v>146.88669381405651</v>
      </c>
      <c r="AH20" s="40">
        <v>134.0529186300235</v>
      </c>
    </row>
    <row r="21" spans="2:34">
      <c r="B21" t="s">
        <v>640</v>
      </c>
      <c r="C21">
        <v>990.42964757307641</v>
      </c>
      <c r="D21">
        <v>970.79428758510869</v>
      </c>
      <c r="E21">
        <v>943.87436650736845</v>
      </c>
      <c r="F21">
        <v>921.9340937452414</v>
      </c>
      <c r="G21">
        <v>903.70874069523643</v>
      </c>
      <c r="H21">
        <v>888.32843697796045</v>
      </c>
      <c r="I21">
        <v>875.17522992016552</v>
      </c>
      <c r="J21">
        <v>799.50495092575852</v>
      </c>
      <c r="K21">
        <v>733.40593299001921</v>
      </c>
      <c r="L21">
        <v>675.17023995023123</v>
      </c>
      <c r="M21">
        <v>623.47348345088096</v>
      </c>
      <c r="N21">
        <v>577.27288049207436</v>
      </c>
      <c r="O21">
        <v>541.26402945352402</v>
      </c>
      <c r="P21">
        <v>507.31599766459436</v>
      </c>
      <c r="Q21">
        <v>475.25679292416362</v>
      </c>
      <c r="R21">
        <v>444.93304388262652</v>
      </c>
      <c r="S21">
        <v>416.20754645296711</v>
      </c>
      <c r="T21">
        <v>388.95718821896116</v>
      </c>
      <c r="U21">
        <v>363.07118460184222</v>
      </c>
      <c r="V21">
        <v>338.44957348837102</v>
      </c>
      <c r="W21">
        <v>315.00192518811781</v>
      </c>
      <c r="X21">
        <v>292.7767385879522</v>
      </c>
      <c r="Y21">
        <v>271.81030086019916</v>
      </c>
      <c r="Z21">
        <v>252.24032179114002</v>
      </c>
      <c r="AA21">
        <v>233.82432165672023</v>
      </c>
      <c r="AB21">
        <v>216.46315397399457</v>
      </c>
      <c r="AC21">
        <v>200.06871387212163</v>
      </c>
      <c r="AD21">
        <v>184.5624426438871</v>
      </c>
      <c r="AE21">
        <v>169.874068935086</v>
      </c>
      <c r="AF21">
        <v>155.94054400814494</v>
      </c>
      <c r="AG21">
        <v>142.70513704671041</v>
      </c>
      <c r="AH21">
        <v>130.23671258354884</v>
      </c>
    </row>
    <row r="23" spans="2:34">
      <c r="B23" s="64" t="s">
        <v>590</v>
      </c>
      <c r="C23" s="483">
        <f>+C15</f>
        <v>2019</v>
      </c>
      <c r="D23" s="483">
        <f>+C23+1</f>
        <v>2020</v>
      </c>
      <c r="E23" s="483">
        <f t="shared" ref="E23:AH23" si="4">+D23+1</f>
        <v>2021</v>
      </c>
      <c r="F23" s="483">
        <f t="shared" si="4"/>
        <v>2022</v>
      </c>
      <c r="G23" s="483">
        <f t="shared" si="4"/>
        <v>2023</v>
      </c>
      <c r="H23" s="483">
        <f t="shared" si="4"/>
        <v>2024</v>
      </c>
      <c r="I23" s="483">
        <f t="shared" si="4"/>
        <v>2025</v>
      </c>
      <c r="J23" s="483">
        <f t="shared" si="4"/>
        <v>2026</v>
      </c>
      <c r="K23" s="483">
        <f t="shared" si="4"/>
        <v>2027</v>
      </c>
      <c r="L23" s="483">
        <f t="shared" si="4"/>
        <v>2028</v>
      </c>
      <c r="M23" s="483">
        <f t="shared" si="4"/>
        <v>2029</v>
      </c>
      <c r="N23" s="483">
        <f t="shared" si="4"/>
        <v>2030</v>
      </c>
      <c r="O23" s="483">
        <f t="shared" si="4"/>
        <v>2031</v>
      </c>
      <c r="P23" s="483">
        <f t="shared" si="4"/>
        <v>2032</v>
      </c>
      <c r="Q23" s="483">
        <f t="shared" si="4"/>
        <v>2033</v>
      </c>
      <c r="R23" s="483">
        <f t="shared" si="4"/>
        <v>2034</v>
      </c>
      <c r="S23" s="483">
        <f t="shared" si="4"/>
        <v>2035</v>
      </c>
      <c r="T23" s="483">
        <f t="shared" si="4"/>
        <v>2036</v>
      </c>
      <c r="U23" s="483">
        <f t="shared" si="4"/>
        <v>2037</v>
      </c>
      <c r="V23" s="483">
        <f t="shared" si="4"/>
        <v>2038</v>
      </c>
      <c r="W23" s="483">
        <f t="shared" si="4"/>
        <v>2039</v>
      </c>
      <c r="X23" s="483">
        <f t="shared" si="4"/>
        <v>2040</v>
      </c>
      <c r="Y23" s="483">
        <f t="shared" si="4"/>
        <v>2041</v>
      </c>
      <c r="Z23" s="483">
        <f t="shared" si="4"/>
        <v>2042</v>
      </c>
      <c r="AA23" s="483">
        <f t="shared" si="4"/>
        <v>2043</v>
      </c>
      <c r="AB23" s="483">
        <f t="shared" si="4"/>
        <v>2044</v>
      </c>
      <c r="AC23" s="483">
        <f t="shared" si="4"/>
        <v>2045</v>
      </c>
      <c r="AD23" s="483">
        <f t="shared" si="4"/>
        <v>2046</v>
      </c>
      <c r="AE23" s="483">
        <f t="shared" si="4"/>
        <v>2047</v>
      </c>
      <c r="AF23" s="483">
        <f t="shared" si="4"/>
        <v>2048</v>
      </c>
      <c r="AG23" s="483">
        <f t="shared" si="4"/>
        <v>2049</v>
      </c>
      <c r="AH23" s="483">
        <f t="shared" si="4"/>
        <v>2050</v>
      </c>
    </row>
    <row r="24" spans="2:34">
      <c r="B24" t="s">
        <v>635</v>
      </c>
      <c r="C24" s="40">
        <f>+C16*C9/1000</f>
        <v>12.787643404624003</v>
      </c>
      <c r="D24" s="40">
        <f t="shared" ref="D24:AH28" si="5">+D16*D9/1000</f>
        <v>12.941472683076251</v>
      </c>
      <c r="E24" s="40">
        <f t="shared" si="5"/>
        <v>12.978658266743517</v>
      </c>
      <c r="F24" s="40">
        <f t="shared" si="5"/>
        <v>13.063814301515029</v>
      </c>
      <c r="G24" s="40">
        <f t="shared" si="5"/>
        <v>13.184757276068595</v>
      </c>
      <c r="H24" s="40">
        <f t="shared" si="5"/>
        <v>13.333107467207521</v>
      </c>
      <c r="I24" s="40">
        <f t="shared" si="5"/>
        <v>13.502911950825927</v>
      </c>
      <c r="J24" s="40">
        <f t="shared" si="5"/>
        <v>12.670882082950479</v>
      </c>
      <c r="K24" s="40">
        <f t="shared" si="5"/>
        <v>11.931055053813949</v>
      </c>
      <c r="L24" s="40">
        <f t="shared" si="5"/>
        <v>11.266977800270096</v>
      </c>
      <c r="M24" s="40">
        <f t="shared" si="5"/>
        <v>10.665892090647819</v>
      </c>
      <c r="N24" s="40">
        <f t="shared" si="5"/>
        <v>10.117752482430236</v>
      </c>
      <c r="O24" s="40">
        <f t="shared" si="5"/>
        <v>9.7746293633201002</v>
      </c>
      <c r="P24" s="40">
        <f t="shared" si="5"/>
        <v>9.4314995160437505</v>
      </c>
      <c r="Q24" s="40">
        <f t="shared" si="5"/>
        <v>9.0883635021215916</v>
      </c>
      <c r="R24" s="40">
        <f t="shared" si="5"/>
        <v>8.7452218222806941</v>
      </c>
      <c r="S24" s="40">
        <f t="shared" si="5"/>
        <v>8.402074924465186</v>
      </c>
      <c r="T24" s="40">
        <f t="shared" si="5"/>
        <v>8.0589232106127024</v>
      </c>
      <c r="U24" s="40">
        <f t="shared" si="5"/>
        <v>7.715767042412935</v>
      </c>
      <c r="V24" s="40">
        <f t="shared" si="5"/>
        <v>7.3726067462223339</v>
      </c>
      <c r="W24" s="40">
        <f t="shared" si="5"/>
        <v>7.029442617275933</v>
      </c>
      <c r="X24" s="40">
        <f t="shared" si="5"/>
        <v>6.6892566762516088</v>
      </c>
      <c r="Y24" s="40">
        <f t="shared" si="5"/>
        <v>6.4110706363848315</v>
      </c>
      <c r="Z24" s="40">
        <f t="shared" si="5"/>
        <v>6.1358688700571014</v>
      </c>
      <c r="AA24" s="40">
        <f t="shared" si="5"/>
        <v>5.8606694013800134</v>
      </c>
      <c r="AB24" s="40">
        <f t="shared" si="5"/>
        <v>5.5854720329461696</v>
      </c>
      <c r="AC24" s="40">
        <f t="shared" si="5"/>
        <v>5.3102765893327657</v>
      </c>
      <c r="AD24" s="40">
        <f t="shared" si="5"/>
        <v>5.0350829141240823</v>
      </c>
      <c r="AE24" s="40">
        <f t="shared" si="5"/>
        <v>4.7598908674050548</v>
      </c>
      <c r="AF24" s="40">
        <f t="shared" si="5"/>
        <v>4.4847003236413512</v>
      </c>
      <c r="AG24" s="40">
        <f t="shared" si="5"/>
        <v>4.2095111698780547</v>
      </c>
      <c r="AH24" s="40">
        <f t="shared" si="5"/>
        <v>3.9379532266352211</v>
      </c>
    </row>
    <row r="25" spans="2:34">
      <c r="B25" t="s">
        <v>636</v>
      </c>
      <c r="C25" s="40">
        <f t="shared" ref="C25:R28" si="6">+C17*C10/1000</f>
        <v>67.135127874275994</v>
      </c>
      <c r="D25" s="40">
        <f t="shared" si="6"/>
        <v>67.942731586150316</v>
      </c>
      <c r="E25" s="40">
        <f t="shared" si="6"/>
        <v>68.137955900403441</v>
      </c>
      <c r="F25" s="40">
        <f t="shared" si="6"/>
        <v>68.585025082953891</v>
      </c>
      <c r="G25" s="40">
        <f t="shared" si="6"/>
        <v>69.219975699360134</v>
      </c>
      <c r="H25" s="40">
        <f t="shared" si="6"/>
        <v>69.998814202839498</v>
      </c>
      <c r="I25" s="40">
        <f t="shared" si="6"/>
        <v>70.890287741836104</v>
      </c>
      <c r="J25" s="40">
        <f t="shared" si="6"/>
        <v>66.522130935490011</v>
      </c>
      <c r="K25" s="40">
        <f t="shared" si="6"/>
        <v>62.638039032523238</v>
      </c>
      <c r="L25" s="40">
        <f t="shared" si="6"/>
        <v>59.151633451418029</v>
      </c>
      <c r="M25" s="40">
        <f t="shared" si="6"/>
        <v>55.995933475901062</v>
      </c>
      <c r="N25" s="40">
        <f t="shared" si="6"/>
        <v>53.118200532758735</v>
      </c>
      <c r="O25" s="40">
        <f t="shared" si="6"/>
        <v>51.316804157430525</v>
      </c>
      <c r="P25" s="40">
        <f t="shared" si="6"/>
        <v>49.515372459229688</v>
      </c>
      <c r="Q25" s="40">
        <f t="shared" si="6"/>
        <v>47.713908386138364</v>
      </c>
      <c r="R25" s="40">
        <f t="shared" si="6"/>
        <v>45.912414566973638</v>
      </c>
      <c r="S25" s="40">
        <f t="shared" si="5"/>
        <v>44.110893353442222</v>
      </c>
      <c r="T25" s="40">
        <f t="shared" si="5"/>
        <v>42.30934685571669</v>
      </c>
      <c r="U25" s="40">
        <f t="shared" si="5"/>
        <v>40.507776972667905</v>
      </c>
      <c r="V25" s="40">
        <f t="shared" si="5"/>
        <v>38.70618541766725</v>
      </c>
      <c r="W25" s="40">
        <f t="shared" si="5"/>
        <v>36.904573740698652</v>
      </c>
      <c r="X25" s="40">
        <f t="shared" si="5"/>
        <v>35.118597550320949</v>
      </c>
      <c r="Y25" s="40">
        <f t="shared" si="5"/>
        <v>33.658120841020363</v>
      </c>
      <c r="Z25" s="40">
        <f t="shared" si="5"/>
        <v>32.213311567799785</v>
      </c>
      <c r="AA25" s="40">
        <f t="shared" si="5"/>
        <v>30.768514357245074</v>
      </c>
      <c r="AB25" s="40">
        <f t="shared" si="5"/>
        <v>29.323728172967392</v>
      </c>
      <c r="AC25" s="40">
        <f t="shared" si="5"/>
        <v>27.878952093997022</v>
      </c>
      <c r="AD25" s="40">
        <f t="shared" si="5"/>
        <v>26.434185299151427</v>
      </c>
      <c r="AE25" s="40">
        <f t="shared" si="5"/>
        <v>24.989427053876533</v>
      </c>
      <c r="AF25" s="40">
        <f t="shared" si="5"/>
        <v>23.544676699117087</v>
      </c>
      <c r="AG25" s="40">
        <f t="shared" si="5"/>
        <v>22.099933641859788</v>
      </c>
      <c r="AH25" s="40">
        <f t="shared" si="5"/>
        <v>20.674254439834911</v>
      </c>
    </row>
    <row r="26" spans="2:34">
      <c r="B26" t="s">
        <v>637</v>
      </c>
      <c r="C26" s="40">
        <f t="shared" si="6"/>
        <v>83.929209607292663</v>
      </c>
      <c r="D26" s="40">
        <f t="shared" si="5"/>
        <v>84.938838148411364</v>
      </c>
      <c r="E26" s="40">
        <f t="shared" si="5"/>
        <v>85.182898492231331</v>
      </c>
      <c r="F26" s="40">
        <f t="shared" si="5"/>
        <v>85.741803559061736</v>
      </c>
      <c r="G26" s="40">
        <f t="shared" si="5"/>
        <v>86.535589242682349</v>
      </c>
      <c r="H26" s="40">
        <f t="shared" si="5"/>
        <v>87.509256860194881</v>
      </c>
      <c r="I26" s="40">
        <f t="shared" si="5"/>
        <v>88.623735552391878</v>
      </c>
      <c r="J26" s="40">
        <f t="shared" si="5"/>
        <v>83.162869388795656</v>
      </c>
      <c r="K26" s="40">
        <f t="shared" si="5"/>
        <v>78.307158618890384</v>
      </c>
      <c r="L26" s="40">
        <f t="shared" si="5"/>
        <v>73.948616763714512</v>
      </c>
      <c r="M26" s="40">
        <f t="shared" si="5"/>
        <v>70.00350765185155</v>
      </c>
      <c r="N26" s="40">
        <f t="shared" si="5"/>
        <v>66.405899975716551</v>
      </c>
      <c r="O26" s="40">
        <f t="shared" si="5"/>
        <v>64.153878139191988</v>
      </c>
      <c r="P26" s="40">
        <f t="shared" si="5"/>
        <v>61.901812143657395</v>
      </c>
      <c r="Q26" s="40">
        <f t="shared" si="5"/>
        <v>59.649705674542901</v>
      </c>
      <c r="R26" s="40">
        <f t="shared" si="5"/>
        <v>57.397562018273028</v>
      </c>
      <c r="S26" s="40">
        <f t="shared" si="5"/>
        <v>55.145384114842017</v>
      </c>
      <c r="T26" s="40">
        <f t="shared" si="5"/>
        <v>52.89317460228925</v>
      </c>
      <c r="U26" s="40">
        <f t="shared" si="5"/>
        <v>50.640935854494643</v>
      </c>
      <c r="V26" s="40">
        <f t="shared" si="5"/>
        <v>48.388670013435402</v>
      </c>
      <c r="W26" s="40">
        <f t="shared" si="5"/>
        <v>46.136379016829103</v>
      </c>
      <c r="X26" s="40">
        <f t="shared" si="5"/>
        <v>43.903634777232909</v>
      </c>
      <c r="Y26" s="40">
        <f t="shared" si="5"/>
        <v>42.077814826595301</v>
      </c>
      <c r="Z26" s="40">
        <f t="shared" si="5"/>
        <v>40.271581574730838</v>
      </c>
      <c r="AA26" s="40">
        <f t="shared" si="5"/>
        <v>38.465363403049352</v>
      </c>
      <c r="AB26" s="40">
        <f t="shared" si="5"/>
        <v>36.659159015905772</v>
      </c>
      <c r="AC26" s="40">
        <f t="shared" si="5"/>
        <v>34.852967261946731</v>
      </c>
      <c r="AD26" s="40">
        <f t="shared" si="5"/>
        <v>33.046787114567927</v>
      </c>
      <c r="AE26" s="40">
        <f t="shared" si="5"/>
        <v>31.24061765546417</v>
      </c>
      <c r="AF26" s="40">
        <f t="shared" si="5"/>
        <v>29.434458060715318</v>
      </c>
      <c r="AG26" s="40">
        <f t="shared" si="5"/>
        <v>27.628307588963711</v>
      </c>
      <c r="AH26" s="40">
        <f t="shared" si="5"/>
        <v>25.845989860998948</v>
      </c>
    </row>
    <row r="27" spans="2:34">
      <c r="B27" t="s">
        <v>638</v>
      </c>
      <c r="C27" s="40">
        <f t="shared" si="6"/>
        <v>306.49737759014192</v>
      </c>
      <c r="D27" s="40">
        <f t="shared" si="5"/>
        <v>310.18439551442549</v>
      </c>
      <c r="E27" s="40">
        <f t="shared" si="5"/>
        <v>311.07566871602683</v>
      </c>
      <c r="F27" s="40">
        <f t="shared" si="5"/>
        <v>313.11670947057354</v>
      </c>
      <c r="G27" s="40">
        <f t="shared" si="5"/>
        <v>316.01550038659292</v>
      </c>
      <c r="H27" s="40">
        <f t="shared" si="5"/>
        <v>319.57119420056296</v>
      </c>
      <c r="I27" s="40">
        <f t="shared" si="5"/>
        <v>323.64110976555804</v>
      </c>
      <c r="J27" s="40">
        <f t="shared" si="5"/>
        <v>303.69881355730746</v>
      </c>
      <c r="K27" s="40">
        <f t="shared" si="5"/>
        <v>285.96645763169113</v>
      </c>
      <c r="L27" s="40">
        <f t="shared" si="5"/>
        <v>270.04969093057588</v>
      </c>
      <c r="M27" s="40">
        <f t="shared" si="5"/>
        <v>255.64272102402376</v>
      </c>
      <c r="N27" s="40">
        <f t="shared" si="5"/>
        <v>242.50477627876873</v>
      </c>
      <c r="O27" s="40">
        <f t="shared" si="5"/>
        <v>234.28071709365116</v>
      </c>
      <c r="P27" s="40">
        <f t="shared" si="5"/>
        <v>226.0564966461931</v>
      </c>
      <c r="Q27" s="40">
        <f t="shared" si="5"/>
        <v>217.8321283950543</v>
      </c>
      <c r="R27" s="40">
        <f t="shared" si="5"/>
        <v>209.60762434178355</v>
      </c>
      <c r="S27" s="40">
        <f t="shared" si="5"/>
        <v>201.38299522281605</v>
      </c>
      <c r="T27" s="40">
        <f t="shared" si="5"/>
        <v>193.15825067189132</v>
      </c>
      <c r="U27" s="40">
        <f t="shared" si="5"/>
        <v>184.93339935807688</v>
      </c>
      <c r="V27" s="40">
        <f t="shared" si="5"/>
        <v>176.70844910356465</v>
      </c>
      <c r="W27" s="40">
        <f t="shared" si="5"/>
        <v>168.48340698462002</v>
      </c>
      <c r="X27" s="40">
        <f t="shared" si="5"/>
        <v>160.32974680519337</v>
      </c>
      <c r="Y27" s="40">
        <f t="shared" si="5"/>
        <v>153.6621154830278</v>
      </c>
      <c r="Z27" s="40">
        <f t="shared" si="5"/>
        <v>147.06601196194242</v>
      </c>
      <c r="AA27" s="40">
        <f t="shared" si="5"/>
        <v>140.46996351151202</v>
      </c>
      <c r="AB27" s="40">
        <f t="shared" si="5"/>
        <v>133.87396540022735</v>
      </c>
      <c r="AC27" s="40">
        <f t="shared" si="5"/>
        <v>127.27801342351191</v>
      </c>
      <c r="AD27" s="40">
        <f t="shared" si="5"/>
        <v>120.68210383235478</v>
      </c>
      <c r="AE27" s="40">
        <f t="shared" si="5"/>
        <v>114.0862332732377</v>
      </c>
      <c r="AF27" s="40">
        <f t="shared" si="5"/>
        <v>107.4903987373231</v>
      </c>
      <c r="AG27" s="40">
        <f t="shared" si="5"/>
        <v>100.89459751727964</v>
      </c>
      <c r="AH27" s="40">
        <f t="shared" si="5"/>
        <v>94.385830042765591</v>
      </c>
    </row>
    <row r="28" spans="2:34">
      <c r="B28" t="s">
        <v>639</v>
      </c>
      <c r="C28" s="40">
        <f t="shared" si="6"/>
        <v>642.89365131656552</v>
      </c>
      <c r="D28" s="40">
        <f t="shared" si="5"/>
        <v>650.62735668934727</v>
      </c>
      <c r="E28" s="40">
        <f t="shared" si="5"/>
        <v>652.49684701713829</v>
      </c>
      <c r="F28" s="40">
        <f t="shared" si="5"/>
        <v>656.77803256428206</v>
      </c>
      <c r="G28" s="40">
        <f t="shared" si="5"/>
        <v>662.85839217797877</v>
      </c>
      <c r="H28" s="40">
        <f t="shared" si="5"/>
        <v>670.31663863020037</v>
      </c>
      <c r="I28" s="40">
        <f t="shared" si="5"/>
        <v>678.85349104539046</v>
      </c>
      <c r="J28" s="40">
        <f t="shared" si="5"/>
        <v>637.0235226268577</v>
      </c>
      <c r="K28" s="40">
        <f t="shared" si="5"/>
        <v>599.82901500301477</v>
      </c>
      <c r="L28" s="40">
        <f t="shared" si="5"/>
        <v>566.4427970128645</v>
      </c>
      <c r="M28" s="40">
        <f t="shared" si="5"/>
        <v>536.22345366821492</v>
      </c>
      <c r="N28" s="40">
        <f t="shared" si="5"/>
        <v>508.66595436925849</v>
      </c>
      <c r="O28" s="40">
        <f t="shared" si="5"/>
        <v>491.41557696069856</v>
      </c>
      <c r="P28" s="40">
        <f t="shared" si="5"/>
        <v>474.16486129627634</v>
      </c>
      <c r="Q28" s="40">
        <f t="shared" si="5"/>
        <v>456.91383560620625</v>
      </c>
      <c r="R28" s="40">
        <f t="shared" si="5"/>
        <v>439.66252506434023</v>
      </c>
      <c r="S28" s="40">
        <f t="shared" si="5"/>
        <v>422.4109521908905</v>
      </c>
      <c r="T28" s="40">
        <f t="shared" si="5"/>
        <v>405.15913719310976</v>
      </c>
      <c r="U28" s="40">
        <f t="shared" si="5"/>
        <v>387.9070982548032</v>
      </c>
      <c r="V28" s="40">
        <f t="shared" si="5"/>
        <v>370.65485178341095</v>
      </c>
      <c r="W28" s="40">
        <f t="shared" si="5"/>
        <v>353.40241262175556</v>
      </c>
      <c r="X28" s="40">
        <f t="shared" si="5"/>
        <v>336.29970066525794</v>
      </c>
      <c r="Y28" s="40">
        <f t="shared" si="5"/>
        <v>322.31400891140578</v>
      </c>
      <c r="Z28" s="40">
        <f t="shared" si="5"/>
        <v>308.47835031466815</v>
      </c>
      <c r="AA28" s="40">
        <f t="shared" si="5"/>
        <v>294.64280723139643</v>
      </c>
      <c r="AB28" s="40">
        <f t="shared" si="5"/>
        <v>280.80736973701266</v>
      </c>
      <c r="AC28" s="40">
        <f t="shared" si="5"/>
        <v>266.97202901220606</v>
      </c>
      <c r="AD28" s="40">
        <f t="shared" si="5"/>
        <v>253.13677719323792</v>
      </c>
      <c r="AE28" s="40">
        <f t="shared" si="5"/>
        <v>239.30160724593534</v>
      </c>
      <c r="AF28" s="40">
        <f t="shared" si="5"/>
        <v>225.46651285911003</v>
      </c>
      <c r="AG28" s="40">
        <f t="shared" si="5"/>
        <v>211.63148835399855</v>
      </c>
      <c r="AH28" s="40">
        <f t="shared" si="5"/>
        <v>197.97902150367395</v>
      </c>
    </row>
    <row r="29" spans="2:34">
      <c r="B29" t="s">
        <v>641</v>
      </c>
      <c r="C29" s="40">
        <f>SUM(C24:C28)</f>
        <v>1113.2430097929</v>
      </c>
      <c r="D29" s="40">
        <f t="shared" ref="D29:AH29" si="7">SUM(D24:D28)</f>
        <v>1126.6347946214107</v>
      </c>
      <c r="E29" s="40">
        <f t="shared" si="7"/>
        <v>1129.8720283925434</v>
      </c>
      <c r="F29" s="40">
        <f t="shared" si="7"/>
        <v>1137.2853849783862</v>
      </c>
      <c r="G29" s="40">
        <f t="shared" si="7"/>
        <v>1147.8142147826827</v>
      </c>
      <c r="H29" s="40">
        <f t="shared" si="7"/>
        <v>1160.7290113610052</v>
      </c>
      <c r="I29" s="40">
        <f t="shared" si="7"/>
        <v>1175.5115360560023</v>
      </c>
      <c r="J29" s="40">
        <f t="shared" si="7"/>
        <v>1103.0782185914013</v>
      </c>
      <c r="K29" s="40">
        <f t="shared" si="7"/>
        <v>1038.6717253399333</v>
      </c>
      <c r="L29" s="40">
        <f t="shared" si="7"/>
        <v>980.85971595884303</v>
      </c>
      <c r="M29" s="40">
        <f t="shared" si="7"/>
        <v>928.53150791063911</v>
      </c>
      <c r="N29" s="40">
        <f t="shared" si="7"/>
        <v>880.81258363893267</v>
      </c>
      <c r="O29" s="40">
        <f t="shared" si="7"/>
        <v>850.94160571429234</v>
      </c>
      <c r="P29" s="40">
        <f t="shared" si="7"/>
        <v>821.07004206140027</v>
      </c>
      <c r="Q29" s="40">
        <f t="shared" si="7"/>
        <v>791.1979415640634</v>
      </c>
      <c r="R29" s="40">
        <f t="shared" si="7"/>
        <v>761.32534781365121</v>
      </c>
      <c r="S29" s="40">
        <f t="shared" si="7"/>
        <v>731.45229980645604</v>
      </c>
      <c r="T29" s="40">
        <f t="shared" si="7"/>
        <v>701.57883253361979</v>
      </c>
      <c r="U29" s="40">
        <f t="shared" si="7"/>
        <v>671.70497748245566</v>
      </c>
      <c r="V29" s="40">
        <f t="shared" si="7"/>
        <v>641.83076306430053</v>
      </c>
      <c r="W29" s="40">
        <f t="shared" si="7"/>
        <v>611.9562149811793</v>
      </c>
      <c r="X29" s="40">
        <f t="shared" si="7"/>
        <v>582.34093647425675</v>
      </c>
      <c r="Y29" s="40">
        <f t="shared" si="7"/>
        <v>558.12313069843412</v>
      </c>
      <c r="Z29" s="40">
        <f t="shared" si="7"/>
        <v>534.16512428919827</v>
      </c>
      <c r="AA29" s="40">
        <f t="shared" si="7"/>
        <v>510.20731790458291</v>
      </c>
      <c r="AB29" s="40">
        <f t="shared" si="7"/>
        <v>486.24969435905933</v>
      </c>
      <c r="AC29" s="40">
        <f t="shared" si="7"/>
        <v>462.29223838099449</v>
      </c>
      <c r="AD29" s="40">
        <f t="shared" si="7"/>
        <v>438.33493635343609</v>
      </c>
      <c r="AE29" s="40">
        <f t="shared" si="7"/>
        <v>414.37777609591876</v>
      </c>
      <c r="AF29" s="40">
        <f t="shared" si="7"/>
        <v>390.42074667990687</v>
      </c>
      <c r="AG29" s="40">
        <f t="shared" si="7"/>
        <v>366.46383827197974</v>
      </c>
      <c r="AH29" s="40">
        <f t="shared" si="7"/>
        <v>342.82304907390863</v>
      </c>
    </row>
    <row r="30" spans="2:3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row>
    <row r="31" spans="2:3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row>
    <row r="32" spans="2:3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3:3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theme="0" tint="-0.499984740745262"/>
  </sheetPr>
  <dimension ref="B3:J12"/>
  <sheetViews>
    <sheetView showGridLines="0" workbookViewId="0">
      <selection activeCell="D14" sqref="D14"/>
    </sheetView>
  </sheetViews>
  <sheetFormatPr defaultColWidth="8.85546875" defaultRowHeight="15"/>
  <cols>
    <col min="2" max="2" width="19.28515625" customWidth="1"/>
    <col min="3" max="3" width="9.7109375" bestFit="1" customWidth="1"/>
  </cols>
  <sheetData>
    <row r="3" spans="2:10">
      <c r="B3" s="254"/>
      <c r="D3" s="255">
        <v>2013</v>
      </c>
      <c r="E3" s="255">
        <v>2014</v>
      </c>
      <c r="F3" s="255">
        <f>E3+1</f>
        <v>2015</v>
      </c>
      <c r="G3" s="255">
        <f t="shared" ref="G3:H3" si="0">F3+1</f>
        <v>2016</v>
      </c>
      <c r="H3" s="255">
        <f t="shared" si="0"/>
        <v>2017</v>
      </c>
      <c r="I3" s="255">
        <v>2018</v>
      </c>
      <c r="J3" s="255">
        <v>2019</v>
      </c>
    </row>
    <row r="4" spans="2:10">
      <c r="B4" s="251" t="s">
        <v>141</v>
      </c>
      <c r="C4" s="256" t="s">
        <v>585</v>
      </c>
      <c r="D4" s="252">
        <v>780.71355318200006</v>
      </c>
      <c r="E4" s="252">
        <f t="shared" ref="E4:H5" si="1">D4+($I4-$D4)/5</f>
        <v>826.33519733460002</v>
      </c>
      <c r="F4" s="252">
        <f t="shared" si="1"/>
        <v>871.95684148719999</v>
      </c>
      <c r="G4" s="252">
        <f t="shared" si="1"/>
        <v>917.57848563979996</v>
      </c>
      <c r="H4" s="252">
        <f t="shared" si="1"/>
        <v>963.20012979239993</v>
      </c>
      <c r="I4" s="252">
        <v>1008.821773945</v>
      </c>
      <c r="J4" s="252">
        <v>1033.320238514</v>
      </c>
    </row>
    <row r="5" spans="2:10">
      <c r="B5" s="251" t="s">
        <v>142</v>
      </c>
      <c r="C5" s="256" t="s">
        <v>585</v>
      </c>
      <c r="D5" s="252">
        <v>73.909921562999997</v>
      </c>
      <c r="E5" s="252">
        <f t="shared" si="1"/>
        <v>75.973279447199999</v>
      </c>
      <c r="F5" s="252">
        <f t="shared" si="1"/>
        <v>78.036637331400001</v>
      </c>
      <c r="G5" s="252">
        <f t="shared" si="1"/>
        <v>80.099995215600003</v>
      </c>
      <c r="H5" s="252">
        <f t="shared" si="1"/>
        <v>82.163353099800005</v>
      </c>
      <c r="I5" s="252">
        <v>84.226710983999993</v>
      </c>
      <c r="J5" s="252">
        <v>79.922771278900001</v>
      </c>
    </row>
    <row r="6" spans="2:10">
      <c r="B6" s="251"/>
      <c r="C6" s="256"/>
      <c r="D6" s="252"/>
      <c r="E6" s="252"/>
      <c r="F6" s="252"/>
      <c r="G6" s="252"/>
      <c r="H6" s="252"/>
      <c r="I6" s="252"/>
      <c r="J6" s="252"/>
    </row>
    <row r="7" spans="2:10">
      <c r="B7" s="251" t="s">
        <v>436</v>
      </c>
      <c r="C7" s="256" t="s">
        <v>587</v>
      </c>
      <c r="D7" s="252">
        <v>6694.2207498999996</v>
      </c>
      <c r="E7" s="252">
        <f t="shared" ref="E7:H8" si="2">D7+($I7-$D7)/5</f>
        <v>7263.1624415819997</v>
      </c>
      <c r="F7" s="252">
        <f t="shared" si="2"/>
        <v>7832.1041332639998</v>
      </c>
      <c r="G7" s="252">
        <f t="shared" si="2"/>
        <v>8401.0458249460007</v>
      </c>
      <c r="H7" s="252">
        <f t="shared" si="2"/>
        <v>8969.9875166280017</v>
      </c>
      <c r="I7" s="252">
        <v>9538.9292083100008</v>
      </c>
      <c r="J7" s="252">
        <v>9978.7971709800004</v>
      </c>
    </row>
    <row r="8" spans="2:10">
      <c r="B8" s="251" t="s">
        <v>437</v>
      </c>
      <c r="C8" s="256" t="s">
        <v>588</v>
      </c>
      <c r="D8" s="252">
        <v>101.68847211000001</v>
      </c>
      <c r="E8" s="252">
        <f t="shared" si="2"/>
        <v>109.1484482572</v>
      </c>
      <c r="F8" s="252">
        <f t="shared" si="2"/>
        <v>116.6084244044</v>
      </c>
      <c r="G8" s="252">
        <f t="shared" si="2"/>
        <v>124.06840055159999</v>
      </c>
      <c r="H8" s="252">
        <f t="shared" si="2"/>
        <v>131.5283766988</v>
      </c>
      <c r="I8" s="252">
        <v>138.988352846</v>
      </c>
      <c r="J8" s="252">
        <v>126.120369653</v>
      </c>
    </row>
    <row r="9" spans="2:10">
      <c r="C9" s="90"/>
      <c r="D9" s="90"/>
      <c r="E9" s="90"/>
      <c r="F9" s="90"/>
      <c r="G9" s="90"/>
      <c r="H9" s="90"/>
      <c r="I9" s="90"/>
    </row>
    <row r="10" spans="2:10">
      <c r="B10" s="15" t="s">
        <v>584</v>
      </c>
      <c r="C10" s="90"/>
      <c r="D10" s="90"/>
      <c r="E10" s="90"/>
      <c r="F10" s="90"/>
      <c r="G10" s="90"/>
      <c r="H10" s="90"/>
      <c r="I10" s="90"/>
    </row>
    <row r="11" spans="2:10">
      <c r="B11" t="s">
        <v>583</v>
      </c>
      <c r="C11" s="90"/>
      <c r="D11" s="90"/>
      <c r="E11" s="90"/>
      <c r="F11" s="90"/>
      <c r="G11" s="90"/>
      <c r="H11" s="90"/>
      <c r="I11" s="90"/>
    </row>
    <row r="12" spans="2:10">
      <c r="C12" s="90"/>
      <c r="D12" s="90"/>
      <c r="E12" s="90"/>
      <c r="F12" s="90"/>
      <c r="G12" s="90"/>
      <c r="H12" s="90"/>
      <c r="I12" s="90"/>
    </row>
  </sheetData>
  <pageMargins left="0.7" right="0.7" top="0.75" bottom="0.75" header="0.3" footer="0.3"/>
  <customProperties>
    <customPr name="SSC_SHEET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0" tint="-0.499984740745262"/>
  </sheetPr>
  <dimension ref="A1:BE15"/>
  <sheetViews>
    <sheetView showGridLines="0" zoomScale="194" zoomScaleNormal="194" workbookViewId="0">
      <selection activeCell="AG13" sqref="B13:AG13"/>
    </sheetView>
  </sheetViews>
  <sheetFormatPr defaultColWidth="8.85546875" defaultRowHeight="15" outlineLevelCol="1"/>
  <cols>
    <col min="1" max="1" width="22.28515625" style="5" bestFit="1" customWidth="1"/>
    <col min="3" max="7" width="9.140625" hidden="1" customWidth="1" outlineLevel="1"/>
    <col min="8" max="8" width="8.85546875" collapsed="1"/>
    <col min="9" max="12" width="9.140625" hidden="1" customWidth="1" outlineLevel="1"/>
    <col min="13" max="13" width="8.85546875" collapsed="1"/>
    <col min="14" max="17" width="9.140625" hidden="1" customWidth="1" outlineLevel="1"/>
    <col min="18" max="18" width="8.85546875" collapsed="1"/>
    <col min="19" max="22" width="9.140625" hidden="1" customWidth="1" outlineLevel="1"/>
    <col min="23" max="23" width="8.85546875" collapsed="1"/>
    <col min="24" max="27" width="9.140625" hidden="1" customWidth="1" outlineLevel="1"/>
    <col min="28" max="28" width="8.85546875" collapsed="1"/>
    <col min="29" max="32" width="0" hidden="1" customWidth="1" outlineLevel="1"/>
    <col min="33" max="33" width="8.85546875" collapsed="1"/>
    <col min="34" max="37" width="0" hidden="1" customWidth="1" outlineLevel="1"/>
    <col min="38" max="38" width="8.85546875" collapsed="1"/>
    <col min="39" max="42" width="0" hidden="1" customWidth="1" outlineLevel="1"/>
    <col min="43" max="43" width="8.85546875" collapsed="1"/>
    <col min="44" max="47" width="0" hidden="1" customWidth="1" outlineLevel="1"/>
    <col min="48" max="48" width="8.85546875" collapsed="1"/>
    <col min="49" max="52" width="0" hidden="1" customWidth="1" outlineLevel="1"/>
    <col min="53" max="53" width="8.85546875" collapsed="1"/>
  </cols>
  <sheetData>
    <row r="1" spans="1:57">
      <c r="A1" s="15" t="s">
        <v>582</v>
      </c>
    </row>
    <row r="2" spans="1:57">
      <c r="A2" s="15" t="s">
        <v>537</v>
      </c>
      <c r="BB2" s="667" t="s">
        <v>581</v>
      </c>
      <c r="BC2" s="667"/>
      <c r="BD2" s="667" t="s">
        <v>538</v>
      </c>
      <c r="BE2" s="667"/>
    </row>
    <row r="3" spans="1:57">
      <c r="A3"/>
      <c r="B3" s="15">
        <v>2019</v>
      </c>
      <c r="C3" s="15">
        <f>B3+1</f>
        <v>2020</v>
      </c>
      <c r="D3" s="15">
        <f t="shared" ref="D3:V3" si="0">C3+1</f>
        <v>2021</v>
      </c>
      <c r="E3" s="15">
        <f t="shared" si="0"/>
        <v>2022</v>
      </c>
      <c r="F3" s="15">
        <f t="shared" si="0"/>
        <v>2023</v>
      </c>
      <c r="G3" s="15">
        <f t="shared" si="0"/>
        <v>2024</v>
      </c>
      <c r="H3" s="15">
        <f t="shared" si="0"/>
        <v>2025</v>
      </c>
      <c r="I3" s="15">
        <f t="shared" si="0"/>
        <v>2026</v>
      </c>
      <c r="J3" s="15">
        <f t="shared" si="0"/>
        <v>2027</v>
      </c>
      <c r="K3" s="15">
        <f t="shared" si="0"/>
        <v>2028</v>
      </c>
      <c r="L3" s="15">
        <f t="shared" si="0"/>
        <v>2029</v>
      </c>
      <c r="M3" s="15">
        <v>2030</v>
      </c>
      <c r="N3" s="15">
        <f t="shared" si="0"/>
        <v>2031</v>
      </c>
      <c r="O3" s="15">
        <f t="shared" si="0"/>
        <v>2032</v>
      </c>
      <c r="P3" s="15">
        <f t="shared" si="0"/>
        <v>2033</v>
      </c>
      <c r="Q3" s="15">
        <f t="shared" si="0"/>
        <v>2034</v>
      </c>
      <c r="R3" s="15">
        <f t="shared" si="0"/>
        <v>2035</v>
      </c>
      <c r="S3" s="15">
        <f t="shared" si="0"/>
        <v>2036</v>
      </c>
      <c r="T3" s="15">
        <f t="shared" si="0"/>
        <v>2037</v>
      </c>
      <c r="U3" s="15">
        <f t="shared" si="0"/>
        <v>2038</v>
      </c>
      <c r="V3" s="15">
        <f t="shared" si="0"/>
        <v>2039</v>
      </c>
      <c r="W3" s="15">
        <v>2040</v>
      </c>
      <c r="X3" s="15">
        <f t="shared" ref="X3:AF3" si="1">W3+1</f>
        <v>2041</v>
      </c>
      <c r="Y3" s="15">
        <f t="shared" si="1"/>
        <v>2042</v>
      </c>
      <c r="Z3" s="15">
        <f t="shared" si="1"/>
        <v>2043</v>
      </c>
      <c r="AA3" s="15">
        <f t="shared" si="1"/>
        <v>2044</v>
      </c>
      <c r="AB3" s="15">
        <f t="shared" si="1"/>
        <v>2045</v>
      </c>
      <c r="AC3" s="15">
        <f t="shared" si="1"/>
        <v>2046</v>
      </c>
      <c r="AD3" s="15">
        <f t="shared" si="1"/>
        <v>2047</v>
      </c>
      <c r="AE3" s="15">
        <f t="shared" si="1"/>
        <v>2048</v>
      </c>
      <c r="AF3" s="15">
        <f t="shared" si="1"/>
        <v>2049</v>
      </c>
      <c r="AG3" s="15">
        <v>2050</v>
      </c>
      <c r="AH3" s="15">
        <f t="shared" ref="AH3:AP3" si="2">AG3+1</f>
        <v>2051</v>
      </c>
      <c r="AI3" s="15">
        <f t="shared" si="2"/>
        <v>2052</v>
      </c>
      <c r="AJ3" s="15">
        <f t="shared" si="2"/>
        <v>2053</v>
      </c>
      <c r="AK3" s="15">
        <f t="shared" si="2"/>
        <v>2054</v>
      </c>
      <c r="AL3" s="15">
        <f t="shared" si="2"/>
        <v>2055</v>
      </c>
      <c r="AM3" s="15">
        <f t="shared" si="2"/>
        <v>2056</v>
      </c>
      <c r="AN3" s="15">
        <f t="shared" si="2"/>
        <v>2057</v>
      </c>
      <c r="AO3" s="15">
        <f t="shared" si="2"/>
        <v>2058</v>
      </c>
      <c r="AP3" s="15">
        <f t="shared" si="2"/>
        <v>2059</v>
      </c>
      <c r="AQ3" s="15">
        <v>2060</v>
      </c>
      <c r="AR3" s="15">
        <f t="shared" ref="AR3:AZ3" si="3">AQ3+1</f>
        <v>2061</v>
      </c>
      <c r="AS3" s="15">
        <f t="shared" si="3"/>
        <v>2062</v>
      </c>
      <c r="AT3" s="15">
        <f t="shared" si="3"/>
        <v>2063</v>
      </c>
      <c r="AU3" s="15">
        <f t="shared" si="3"/>
        <v>2064</v>
      </c>
      <c r="AV3" s="15">
        <f t="shared" si="3"/>
        <v>2065</v>
      </c>
      <c r="AW3" s="15">
        <f t="shared" si="3"/>
        <v>2066</v>
      </c>
      <c r="AX3" s="15">
        <f t="shared" si="3"/>
        <v>2067</v>
      </c>
      <c r="AY3" s="15">
        <f t="shared" si="3"/>
        <v>2068</v>
      </c>
      <c r="AZ3" s="15">
        <f t="shared" si="3"/>
        <v>2069</v>
      </c>
      <c r="BA3" s="15">
        <v>2070</v>
      </c>
      <c r="BB3" s="15">
        <v>2019</v>
      </c>
      <c r="BC3" s="15">
        <v>2050</v>
      </c>
      <c r="BD3" s="10">
        <v>2070</v>
      </c>
      <c r="BE3" s="10" t="s">
        <v>539</v>
      </c>
    </row>
    <row r="4" spans="1:57">
      <c r="A4" s="252" t="s">
        <v>580</v>
      </c>
      <c r="B4" s="252">
        <v>339.1</v>
      </c>
      <c r="C4" s="252"/>
      <c r="D4" s="252"/>
      <c r="E4" s="252"/>
      <c r="F4" s="252"/>
      <c r="G4" s="252"/>
      <c r="H4" s="252"/>
      <c r="I4" s="252"/>
      <c r="J4" s="252"/>
      <c r="K4" s="252"/>
      <c r="L4" s="252"/>
      <c r="M4" s="252">
        <v>342.8</v>
      </c>
      <c r="N4" s="252"/>
      <c r="O4" s="252"/>
      <c r="P4" s="252"/>
      <c r="Q4" s="252"/>
      <c r="R4" s="252"/>
      <c r="S4" s="252"/>
      <c r="T4" s="252"/>
      <c r="U4" s="252"/>
      <c r="V4" s="252"/>
      <c r="W4" s="252">
        <v>393</v>
      </c>
      <c r="X4" s="252"/>
      <c r="Y4" s="252"/>
      <c r="Z4" s="252"/>
      <c r="AA4" s="252"/>
      <c r="AB4" s="252"/>
      <c r="AC4" s="252"/>
      <c r="AD4" s="252"/>
      <c r="AE4" s="252"/>
      <c r="AF4" s="252"/>
      <c r="AG4" s="252">
        <v>465.3</v>
      </c>
      <c r="AH4" s="252"/>
      <c r="AI4" s="252"/>
      <c r="AJ4" s="252"/>
      <c r="AK4" s="252"/>
      <c r="AL4" s="252"/>
      <c r="AM4" s="252"/>
      <c r="AN4" s="252"/>
      <c r="AO4" s="252"/>
      <c r="AP4" s="252"/>
      <c r="AQ4" s="252">
        <v>494.5</v>
      </c>
      <c r="AR4" s="252"/>
      <c r="AS4" s="252"/>
      <c r="AT4" s="252"/>
      <c r="AU4" s="252"/>
      <c r="AV4" s="252"/>
      <c r="AW4" s="252"/>
      <c r="AX4" s="252"/>
      <c r="AY4" s="252"/>
      <c r="AZ4" s="252"/>
      <c r="BA4" s="252">
        <v>618.79999999999995</v>
      </c>
      <c r="BB4" s="252">
        <v>100</v>
      </c>
      <c r="BC4" s="252">
        <v>100</v>
      </c>
      <c r="BD4" s="1">
        <v>100</v>
      </c>
      <c r="BE4" s="1">
        <v>1.2</v>
      </c>
    </row>
    <row r="5" spans="1:57">
      <c r="A5" s="253" t="s">
        <v>540</v>
      </c>
      <c r="B5" s="252">
        <v>339.1</v>
      </c>
      <c r="C5" s="252">
        <f>B5+(($M5-$B5)/11)</f>
        <v>337.32727272727277</v>
      </c>
      <c r="D5" s="252">
        <f t="shared" ref="D5:L5" si="4">C5+(($M5-$B5)/11)</f>
        <v>335.55454545454552</v>
      </c>
      <c r="E5" s="252">
        <f t="shared" si="4"/>
        <v>333.78181818181827</v>
      </c>
      <c r="F5" s="252">
        <f t="shared" si="4"/>
        <v>332.00909090909101</v>
      </c>
      <c r="G5" s="252">
        <f t="shared" si="4"/>
        <v>330.23636363636376</v>
      </c>
      <c r="H5" s="252">
        <f t="shared" si="4"/>
        <v>328.46363636363651</v>
      </c>
      <c r="I5" s="252">
        <f t="shared" si="4"/>
        <v>326.69090909090926</v>
      </c>
      <c r="J5" s="252">
        <f t="shared" si="4"/>
        <v>324.91818181818201</v>
      </c>
      <c r="K5" s="252">
        <f t="shared" si="4"/>
        <v>323.14545454545475</v>
      </c>
      <c r="L5" s="252">
        <f t="shared" si="4"/>
        <v>321.3727272727275</v>
      </c>
      <c r="M5" s="252">
        <v>319.60000000000002</v>
      </c>
      <c r="N5" s="252">
        <f>M5+((W5-M5)/10)</f>
        <v>314.54000000000002</v>
      </c>
      <c r="O5" s="252">
        <f>N5+((W5-M5)/10)</f>
        <v>309.48</v>
      </c>
      <c r="P5" s="252">
        <f>O5+((W5-M5)/10)</f>
        <v>304.42</v>
      </c>
      <c r="Q5" s="252">
        <f>P5+((W5-M5)/10)</f>
        <v>299.36</v>
      </c>
      <c r="R5" s="252">
        <f>Q5+((W5-M5)/10)</f>
        <v>294.3</v>
      </c>
      <c r="S5" s="252">
        <f>R5+((W5-M5)/10)</f>
        <v>289.24</v>
      </c>
      <c r="T5" s="252">
        <f>S5+((W5-M5)/10)</f>
        <v>284.18</v>
      </c>
      <c r="U5" s="252">
        <f>T5+((W5-M5)/10)</f>
        <v>279.12</v>
      </c>
      <c r="V5" s="252">
        <f>U5+((W5-M5)/10)</f>
        <v>274.06</v>
      </c>
      <c r="W5" s="252">
        <v>269</v>
      </c>
      <c r="X5" s="252">
        <f>W5+((AG5-W5)/10)</f>
        <v>266.33999999999997</v>
      </c>
      <c r="Y5" s="252">
        <f>X5+((AG5-W5)/10)</f>
        <v>263.67999999999995</v>
      </c>
      <c r="Z5" s="252">
        <f>Y5+((AG5-W5)/10)</f>
        <v>261.01999999999992</v>
      </c>
      <c r="AA5" s="252">
        <f>Z5+((AG5-W5)/10)</f>
        <v>258.3599999999999</v>
      </c>
      <c r="AB5" s="252">
        <f>AA5+((AG5-W5)/10)</f>
        <v>255.6999999999999</v>
      </c>
      <c r="AC5" s="252">
        <f>AB5+((AG5-W5)/10)</f>
        <v>253.03999999999991</v>
      </c>
      <c r="AD5" s="252">
        <f>AC5+((AG5-W5)/10)</f>
        <v>250.37999999999991</v>
      </c>
      <c r="AE5" s="252">
        <f>AD5+((AG5-W5)/10)</f>
        <v>247.71999999999991</v>
      </c>
      <c r="AF5" s="252">
        <f>AE5+((AG5-W5)/10)</f>
        <v>245.05999999999992</v>
      </c>
      <c r="AG5" s="252">
        <v>242.4</v>
      </c>
      <c r="AH5" s="252">
        <f>AG5+((AQ5-AG5)/10)</f>
        <v>236.52</v>
      </c>
      <c r="AI5" s="252">
        <f>AH5+((AQ5-AG5)/10)</f>
        <v>230.64000000000001</v>
      </c>
      <c r="AJ5" s="252">
        <f>AI5+((AQ5-AG5)/10)</f>
        <v>224.76000000000002</v>
      </c>
      <c r="AK5" s="252">
        <f>AJ5+((AQ5-AG5)/10)</f>
        <v>218.88000000000002</v>
      </c>
      <c r="AL5" s="252">
        <f>AK5+((AQ5-AG5)/10)</f>
        <v>213.00000000000003</v>
      </c>
      <c r="AM5" s="252">
        <f>AL5+((AQ5-AG5)/10)</f>
        <v>207.12000000000003</v>
      </c>
      <c r="AN5" s="252">
        <f>AM5+((AQ5-AG5)/10)</f>
        <v>201.24000000000004</v>
      </c>
      <c r="AO5" s="252">
        <f>AN5+((AQ5-AG5)/10)</f>
        <v>195.36000000000004</v>
      </c>
      <c r="AP5" s="252">
        <f>AO5+((AQ5-AG5)/10)</f>
        <v>189.48000000000005</v>
      </c>
      <c r="AQ5" s="252">
        <v>183.6</v>
      </c>
      <c r="AR5" s="252">
        <f>AQ5+((BA5-AQ5)/10)</f>
        <v>179.95</v>
      </c>
      <c r="AS5" s="252">
        <f>AR5+((BA5-AQ5)/10)</f>
        <v>176.29999999999998</v>
      </c>
      <c r="AT5" s="252">
        <f>AS5+((BA5-AQ5)/10)</f>
        <v>172.64999999999998</v>
      </c>
      <c r="AU5" s="252">
        <f>AT5+((BA5-AQ5)/10)</f>
        <v>168.99999999999997</v>
      </c>
      <c r="AV5" s="252">
        <f>AU5+((BA5-AQ5)/10)</f>
        <v>165.34999999999997</v>
      </c>
      <c r="AW5" s="252">
        <f>AV5+((BA5-AQ5)/10)</f>
        <v>161.69999999999996</v>
      </c>
      <c r="AX5" s="252">
        <f>AW5+((BA5-AQ5)/10)</f>
        <v>158.04999999999995</v>
      </c>
      <c r="AY5" s="252">
        <f>AX5+((BA5-AQ5)/10)</f>
        <v>154.39999999999995</v>
      </c>
      <c r="AZ5" s="252">
        <f>AY5+((BA5-AQ5)/10)</f>
        <v>150.74999999999994</v>
      </c>
      <c r="BA5" s="252">
        <v>147.1</v>
      </c>
      <c r="BB5" s="252">
        <v>100</v>
      </c>
      <c r="BC5" s="252">
        <v>52.1</v>
      </c>
      <c r="BD5" s="1">
        <v>23.8</v>
      </c>
      <c r="BE5" s="1">
        <v>-1.6</v>
      </c>
    </row>
    <row r="6" spans="1:57">
      <c r="A6" s="253" t="s">
        <v>541</v>
      </c>
      <c r="B6" s="252">
        <v>0</v>
      </c>
      <c r="C6" s="252">
        <f t="shared" ref="C6:L9" si="5">B6+(($M6-$B6)/11)</f>
        <v>0</v>
      </c>
      <c r="D6" s="252">
        <f t="shared" si="5"/>
        <v>0</v>
      </c>
      <c r="E6" s="252">
        <f t="shared" si="5"/>
        <v>0</v>
      </c>
      <c r="F6" s="252">
        <f t="shared" si="5"/>
        <v>0</v>
      </c>
      <c r="G6" s="252">
        <f t="shared" si="5"/>
        <v>0</v>
      </c>
      <c r="H6" s="252">
        <f t="shared" si="5"/>
        <v>0</v>
      </c>
      <c r="I6" s="252">
        <f t="shared" si="5"/>
        <v>0</v>
      </c>
      <c r="J6" s="252">
        <f t="shared" si="5"/>
        <v>0</v>
      </c>
      <c r="K6" s="252">
        <f t="shared" si="5"/>
        <v>0</v>
      </c>
      <c r="L6" s="252">
        <f t="shared" si="5"/>
        <v>0</v>
      </c>
      <c r="M6" s="252">
        <v>0</v>
      </c>
      <c r="N6" s="252">
        <f t="shared" ref="N6:N9" si="6">M6+((W6-M6)/10)</f>
        <v>0</v>
      </c>
      <c r="O6" s="252">
        <f t="shared" ref="O6:O9" si="7">N6+((W6-M6)/10)</f>
        <v>0</v>
      </c>
      <c r="P6" s="252">
        <f t="shared" ref="P6:P9" si="8">O6+((W6-M6)/10)</f>
        <v>0</v>
      </c>
      <c r="Q6" s="252">
        <f t="shared" ref="Q6:Q9" si="9">P6+((W6-M6)/10)</f>
        <v>0</v>
      </c>
      <c r="R6" s="252">
        <f t="shared" ref="R6:R9" si="10">Q6+((W6-M6)/10)</f>
        <v>0</v>
      </c>
      <c r="S6" s="252">
        <f t="shared" ref="S6:S9" si="11">R6+((W6-M6)/10)</f>
        <v>0</v>
      </c>
      <c r="T6" s="252">
        <f t="shared" ref="T6:T9" si="12">S6+((W6-M6)/10)</f>
        <v>0</v>
      </c>
      <c r="U6" s="252">
        <f t="shared" ref="U6:U9" si="13">T6+((W6-M6)/10)</f>
        <v>0</v>
      </c>
      <c r="V6" s="252">
        <f t="shared" ref="V6:V9" si="14">U6+((W6-M6)/10)</f>
        <v>0</v>
      </c>
      <c r="W6" s="252">
        <v>0</v>
      </c>
      <c r="X6" s="252">
        <f t="shared" ref="X6:X9" si="15">W6+((AG6-W6)/10)</f>
        <v>0</v>
      </c>
      <c r="Y6" s="252">
        <f t="shared" ref="Y6:Y9" si="16">X6+((AG6-W6)/10)</f>
        <v>0</v>
      </c>
      <c r="Z6" s="252">
        <f t="shared" ref="Z6:Z9" si="17">Y6+((AG6-W6)/10)</f>
        <v>0</v>
      </c>
      <c r="AA6" s="252">
        <f t="shared" ref="AA6:AA9" si="18">Z6+((AG6-W6)/10)</f>
        <v>0</v>
      </c>
      <c r="AB6" s="252">
        <f t="shared" ref="AB6:AB9" si="19">AA6+((AG6-W6)/10)</f>
        <v>0</v>
      </c>
      <c r="AC6" s="252">
        <f t="shared" ref="AC6:AC9" si="20">AB6+((AG6-W6)/10)</f>
        <v>0</v>
      </c>
      <c r="AD6" s="252">
        <f t="shared" ref="AD6:AD9" si="21">AC6+((AG6-W6)/10)</f>
        <v>0</v>
      </c>
      <c r="AE6" s="252">
        <f t="shared" ref="AE6:AE9" si="22">AD6+((AG6-W6)/10)</f>
        <v>0</v>
      </c>
      <c r="AF6" s="252">
        <f t="shared" ref="AF6:AF9" si="23">AE6+((AG6-W6)/10)</f>
        <v>0</v>
      </c>
      <c r="AG6" s="252">
        <v>0</v>
      </c>
      <c r="AH6" s="252">
        <f t="shared" ref="AH6:AH9" si="24">AG6+((AQ6-AG6)/10)</f>
        <v>0</v>
      </c>
      <c r="AI6" s="252">
        <f t="shared" ref="AI6:AI9" si="25">AH6+((AQ6-AG6)/10)</f>
        <v>0</v>
      </c>
      <c r="AJ6" s="252">
        <f t="shared" ref="AJ6:AJ9" si="26">AI6+((AQ6-AG6)/10)</f>
        <v>0</v>
      </c>
      <c r="AK6" s="252">
        <f t="shared" ref="AK6:AK9" si="27">AJ6+((AQ6-AG6)/10)</f>
        <v>0</v>
      </c>
      <c r="AL6" s="252">
        <f t="shared" ref="AL6:AL9" si="28">AK6+((AQ6-AG6)/10)</f>
        <v>0</v>
      </c>
      <c r="AM6" s="252">
        <f t="shared" ref="AM6:AM9" si="29">AL6+((AQ6-AG6)/10)</f>
        <v>0</v>
      </c>
      <c r="AN6" s="252">
        <f t="shared" ref="AN6:AN9" si="30">AM6+((AQ6-AG6)/10)</f>
        <v>0</v>
      </c>
      <c r="AO6" s="252">
        <f t="shared" ref="AO6:AO9" si="31">AN6+((AQ6-AG6)/10)</f>
        <v>0</v>
      </c>
      <c r="AP6" s="252">
        <f t="shared" ref="AP6:AP9" si="32">AO6+((AQ6-AG6)/10)</f>
        <v>0</v>
      </c>
      <c r="AQ6" s="252">
        <v>0</v>
      </c>
      <c r="AR6" s="252">
        <f t="shared" ref="AR6:AR9" si="33">AQ6+((BA6-AQ6)/10)</f>
        <v>0</v>
      </c>
      <c r="AS6" s="252">
        <f t="shared" ref="AS6:AS9" si="34">AR6+((BA6-AQ6)/10)</f>
        <v>0</v>
      </c>
      <c r="AT6" s="252">
        <f t="shared" ref="AT6:AT9" si="35">AS6+((BA6-AQ6)/10)</f>
        <v>0</v>
      </c>
      <c r="AU6" s="252">
        <f t="shared" ref="AU6:AU9" si="36">AT6+((BA6-AQ6)/10)</f>
        <v>0</v>
      </c>
      <c r="AV6" s="252">
        <f t="shared" ref="AV6:AV9" si="37">AU6+((BA6-AQ6)/10)</f>
        <v>0</v>
      </c>
      <c r="AW6" s="252">
        <f t="shared" ref="AW6:AW9" si="38">AV6+((BA6-AQ6)/10)</f>
        <v>0</v>
      </c>
      <c r="AX6" s="252">
        <f t="shared" ref="AX6:AX9" si="39">AW6+((BA6-AQ6)/10)</f>
        <v>0</v>
      </c>
      <c r="AY6" s="252">
        <f t="shared" ref="AY6:AY9" si="40">AX6+((BA6-AQ6)/10)</f>
        <v>0</v>
      </c>
      <c r="AZ6" s="252">
        <f t="shared" ref="AZ6:AZ9" si="41">AY6+((BA6-AQ6)/10)</f>
        <v>0</v>
      </c>
      <c r="BA6" s="252">
        <v>0</v>
      </c>
      <c r="BB6" s="252">
        <v>0</v>
      </c>
      <c r="BC6" s="252">
        <v>0</v>
      </c>
      <c r="BD6" s="1">
        <v>0</v>
      </c>
      <c r="BE6" s="1" t="s">
        <v>542</v>
      </c>
    </row>
    <row r="7" spans="1:57">
      <c r="A7" s="253" t="s">
        <v>543</v>
      </c>
      <c r="B7" s="252">
        <v>0</v>
      </c>
      <c r="C7" s="252">
        <f t="shared" si="5"/>
        <v>0</v>
      </c>
      <c r="D7" s="252">
        <f t="shared" si="5"/>
        <v>0</v>
      </c>
      <c r="E7" s="252">
        <f t="shared" si="5"/>
        <v>0</v>
      </c>
      <c r="F7" s="252">
        <f t="shared" si="5"/>
        <v>0</v>
      </c>
      <c r="G7" s="252">
        <f t="shared" si="5"/>
        <v>0</v>
      </c>
      <c r="H7" s="252">
        <f t="shared" si="5"/>
        <v>0</v>
      </c>
      <c r="I7" s="252">
        <f t="shared" si="5"/>
        <v>0</v>
      </c>
      <c r="J7" s="252">
        <f t="shared" si="5"/>
        <v>0</v>
      </c>
      <c r="K7" s="252">
        <f t="shared" si="5"/>
        <v>0</v>
      </c>
      <c r="L7" s="252">
        <f t="shared" si="5"/>
        <v>0</v>
      </c>
      <c r="M7" s="252">
        <v>0</v>
      </c>
      <c r="N7" s="252">
        <f t="shared" si="6"/>
        <v>0</v>
      </c>
      <c r="O7" s="252">
        <f t="shared" si="7"/>
        <v>0</v>
      </c>
      <c r="P7" s="252">
        <f t="shared" si="8"/>
        <v>0</v>
      </c>
      <c r="Q7" s="252">
        <f t="shared" si="9"/>
        <v>0</v>
      </c>
      <c r="R7" s="252">
        <f t="shared" si="10"/>
        <v>0</v>
      </c>
      <c r="S7" s="252">
        <f t="shared" si="11"/>
        <v>0</v>
      </c>
      <c r="T7" s="252">
        <f t="shared" si="12"/>
        <v>0</v>
      </c>
      <c r="U7" s="252">
        <f t="shared" si="13"/>
        <v>0</v>
      </c>
      <c r="V7" s="252">
        <f t="shared" si="14"/>
        <v>0</v>
      </c>
      <c r="W7" s="252">
        <v>0</v>
      </c>
      <c r="X7" s="252">
        <f t="shared" si="15"/>
        <v>0</v>
      </c>
      <c r="Y7" s="252">
        <f t="shared" si="16"/>
        <v>0</v>
      </c>
      <c r="Z7" s="252">
        <f t="shared" si="17"/>
        <v>0</v>
      </c>
      <c r="AA7" s="252">
        <f t="shared" si="18"/>
        <v>0</v>
      </c>
      <c r="AB7" s="252">
        <f t="shared" si="19"/>
        <v>0</v>
      </c>
      <c r="AC7" s="252">
        <f t="shared" si="20"/>
        <v>0</v>
      </c>
      <c r="AD7" s="252">
        <f t="shared" si="21"/>
        <v>0</v>
      </c>
      <c r="AE7" s="252">
        <f t="shared" si="22"/>
        <v>0</v>
      </c>
      <c r="AF7" s="252">
        <f t="shared" si="23"/>
        <v>0</v>
      </c>
      <c r="AG7" s="252">
        <v>0</v>
      </c>
      <c r="AH7" s="252">
        <f t="shared" si="24"/>
        <v>0</v>
      </c>
      <c r="AI7" s="252">
        <f t="shared" si="25"/>
        <v>0</v>
      </c>
      <c r="AJ7" s="252">
        <f t="shared" si="26"/>
        <v>0</v>
      </c>
      <c r="AK7" s="252">
        <f t="shared" si="27"/>
        <v>0</v>
      </c>
      <c r="AL7" s="252">
        <f t="shared" si="28"/>
        <v>0</v>
      </c>
      <c r="AM7" s="252">
        <f t="shared" si="29"/>
        <v>0</v>
      </c>
      <c r="AN7" s="252">
        <f t="shared" si="30"/>
        <v>0</v>
      </c>
      <c r="AO7" s="252">
        <f t="shared" si="31"/>
        <v>0</v>
      </c>
      <c r="AP7" s="252">
        <f t="shared" si="32"/>
        <v>0</v>
      </c>
      <c r="AQ7" s="252">
        <v>0</v>
      </c>
      <c r="AR7" s="252">
        <f t="shared" si="33"/>
        <v>0</v>
      </c>
      <c r="AS7" s="252">
        <f t="shared" si="34"/>
        <v>0</v>
      </c>
      <c r="AT7" s="252">
        <f t="shared" si="35"/>
        <v>0</v>
      </c>
      <c r="AU7" s="252">
        <f t="shared" si="36"/>
        <v>0</v>
      </c>
      <c r="AV7" s="252">
        <f t="shared" si="37"/>
        <v>0</v>
      </c>
      <c r="AW7" s="252">
        <f t="shared" si="38"/>
        <v>0</v>
      </c>
      <c r="AX7" s="252">
        <f t="shared" si="39"/>
        <v>0</v>
      </c>
      <c r="AY7" s="252">
        <f t="shared" si="40"/>
        <v>0</v>
      </c>
      <c r="AZ7" s="252">
        <f t="shared" si="41"/>
        <v>0</v>
      </c>
      <c r="BA7" s="252">
        <v>0</v>
      </c>
      <c r="BB7" s="252">
        <v>0</v>
      </c>
      <c r="BC7" s="252">
        <v>0</v>
      </c>
      <c r="BD7" s="1">
        <v>0</v>
      </c>
      <c r="BE7" s="1" t="s">
        <v>542</v>
      </c>
    </row>
    <row r="8" spans="1:57">
      <c r="A8" s="253" t="s">
        <v>544</v>
      </c>
      <c r="B8" s="252">
        <v>0</v>
      </c>
      <c r="C8" s="252">
        <f t="shared" si="5"/>
        <v>0</v>
      </c>
      <c r="D8" s="252">
        <f t="shared" si="5"/>
        <v>0</v>
      </c>
      <c r="E8" s="252">
        <f t="shared" si="5"/>
        <v>0</v>
      </c>
      <c r="F8" s="252">
        <f t="shared" si="5"/>
        <v>0</v>
      </c>
      <c r="G8" s="252">
        <f t="shared" si="5"/>
        <v>0</v>
      </c>
      <c r="H8" s="252">
        <f t="shared" si="5"/>
        <v>0</v>
      </c>
      <c r="I8" s="252">
        <f t="shared" si="5"/>
        <v>0</v>
      </c>
      <c r="J8" s="252">
        <f t="shared" si="5"/>
        <v>0</v>
      </c>
      <c r="K8" s="252">
        <f t="shared" si="5"/>
        <v>0</v>
      </c>
      <c r="L8" s="252">
        <f t="shared" si="5"/>
        <v>0</v>
      </c>
      <c r="M8" s="252">
        <v>0</v>
      </c>
      <c r="N8" s="252">
        <f t="shared" si="6"/>
        <v>2.42</v>
      </c>
      <c r="O8" s="252">
        <f t="shared" si="7"/>
        <v>4.84</v>
      </c>
      <c r="P8" s="252">
        <f t="shared" si="8"/>
        <v>7.26</v>
      </c>
      <c r="Q8" s="252">
        <f t="shared" si="9"/>
        <v>9.68</v>
      </c>
      <c r="R8" s="252">
        <f t="shared" si="10"/>
        <v>12.1</v>
      </c>
      <c r="S8" s="252">
        <f t="shared" si="11"/>
        <v>14.52</v>
      </c>
      <c r="T8" s="252">
        <f t="shared" si="12"/>
        <v>16.939999999999998</v>
      </c>
      <c r="U8" s="252">
        <f t="shared" si="13"/>
        <v>19.36</v>
      </c>
      <c r="V8" s="252">
        <f t="shared" si="14"/>
        <v>21.78</v>
      </c>
      <c r="W8" s="252">
        <v>24.2</v>
      </c>
      <c r="X8" s="252">
        <f t="shared" si="15"/>
        <v>28.79</v>
      </c>
      <c r="Y8" s="252">
        <f t="shared" si="16"/>
        <v>33.379999999999995</v>
      </c>
      <c r="Z8" s="252">
        <f t="shared" si="17"/>
        <v>37.969999999999992</v>
      </c>
      <c r="AA8" s="252">
        <f t="shared" si="18"/>
        <v>42.559999999999988</v>
      </c>
      <c r="AB8" s="252">
        <f t="shared" si="19"/>
        <v>47.149999999999984</v>
      </c>
      <c r="AC8" s="252">
        <f t="shared" si="20"/>
        <v>51.739999999999981</v>
      </c>
      <c r="AD8" s="252">
        <f t="shared" si="21"/>
        <v>56.329999999999977</v>
      </c>
      <c r="AE8" s="252">
        <f t="shared" si="22"/>
        <v>60.919999999999973</v>
      </c>
      <c r="AF8" s="252">
        <f t="shared" si="23"/>
        <v>65.509999999999977</v>
      </c>
      <c r="AG8" s="252">
        <v>70.099999999999994</v>
      </c>
      <c r="AH8" s="252">
        <f t="shared" si="24"/>
        <v>78.739999999999995</v>
      </c>
      <c r="AI8" s="252">
        <f t="shared" si="25"/>
        <v>87.38</v>
      </c>
      <c r="AJ8" s="252">
        <f t="shared" si="26"/>
        <v>96.02</v>
      </c>
      <c r="AK8" s="252">
        <f t="shared" si="27"/>
        <v>104.66</v>
      </c>
      <c r="AL8" s="252">
        <f t="shared" si="28"/>
        <v>113.3</v>
      </c>
      <c r="AM8" s="252">
        <f t="shared" si="29"/>
        <v>121.94</v>
      </c>
      <c r="AN8" s="252">
        <f t="shared" si="30"/>
        <v>130.57999999999998</v>
      </c>
      <c r="AO8" s="252">
        <f t="shared" si="31"/>
        <v>139.21999999999997</v>
      </c>
      <c r="AP8" s="252">
        <f t="shared" si="32"/>
        <v>147.85999999999996</v>
      </c>
      <c r="AQ8" s="252">
        <v>156.5</v>
      </c>
      <c r="AR8" s="252">
        <f t="shared" si="33"/>
        <v>166.28</v>
      </c>
      <c r="AS8" s="252">
        <f t="shared" si="34"/>
        <v>176.06</v>
      </c>
      <c r="AT8" s="252">
        <f t="shared" si="35"/>
        <v>185.84</v>
      </c>
      <c r="AU8" s="252">
        <f t="shared" si="36"/>
        <v>195.62</v>
      </c>
      <c r="AV8" s="252">
        <f t="shared" si="37"/>
        <v>205.4</v>
      </c>
      <c r="AW8" s="252">
        <f t="shared" si="38"/>
        <v>215.18</v>
      </c>
      <c r="AX8" s="252">
        <f t="shared" si="39"/>
        <v>224.96</v>
      </c>
      <c r="AY8" s="252">
        <f t="shared" si="40"/>
        <v>234.74</v>
      </c>
      <c r="AZ8" s="252">
        <f t="shared" si="41"/>
        <v>244.52</v>
      </c>
      <c r="BA8" s="252">
        <v>254.3</v>
      </c>
      <c r="BB8" s="252">
        <v>0</v>
      </c>
      <c r="BC8" s="252">
        <v>15.1</v>
      </c>
      <c r="BD8" s="1">
        <v>41.1</v>
      </c>
      <c r="BE8" s="1" t="s">
        <v>542</v>
      </c>
    </row>
    <row r="9" spans="1:57">
      <c r="A9" s="253" t="s">
        <v>545</v>
      </c>
      <c r="B9" s="252">
        <v>0</v>
      </c>
      <c r="C9" s="252">
        <f t="shared" si="5"/>
        <v>2.1090909090909089</v>
      </c>
      <c r="D9" s="252">
        <f t="shared" si="5"/>
        <v>4.2181818181818178</v>
      </c>
      <c r="E9" s="252">
        <f t="shared" si="5"/>
        <v>6.3272727272727263</v>
      </c>
      <c r="F9" s="252">
        <f t="shared" si="5"/>
        <v>8.4363636363636356</v>
      </c>
      <c r="G9" s="252">
        <f t="shared" si="5"/>
        <v>10.545454545454545</v>
      </c>
      <c r="H9" s="252">
        <f t="shared" si="5"/>
        <v>12.654545454545454</v>
      </c>
      <c r="I9" s="252">
        <f t="shared" si="5"/>
        <v>14.763636363636364</v>
      </c>
      <c r="J9" s="252">
        <f t="shared" si="5"/>
        <v>16.872727272727271</v>
      </c>
      <c r="K9" s="252">
        <f t="shared" si="5"/>
        <v>18.981818181818181</v>
      </c>
      <c r="L9" s="252">
        <f t="shared" si="5"/>
        <v>21.09090909090909</v>
      </c>
      <c r="M9" s="252">
        <v>23.2</v>
      </c>
      <c r="N9" s="252">
        <f t="shared" si="6"/>
        <v>30.86</v>
      </c>
      <c r="O9" s="252">
        <f t="shared" si="7"/>
        <v>38.519999999999996</v>
      </c>
      <c r="P9" s="252">
        <f t="shared" si="8"/>
        <v>46.179999999999993</v>
      </c>
      <c r="Q9" s="252">
        <f t="shared" si="9"/>
        <v>53.839999999999989</v>
      </c>
      <c r="R9" s="252">
        <f t="shared" si="10"/>
        <v>61.499999999999986</v>
      </c>
      <c r="S9" s="252">
        <f t="shared" si="11"/>
        <v>69.159999999999982</v>
      </c>
      <c r="T9" s="252">
        <f t="shared" si="12"/>
        <v>76.819999999999979</v>
      </c>
      <c r="U9" s="252">
        <f t="shared" si="13"/>
        <v>84.479999999999976</v>
      </c>
      <c r="V9" s="252">
        <f t="shared" si="14"/>
        <v>92.139999999999972</v>
      </c>
      <c r="W9" s="252">
        <v>99.8</v>
      </c>
      <c r="X9" s="252">
        <f t="shared" si="15"/>
        <v>105.11</v>
      </c>
      <c r="Y9" s="252">
        <f t="shared" si="16"/>
        <v>110.42</v>
      </c>
      <c r="Z9" s="252">
        <f t="shared" si="17"/>
        <v>115.73</v>
      </c>
      <c r="AA9" s="252">
        <f t="shared" si="18"/>
        <v>121.04</v>
      </c>
      <c r="AB9" s="252">
        <f t="shared" si="19"/>
        <v>126.35000000000001</v>
      </c>
      <c r="AC9" s="252">
        <f t="shared" si="20"/>
        <v>131.66</v>
      </c>
      <c r="AD9" s="252">
        <f t="shared" si="21"/>
        <v>136.97</v>
      </c>
      <c r="AE9" s="252">
        <f t="shared" si="22"/>
        <v>142.28</v>
      </c>
      <c r="AF9" s="252">
        <f t="shared" si="23"/>
        <v>147.59</v>
      </c>
      <c r="AG9" s="252">
        <v>152.9</v>
      </c>
      <c r="AH9" s="252">
        <f t="shared" si="24"/>
        <v>153.06</v>
      </c>
      <c r="AI9" s="252">
        <f t="shared" si="25"/>
        <v>153.22</v>
      </c>
      <c r="AJ9" s="252">
        <f t="shared" si="26"/>
        <v>153.38</v>
      </c>
      <c r="AK9" s="252">
        <f t="shared" si="27"/>
        <v>153.54</v>
      </c>
      <c r="AL9" s="252">
        <f t="shared" si="28"/>
        <v>153.69999999999999</v>
      </c>
      <c r="AM9" s="252">
        <f t="shared" si="29"/>
        <v>153.85999999999999</v>
      </c>
      <c r="AN9" s="252">
        <f t="shared" si="30"/>
        <v>154.01999999999998</v>
      </c>
      <c r="AO9" s="252">
        <f t="shared" si="31"/>
        <v>154.17999999999998</v>
      </c>
      <c r="AP9" s="252">
        <f t="shared" si="32"/>
        <v>154.33999999999997</v>
      </c>
      <c r="AQ9" s="252">
        <v>154.5</v>
      </c>
      <c r="AR9" s="252">
        <f t="shared" si="33"/>
        <v>160.80000000000001</v>
      </c>
      <c r="AS9" s="252">
        <f t="shared" si="34"/>
        <v>167.10000000000002</v>
      </c>
      <c r="AT9" s="252">
        <f t="shared" si="35"/>
        <v>173.40000000000003</v>
      </c>
      <c r="AU9" s="252">
        <f t="shared" si="36"/>
        <v>179.70000000000005</v>
      </c>
      <c r="AV9" s="252">
        <f t="shared" si="37"/>
        <v>186.00000000000006</v>
      </c>
      <c r="AW9" s="252">
        <f t="shared" si="38"/>
        <v>192.30000000000007</v>
      </c>
      <c r="AX9" s="252">
        <f t="shared" si="39"/>
        <v>198.60000000000008</v>
      </c>
      <c r="AY9" s="252">
        <f t="shared" si="40"/>
        <v>204.90000000000009</v>
      </c>
      <c r="AZ9" s="252">
        <f t="shared" si="41"/>
        <v>211.2000000000001</v>
      </c>
      <c r="BA9" s="252">
        <v>217.5</v>
      </c>
      <c r="BB9" s="252">
        <v>0</v>
      </c>
      <c r="BC9" s="252">
        <v>32.9</v>
      </c>
      <c r="BD9" s="1">
        <v>35.1</v>
      </c>
      <c r="BE9" s="1" t="s">
        <v>542</v>
      </c>
    </row>
    <row r="10" spans="1:57">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1"/>
      <c r="BE10" s="1"/>
    </row>
    <row r="11" spans="1:57">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1"/>
      <c r="BE11" s="1"/>
    </row>
    <row r="12" spans="1:57">
      <c r="A12" s="252" t="s">
        <v>578</v>
      </c>
      <c r="B12" s="252">
        <v>1015.1</v>
      </c>
      <c r="C12" s="252">
        <f t="shared" ref="C12:L13" si="42">B12+(($M12-$B12)/11)</f>
        <v>1009.2454545454545</v>
      </c>
      <c r="D12" s="252">
        <f t="shared" si="42"/>
        <v>1003.3909090909091</v>
      </c>
      <c r="E12" s="252">
        <f t="shared" si="42"/>
        <v>997.5363636363636</v>
      </c>
      <c r="F12" s="252">
        <f t="shared" si="42"/>
        <v>991.68181818181813</v>
      </c>
      <c r="G12" s="252">
        <f t="shared" si="42"/>
        <v>985.82727272727266</v>
      </c>
      <c r="H12" s="252">
        <f t="shared" si="42"/>
        <v>979.97272727272718</v>
      </c>
      <c r="I12" s="252">
        <f t="shared" si="42"/>
        <v>974.11818181818171</v>
      </c>
      <c r="J12" s="252">
        <f t="shared" si="42"/>
        <v>968.26363636363624</v>
      </c>
      <c r="K12" s="252">
        <f t="shared" si="42"/>
        <v>962.40909090909076</v>
      </c>
      <c r="L12" s="252">
        <f t="shared" si="42"/>
        <v>956.55454545454529</v>
      </c>
      <c r="M12" s="252">
        <v>950.7</v>
      </c>
      <c r="N12" s="252">
        <f t="shared" ref="N12:N13" si="43">M12+((W12-M12)/10)</f>
        <v>935.56000000000006</v>
      </c>
      <c r="O12" s="252">
        <f t="shared" ref="O12:O13" si="44">N12+((W12-M12)/10)</f>
        <v>920.42000000000007</v>
      </c>
      <c r="P12" s="252">
        <f t="shared" ref="P12:P13" si="45">O12+((W12-M12)/10)</f>
        <v>905.28000000000009</v>
      </c>
      <c r="Q12" s="252">
        <f t="shared" ref="Q12:Q13" si="46">P12+((W12-M12)/10)</f>
        <v>890.1400000000001</v>
      </c>
      <c r="R12" s="252">
        <f t="shared" ref="R12:R13" si="47">Q12+((W12-M12)/10)</f>
        <v>875.00000000000011</v>
      </c>
      <c r="S12" s="252">
        <f t="shared" ref="S12:S13" si="48">R12+((W12-M12)/10)</f>
        <v>859.86000000000013</v>
      </c>
      <c r="T12" s="252">
        <f t="shared" ref="T12:T13" si="49">S12+((W12-M12)/10)</f>
        <v>844.72000000000014</v>
      </c>
      <c r="U12" s="252">
        <f t="shared" ref="U12:U13" si="50">T12+((W12-M12)/10)</f>
        <v>829.58000000000015</v>
      </c>
      <c r="V12" s="252">
        <f t="shared" ref="V12:V13" si="51">U12+((W12-M12)/10)</f>
        <v>814.44000000000017</v>
      </c>
      <c r="W12" s="252">
        <v>799.3</v>
      </c>
      <c r="X12" s="252">
        <f t="shared" ref="X12:X13" si="52">W12+((AG12-W12)/10)</f>
        <v>791.12</v>
      </c>
      <c r="Y12" s="252">
        <f t="shared" ref="Y12:Y13" si="53">X12+((AG12-W12)/10)</f>
        <v>782.94</v>
      </c>
      <c r="Z12" s="252">
        <f t="shared" ref="Z12:Z13" si="54">Y12+((AG12-W12)/10)</f>
        <v>774.7600000000001</v>
      </c>
      <c r="AA12" s="252">
        <f t="shared" ref="AA12:AA13" si="55">Z12+((AG12-W12)/10)</f>
        <v>766.58000000000015</v>
      </c>
      <c r="AB12" s="252">
        <f t="shared" ref="AB12:AB13" si="56">AA12+((AG12-W12)/10)</f>
        <v>758.4000000000002</v>
      </c>
      <c r="AC12" s="252">
        <f t="shared" ref="AC12:AC13" si="57">AB12+((AG12-W12)/10)</f>
        <v>750.22000000000025</v>
      </c>
      <c r="AD12" s="252">
        <f t="shared" ref="AD12:AD13" si="58">AC12+((AG12-W12)/10)</f>
        <v>742.0400000000003</v>
      </c>
      <c r="AE12" s="252">
        <f t="shared" ref="AE12:AE13" si="59">AD12+((AG12-W12)/10)</f>
        <v>733.86000000000035</v>
      </c>
      <c r="AF12" s="252">
        <f t="shared" ref="AF12:AF13" si="60">AE12+((AG12-W12)/10)</f>
        <v>725.6800000000004</v>
      </c>
      <c r="AG12" s="252">
        <v>717.5</v>
      </c>
      <c r="AH12" s="252">
        <f t="shared" ref="AH12:AH13" si="61">AG12+((AQ12-AG12)/10)</f>
        <v>699.83</v>
      </c>
      <c r="AI12" s="252">
        <f t="shared" ref="AI12:AI13" si="62">AH12+((AQ12-AG12)/10)</f>
        <v>682.16000000000008</v>
      </c>
      <c r="AJ12" s="252">
        <f t="shared" ref="AJ12:AJ13" si="63">AI12+((AQ12-AG12)/10)</f>
        <v>664.49000000000012</v>
      </c>
      <c r="AK12" s="252">
        <f t="shared" ref="AK12:AK13" si="64">AJ12+((AQ12-AG12)/10)</f>
        <v>646.82000000000016</v>
      </c>
      <c r="AL12" s="252">
        <f t="shared" ref="AL12:AL13" si="65">AK12+((AQ12-AG12)/10)</f>
        <v>629.1500000000002</v>
      </c>
      <c r="AM12" s="252">
        <f t="shared" ref="AM12:AM13" si="66">AL12+((AQ12-AG12)/10)</f>
        <v>611.48000000000025</v>
      </c>
      <c r="AN12" s="252">
        <f t="shared" ref="AN12:AN13" si="67">AM12+((AQ12-AG12)/10)</f>
        <v>593.81000000000029</v>
      </c>
      <c r="AO12" s="252">
        <f t="shared" ref="AO12:AO13" si="68">AN12+((AQ12-AG12)/10)</f>
        <v>576.14000000000033</v>
      </c>
      <c r="AP12" s="252">
        <f t="shared" ref="AP12:AP13" si="69">AO12+((AQ12-AG12)/10)</f>
        <v>558.47000000000037</v>
      </c>
      <c r="AQ12" s="252">
        <v>540.79999999999995</v>
      </c>
      <c r="AR12" s="252">
        <f t="shared" ref="AR12:AR13" si="70">AQ12+((BA12-AQ12)/10)</f>
        <v>530.79999999999995</v>
      </c>
      <c r="AS12" s="252">
        <f t="shared" ref="AS12:AS13" si="71">AR12+((BA12-AQ12)/10)</f>
        <v>520.79999999999995</v>
      </c>
      <c r="AT12" s="252">
        <f t="shared" ref="AT12:AT13" si="72">AS12+((BA12-AQ12)/10)</f>
        <v>510.79999999999995</v>
      </c>
      <c r="AU12" s="252">
        <f t="shared" ref="AU12:AU13" si="73">AT12+((BA12-AQ12)/10)</f>
        <v>500.79999999999995</v>
      </c>
      <c r="AV12" s="252">
        <f t="shared" ref="AV12:AV13" si="74">AU12+((BA12-AQ12)/10)</f>
        <v>490.79999999999995</v>
      </c>
      <c r="AW12" s="252">
        <f t="shared" ref="AW12:AW13" si="75">AV12+((BA12-AQ12)/10)</f>
        <v>480.79999999999995</v>
      </c>
      <c r="AX12" s="252">
        <f t="shared" ref="AX12:AX13" si="76">AW12+((BA12-AQ12)/10)</f>
        <v>470.79999999999995</v>
      </c>
      <c r="AY12" s="252">
        <f t="shared" ref="AY12:AY13" si="77">AX12+((BA12-AQ12)/10)</f>
        <v>460.79999999999995</v>
      </c>
      <c r="AZ12" s="252">
        <f t="shared" ref="AZ12:AZ13" si="78">AY12+((BA12-AQ12)/10)</f>
        <v>450.79999999999995</v>
      </c>
      <c r="BA12" s="252">
        <v>440.8</v>
      </c>
      <c r="BB12" s="252">
        <v>2.8</v>
      </c>
      <c r="BC12" s="252">
        <v>3</v>
      </c>
      <c r="BD12" s="1">
        <v>19.899999999999999</v>
      </c>
      <c r="BE12" s="1"/>
    </row>
    <row r="13" spans="1:57">
      <c r="A13" s="252" t="s">
        <v>579</v>
      </c>
      <c r="B13" s="252">
        <v>8608.4</v>
      </c>
      <c r="C13" s="252">
        <f t="shared" si="42"/>
        <v>8888.1636363636353</v>
      </c>
      <c r="D13" s="252">
        <f t="shared" si="42"/>
        <v>9167.927272727271</v>
      </c>
      <c r="E13" s="252">
        <f t="shared" si="42"/>
        <v>9447.6909090909066</v>
      </c>
      <c r="F13" s="252">
        <f t="shared" si="42"/>
        <v>9727.4545454545423</v>
      </c>
      <c r="G13" s="252">
        <f t="shared" si="42"/>
        <v>10007.218181818178</v>
      </c>
      <c r="H13" s="252">
        <f t="shared" si="42"/>
        <v>10286.981818181814</v>
      </c>
      <c r="I13" s="252">
        <f t="shared" si="42"/>
        <v>10566.745454545449</v>
      </c>
      <c r="J13" s="252">
        <f t="shared" si="42"/>
        <v>10846.509090909085</v>
      </c>
      <c r="K13" s="252">
        <f t="shared" si="42"/>
        <v>11126.272727272721</v>
      </c>
      <c r="L13" s="252">
        <f t="shared" si="42"/>
        <v>11406.036363636356</v>
      </c>
      <c r="M13" s="252">
        <v>11685.8</v>
      </c>
      <c r="N13" s="252">
        <f t="shared" si="43"/>
        <v>12040.56</v>
      </c>
      <c r="O13" s="252">
        <f t="shared" si="44"/>
        <v>12395.32</v>
      </c>
      <c r="P13" s="252">
        <f t="shared" si="45"/>
        <v>12750.08</v>
      </c>
      <c r="Q13" s="252">
        <f t="shared" si="46"/>
        <v>13104.84</v>
      </c>
      <c r="R13" s="252">
        <f t="shared" si="47"/>
        <v>13459.6</v>
      </c>
      <c r="S13" s="252">
        <f t="shared" si="48"/>
        <v>13814.36</v>
      </c>
      <c r="T13" s="252">
        <f t="shared" si="49"/>
        <v>14169.12</v>
      </c>
      <c r="U13" s="252">
        <f t="shared" si="50"/>
        <v>14523.880000000001</v>
      </c>
      <c r="V13" s="252">
        <f t="shared" si="51"/>
        <v>14878.640000000001</v>
      </c>
      <c r="W13" s="252">
        <v>15233.4</v>
      </c>
      <c r="X13" s="252">
        <f t="shared" si="52"/>
        <v>15726.07</v>
      </c>
      <c r="Y13" s="252">
        <f t="shared" si="53"/>
        <v>16218.74</v>
      </c>
      <c r="Z13" s="252">
        <f t="shared" si="54"/>
        <v>16711.41</v>
      </c>
      <c r="AA13" s="252">
        <f t="shared" si="55"/>
        <v>17204.079999999998</v>
      </c>
      <c r="AB13" s="252">
        <f t="shared" si="56"/>
        <v>17696.749999999996</v>
      </c>
      <c r="AC13" s="252">
        <f t="shared" si="57"/>
        <v>18189.419999999995</v>
      </c>
      <c r="AD13" s="252">
        <f t="shared" si="58"/>
        <v>18682.089999999993</v>
      </c>
      <c r="AE13" s="252">
        <f t="shared" si="59"/>
        <v>19174.759999999991</v>
      </c>
      <c r="AF13" s="252">
        <f t="shared" si="60"/>
        <v>19667.429999999989</v>
      </c>
      <c r="AG13" s="252">
        <v>20160.099999999999</v>
      </c>
      <c r="AH13" s="252">
        <f t="shared" si="61"/>
        <v>20588.379999999997</v>
      </c>
      <c r="AI13" s="252">
        <f t="shared" si="62"/>
        <v>21016.659999999996</v>
      </c>
      <c r="AJ13" s="252">
        <f t="shared" si="63"/>
        <v>21444.939999999995</v>
      </c>
      <c r="AK13" s="252">
        <f t="shared" si="64"/>
        <v>21873.219999999994</v>
      </c>
      <c r="AL13" s="252">
        <f t="shared" si="65"/>
        <v>22301.499999999993</v>
      </c>
      <c r="AM13" s="252">
        <f t="shared" si="66"/>
        <v>22729.779999999992</v>
      </c>
      <c r="AN13" s="252">
        <f t="shared" si="67"/>
        <v>23158.05999999999</v>
      </c>
      <c r="AO13" s="252">
        <f t="shared" si="68"/>
        <v>23586.339999999989</v>
      </c>
      <c r="AP13" s="252">
        <f t="shared" si="69"/>
        <v>24014.619999999988</v>
      </c>
      <c r="AQ13" s="252">
        <v>24442.9</v>
      </c>
      <c r="AR13" s="252">
        <f t="shared" si="70"/>
        <v>24891.41</v>
      </c>
      <c r="AS13" s="252">
        <f t="shared" si="71"/>
        <v>25339.919999999998</v>
      </c>
      <c r="AT13" s="252">
        <f t="shared" si="72"/>
        <v>25788.429999999997</v>
      </c>
      <c r="AU13" s="252">
        <f t="shared" si="73"/>
        <v>26236.939999999995</v>
      </c>
      <c r="AV13" s="252">
        <f t="shared" si="74"/>
        <v>26685.449999999993</v>
      </c>
      <c r="AW13" s="252">
        <f t="shared" si="75"/>
        <v>27133.959999999992</v>
      </c>
      <c r="AX13" s="252">
        <f t="shared" si="76"/>
        <v>27582.46999999999</v>
      </c>
      <c r="AY13" s="252">
        <f t="shared" si="77"/>
        <v>28030.979999999989</v>
      </c>
      <c r="AZ13" s="252">
        <f t="shared" si="78"/>
        <v>28479.489999999987</v>
      </c>
      <c r="BA13" s="252">
        <v>28928</v>
      </c>
      <c r="BB13" s="252"/>
      <c r="BC13" s="252"/>
    </row>
    <row r="14" spans="1:57">
      <c r="A14"/>
    </row>
    <row r="15" spans="1:57">
      <c r="A15"/>
    </row>
  </sheetData>
  <mergeCells count="2">
    <mergeCell ref="BB2:BC2"/>
    <mergeCell ref="BD2:BE2"/>
  </mergeCells>
  <pageMargins left="0.7" right="0.7" top="0.75" bottom="0.75" header="0.3" footer="0.3"/>
  <pageSetup orientation="portrait" horizontalDpi="90" verticalDpi="90" r:id="rId1"/>
  <customProperties>
    <customPr name="SSC_SHEET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C1:E25"/>
  <sheetViews>
    <sheetView workbookViewId="0">
      <selection activeCell="E14" sqref="E14"/>
    </sheetView>
  </sheetViews>
  <sheetFormatPr defaultColWidth="8.85546875" defaultRowHeight="15"/>
  <sheetData>
    <row r="1" spans="3:5">
      <c r="C1" t="s">
        <v>463</v>
      </c>
      <c r="D1" t="s">
        <v>462</v>
      </c>
      <c r="E1" t="s">
        <v>464</v>
      </c>
    </row>
    <row r="2" spans="3:5">
      <c r="C2" t="s">
        <v>478</v>
      </c>
    </row>
    <row r="3" spans="3:5">
      <c r="C3" t="s">
        <v>546</v>
      </c>
    </row>
    <row r="4" spans="3:5">
      <c r="C4" t="s">
        <v>547</v>
      </c>
    </row>
    <row r="5" spans="3:5">
      <c r="C5" t="s">
        <v>548</v>
      </c>
    </row>
    <row r="6" spans="3:5">
      <c r="C6" t="s">
        <v>511</v>
      </c>
    </row>
    <row r="7" spans="3:5">
      <c r="C7" t="s">
        <v>512</v>
      </c>
    </row>
    <row r="8" spans="3:5">
      <c r="C8" t="s">
        <v>522</v>
      </c>
    </row>
    <row r="9" spans="3:5">
      <c r="C9" t="s">
        <v>513</v>
      </c>
    </row>
    <row r="10" spans="3:5">
      <c r="C10" t="s">
        <v>514</v>
      </c>
    </row>
    <row r="11" spans="3:5">
      <c r="C11" t="s">
        <v>515</v>
      </c>
    </row>
    <row r="12" spans="3:5">
      <c r="C12" t="s">
        <v>549</v>
      </c>
    </row>
    <row r="13" spans="3:5">
      <c r="C13" t="s">
        <v>516</v>
      </c>
    </row>
    <row r="14" spans="3:5">
      <c r="C14" t="s">
        <v>550</v>
      </c>
    </row>
    <row r="15" spans="3:5">
      <c r="C15" t="s">
        <v>551</v>
      </c>
    </row>
    <row r="16" spans="3:5">
      <c r="C16" t="s">
        <v>552</v>
      </c>
    </row>
    <row r="17" spans="3:3">
      <c r="C17" t="s">
        <v>553</v>
      </c>
    </row>
    <row r="18" spans="3:3">
      <c r="C18" t="s">
        <v>554</v>
      </c>
    </row>
    <row r="19" spans="3:3">
      <c r="C19" t="s">
        <v>554</v>
      </c>
    </row>
    <row r="20" spans="3:3">
      <c r="C20" t="s">
        <v>555</v>
      </c>
    </row>
    <row r="21" spans="3:3">
      <c r="C21" t="s">
        <v>556</v>
      </c>
    </row>
    <row r="22" spans="3:3">
      <c r="C22" t="s">
        <v>557</v>
      </c>
    </row>
    <row r="23" spans="3:3">
      <c r="C23" t="s">
        <v>558</v>
      </c>
    </row>
    <row r="24" spans="3:3">
      <c r="C24" t="s">
        <v>559</v>
      </c>
    </row>
    <row r="25" spans="3:3">
      <c r="C25" t="s">
        <v>560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60</vt:i4>
      </vt:variant>
    </vt:vector>
  </HeadingPairs>
  <TitlesOfParts>
    <vt:vector size="69" baseType="lpstr">
      <vt:lpstr>Intro</vt:lpstr>
      <vt:lpstr>Definitions</vt:lpstr>
      <vt:lpstr>Airlines</vt:lpstr>
      <vt:lpstr>Contracted Freight</vt:lpstr>
      <vt:lpstr>Business Travel</vt:lpstr>
      <vt:lpstr>Fuel to emissions calculator</vt:lpstr>
      <vt:lpstr>Data</vt:lpstr>
      <vt:lpstr>Calculations</vt:lpstr>
      <vt:lpstr>Catalogues</vt:lpstr>
      <vt:lpstr>activity_approach</vt:lpstr>
      <vt:lpstr>activity_co</vt:lpstr>
      <vt:lpstr>activity_units</vt:lpstr>
      <vt:lpstr>ba</vt:lpstr>
      <vt:lpstr>base</vt:lpstr>
      <vt:lpstr>be</vt:lpstr>
      <vt:lpstr>bf</vt:lpstr>
      <vt:lpstr>bla</vt:lpstr>
      <vt:lpstr>ble</vt:lpstr>
      <vt:lpstr>blf</vt:lpstr>
      <vt:lpstr>bsa</vt:lpstr>
      <vt:lpstr>bse</vt:lpstr>
      <vt:lpstr>bsf</vt:lpstr>
      <vt:lpstr>C_CAGR</vt:lpstr>
      <vt:lpstr>cab</vt:lpstr>
      <vt:lpstr>caf</vt:lpstr>
      <vt:lpstr>cf_forecast_select</vt:lpstr>
      <vt:lpstr>cfa</vt:lpstr>
      <vt:lpstr>cfe</vt:lpstr>
      <vt:lpstr>cff</vt:lpstr>
      <vt:lpstr>company</vt:lpstr>
      <vt:lpstr>covid_recovery</vt:lpstr>
      <vt:lpstr>covid_start</vt:lpstr>
      <vt:lpstr>DED_only</vt:lpstr>
      <vt:lpstr>dla</vt:lpstr>
      <vt:lpstr>dle</vt:lpstr>
      <vt:lpstr>dlf</vt:lpstr>
      <vt:lpstr>dsa</vt:lpstr>
      <vt:lpstr>dse</vt:lpstr>
      <vt:lpstr>dsf</vt:lpstr>
      <vt:lpstr>emissions_factor</vt:lpstr>
      <vt:lpstr>emissions_units</vt:lpstr>
      <vt:lpstr>f_CAGR</vt:lpstr>
      <vt:lpstr>PAX_DED</vt:lpstr>
      <vt:lpstr>PAX_only</vt:lpstr>
      <vt:lpstr>pla</vt:lpstr>
      <vt:lpstr>ple</vt:lpstr>
      <vt:lpstr>plf</vt:lpstr>
      <vt:lpstr>psa</vt:lpstr>
      <vt:lpstr>pse</vt:lpstr>
      <vt:lpstr>psf</vt:lpstr>
      <vt:lpstr>S3_base</vt:lpstr>
      <vt:lpstr>S3_Emissions</vt:lpstr>
      <vt:lpstr>S3_FTE_Target</vt:lpstr>
      <vt:lpstr>S3_target</vt:lpstr>
      <vt:lpstr>S34_Activity_base</vt:lpstr>
      <vt:lpstr>S34_Activity_Forecast</vt:lpstr>
      <vt:lpstr>S34_base</vt:lpstr>
      <vt:lpstr>S34_target</vt:lpstr>
      <vt:lpstr>S36_base</vt:lpstr>
      <vt:lpstr>S36_FTE_Base</vt:lpstr>
      <vt:lpstr>S36_target</vt:lpstr>
      <vt:lpstr>'SDS Calc'!sector_base</vt:lpstr>
      <vt:lpstr>sector_base</vt:lpstr>
      <vt:lpstr>'SDS Calc'!sector_convergence</vt:lpstr>
      <vt:lpstr>sector_convergence</vt:lpstr>
      <vt:lpstr>target</vt:lpstr>
      <vt:lpstr>TTW_avail</vt:lpstr>
      <vt:lpstr>WTW_avail</vt:lpstr>
      <vt:lpstr>wtw_factor</vt:lpstr>
    </vt:vector>
  </TitlesOfParts>
  <Company>BCG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Nicholas</dc:creator>
  <cp:lastModifiedBy>Fernando Rangel</cp:lastModifiedBy>
  <dcterms:created xsi:type="dcterms:W3CDTF">2020-09-16T12:53:47Z</dcterms:created>
  <dcterms:modified xsi:type="dcterms:W3CDTF">2023-02-01T06:18:33Z</dcterms:modified>
</cp:coreProperties>
</file>